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omments5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6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omments7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omments8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omments9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8.xml" ContentType="application/vnd.openxmlformats-officedocument.drawing+xml"/>
  <Override PartName="/xl/comments10.xml" ContentType="application/vnd.openxmlformats-officedocument.spreadsheetml.comments+xml"/>
  <Override PartName="/xl/drawings/drawing29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drawings/drawing30.xml" ContentType="application/vnd.openxmlformats-officedocument.drawing+xml"/>
  <Override PartName="/xl/comments11.xml" ContentType="application/vnd.openxmlformats-officedocument.spreadsheetml.comments+xml"/>
  <Override PartName="/xl/drawings/drawing31.xml" ContentType="application/vnd.openxmlformats-officedocument.drawing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32.xml" ContentType="application/vnd.openxmlformats-officedocument.drawing+xml"/>
  <Override PartName="/xl/comments12.xml" ContentType="application/vnd.openxmlformats-officedocument.spreadsheetml.comments+xml"/>
  <Override PartName="/xl/drawings/drawing33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omments13.xml" ContentType="application/vnd.openxmlformats-officedocument.spreadsheetml.comments+xml"/>
  <Override PartName="/xl/drawings/drawing34.xml" ContentType="application/vnd.openxmlformats-officedocument.drawing+xml"/>
  <Override PartName="/xl/comments14.xml" ContentType="application/vnd.openxmlformats-officedocument.spreadsheetml.comments+xml"/>
  <Override PartName="/xl/drawings/drawing35.xml" ContentType="application/vnd.openxmlformats-officedocument.drawing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omments15.xml" ContentType="application/vnd.openxmlformats-officedocument.spreadsheetml.comment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omments16.xml" ContentType="application/vnd.openxmlformats-officedocument.spreadsheetml.comment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omments17.xml" ContentType="application/vnd.openxmlformats-officedocument.spreadsheetml.comment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omments18.xml" ContentType="application/vnd.openxmlformats-officedocument.spreadsheetml.comment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omments19.xml" ContentType="application/vnd.openxmlformats-officedocument.spreadsheetml.comments+xml"/>
  <Override PartName="/xl/drawings/drawing48.xml" ContentType="application/vnd.openxmlformats-officedocument.drawing+xml"/>
  <Override PartName="/xl/comments20.xml" ContentType="application/vnd.openxmlformats-officedocument.spreadsheetml.comments+xml"/>
  <Override PartName="/xl/drawings/drawing49.xml" ContentType="application/vnd.openxmlformats-officedocument.drawing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drawings/drawing50.xml" ContentType="application/vnd.openxmlformats-officedocument.drawing+xml"/>
  <Override PartName="/xl/comments21.xml" ContentType="application/vnd.openxmlformats-officedocument.spreadsheetml.comments+xml"/>
  <Override PartName="/xl/drawings/drawing51.xml" ContentType="application/vnd.openxmlformats-officedocument.drawing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drawings/drawing52.xml" ContentType="application/vnd.openxmlformats-officedocument.drawing+xml"/>
  <Override PartName="/xl/comments22.xml" ContentType="application/vnd.openxmlformats-officedocument.spreadsheetml.comments+xml"/>
  <Override PartName="/xl/drawings/drawing53.xml" ContentType="application/vnd.openxmlformats-officedocument.drawing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drawings/drawing54.xml" ContentType="application/vnd.openxmlformats-officedocument.drawing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omments23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omments24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omments25.xml" ContentType="application/vnd.openxmlformats-officedocument.spreadsheetml.comment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omments26.xml" ContentType="application/vnd.openxmlformats-officedocument.spreadsheetml.comment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omments27.xml" ContentType="application/vnd.openxmlformats-officedocument.spreadsheetml.comment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omments28.xml" ContentType="application/vnd.openxmlformats-officedocument.spreadsheetml.comment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omments29.xml" ContentType="application/vnd.openxmlformats-officedocument.spreadsheetml.comment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omments30.xml" ContentType="application/vnd.openxmlformats-officedocument.spreadsheetml.comment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omments31.xml" ContentType="application/vnd.openxmlformats-officedocument.spreadsheetml.comment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omments32.xml" ContentType="application/vnd.openxmlformats-officedocument.spreadsheetml.comment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omments33.xml" ContentType="application/vnd.openxmlformats-officedocument.spreadsheetml.comment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omments34.xml" ContentType="application/vnd.openxmlformats-officedocument.spreadsheetml.comment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omments35.xml" ContentType="application/vnd.openxmlformats-officedocument.spreadsheetml.comment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omments36.xml" ContentType="application/vnd.openxmlformats-officedocument.spreadsheetml.comment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omments37.xml" ContentType="application/vnd.openxmlformats-officedocument.spreadsheetml.comment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omments38.xml" ContentType="application/vnd.openxmlformats-officedocument.spreadsheetml.comment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omments39.xml" ContentType="application/vnd.openxmlformats-officedocument.spreadsheetml.comment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omments40.xml" ContentType="application/vnd.openxmlformats-officedocument.spreadsheetml.comment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omments41.xml" ContentType="application/vnd.openxmlformats-officedocument.spreadsheetml.comment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omments42.xml" ContentType="application/vnd.openxmlformats-officedocument.spreadsheetml.comment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omments43.xml" ContentType="application/vnd.openxmlformats-officedocument.spreadsheetml.comment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omments44.xml" ContentType="application/vnd.openxmlformats-officedocument.spreadsheetml.comment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omments45.xml" ContentType="application/vnd.openxmlformats-officedocument.spreadsheetml.comment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omments46.xml" ContentType="application/vnd.openxmlformats-officedocument.spreadsheetml.comments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omments47.xml" ContentType="application/vnd.openxmlformats-officedocument.spreadsheetml.comment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omments48.xml" ContentType="application/vnd.openxmlformats-officedocument.spreadsheetml.comments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omments49.xml" ContentType="application/vnd.openxmlformats-officedocument.spreadsheetml.comments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omments50.xml" ContentType="application/vnd.openxmlformats-officedocument.spreadsheetml.comment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omments51.xml" ContentType="application/vnd.openxmlformats-officedocument.spreadsheetml.comments+xml"/>
  <Override PartName="/xl/drawings/drawing131.xml" ContentType="application/vnd.openxmlformats-officedocument.drawing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omments52.xml" ContentType="application/vnd.openxmlformats-officedocument.spreadsheetml.comments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charts/chart3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charts/chart4.xml" ContentType="application/vnd.openxmlformats-officedocument.drawingml.chart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schroedergu\Downloads\"/>
    </mc:Choice>
  </mc:AlternateContent>
  <bookViews>
    <workbookView xWindow="-15" yWindow="-15" windowWidth="7380" windowHeight="8670" tabRatio="865"/>
  </bookViews>
  <sheets>
    <sheet name="Deckbl" sheetId="1" r:id="rId1"/>
    <sheet name="Inhalt" sheetId="2" r:id="rId2"/>
    <sheet name="Hinweise" sheetId="3" r:id="rId3"/>
    <sheet name="Übersicht wichtige Verfahren" sheetId="4" r:id="rId4"/>
    <sheet name="Grafik-(a)" sheetId="5" r:id="rId5"/>
    <sheet name="Grafik-(b)" sheetId="178" r:id="rId6"/>
    <sheet name="Owerte-(a)" sheetId="7" r:id="rId7"/>
    <sheet name="Owerte-(b)" sheetId="9" r:id="rId8"/>
    <sheet name="Ausglleist" sheetId="203" r:id="rId9"/>
    <sheet name="Preise-Stammdaten" sheetId="11" r:id="rId10"/>
    <sheet name="Festk-Masch-Geb" sheetId="12" r:id="rId11"/>
    <sheet name="Sonst-Festk" sheetId="13" r:id="rId12"/>
    <sheet name="Arbeitsgänge" sheetId="14" r:id="rId13"/>
    <sheet name="1)Grünf. 3Nutz.(a)" sheetId="17" r:id="rId14"/>
    <sheet name="1)Grünf. 3Nutz.(b)" sheetId="18" r:id="rId15"/>
    <sheet name="2)Grünf. 4Nutz.(a)" sheetId="15" r:id="rId16"/>
    <sheet name="2)Grünf. 4Nutz.(b)" sheetId="16" r:id="rId17"/>
    <sheet name="3)Grünf. 5Nutz.(a)" sheetId="19" r:id="rId18"/>
    <sheet name="3)Grünf. 5Nutz.(b)" sheetId="20" r:id="rId19"/>
    <sheet name="4)GS 3Nutz.eig.mech.(a)" sheetId="56" r:id="rId20"/>
    <sheet name="4)GS 3Nutz.eig.mech.(b)" sheetId="57" r:id="rId21"/>
    <sheet name="5)GS 4Nutz. eig.mech(a)" sheetId="103" r:id="rId22"/>
    <sheet name="5)GS 4Nutz.eig.mech(b)" sheetId="104" r:id="rId23"/>
    <sheet name="6)GS 5Nutz.eig.mech(a)" sheetId="23" r:id="rId24"/>
    <sheet name="6)GS 5Nutz.eig.mech.(b)" sheetId="24" r:id="rId25"/>
    <sheet name="7)GS 3Nutz.Fremdmech(a)" sheetId="21" r:id="rId26"/>
    <sheet name="7)GS3Nutz.Fremdmech(b)" sheetId="22" r:id="rId27"/>
    <sheet name="8)GS 4Nutz.Fremdmech(a)" sheetId="207" r:id="rId28"/>
    <sheet name="8)GS4Nutz.Fremdmech(b)" sheetId="208" r:id="rId29"/>
    <sheet name="9)GS 5Nutz.Fremdmech(a)" sheetId="209" r:id="rId30"/>
    <sheet name="9)GS 5Nutz.Fremd(b)" sheetId="210" r:id="rId31"/>
    <sheet name="10) GS 3Nutz. Ballensil-(a)" sheetId="81" r:id="rId32"/>
    <sheet name="10) GS 3Nutz. Ballensil.(b)" sheetId="82" r:id="rId33"/>
    <sheet name="11)Heu 2Nutz.-(a)" sheetId="49" r:id="rId34"/>
    <sheet name="11)Heu 2Nutz.-(b)" sheetId="50" r:id="rId35"/>
    <sheet name="12)Heu 3Nutz.(a)" sheetId="25" r:id="rId36"/>
    <sheet name="12)Heu 3Nutz.(b)" sheetId="26" r:id="rId37"/>
    <sheet name="13)Grascobs 5Nutz.(a)" sheetId="51" r:id="rId38"/>
    <sheet name="13)Grascobs 5Nutz.(b)" sheetId="52" r:id="rId39"/>
    <sheet name="14)Weide ext.(a)" sheetId="58" r:id="rId40"/>
    <sheet name="14)Weide_ext.(b)" sheetId="59" r:id="rId41"/>
    <sheet name="15)Weide int.(a)" sheetId="31" r:id="rId42"/>
    <sheet name="15)Weide int. 4Nutz.(b)" sheetId="32" r:id="rId43"/>
    <sheet name="16)GSHeuGrünMischung-(a)" sheetId="35" r:id="rId44"/>
    <sheet name="16)GSHeuGrünMischung-(b)" sheetId="36" r:id="rId45"/>
    <sheet name="17)Kleegras-GrünFu-Eig.mech(a)" sheetId="211" r:id="rId46"/>
    <sheet name="17)Kleegras-GrünFu-Eig.mech(b)" sheetId="212" r:id="rId47"/>
    <sheet name="18)Kleegrassi-Fremdernt(a)" sheetId="213" r:id="rId48"/>
    <sheet name="18)Kleegrassi-Fremnernt(b)" sheetId="214" r:id="rId49"/>
    <sheet name="19)LuzerneSil-Fremdernte(a)" sheetId="215" r:id="rId50"/>
    <sheet name="19)LuzerneSil-Fremdernte(b)" sheetId="216" r:id="rId51"/>
    <sheet name="Silomais-Meka-(a)" sheetId="43" state="hidden" r:id="rId52"/>
    <sheet name="Silomais-Meka-(b)" sheetId="44" state="hidden" r:id="rId53"/>
    <sheet name="20)Silomais int-(a)" sheetId="53" r:id="rId54"/>
    <sheet name="20)Silomais int(b)" sheetId="54" r:id="rId55"/>
    <sheet name="21)Futterrüben-(a)" sheetId="157" r:id="rId56"/>
    <sheet name="21)Futterrüben(b)" sheetId="158" r:id="rId57"/>
    <sheet name="22)ZWF-Raps-(a)" sheetId="45" r:id="rId58"/>
    <sheet name="22)ZWF-Raps-(b)" sheetId="46" r:id="rId59"/>
    <sheet name="23)GPS-(a)" sheetId="47" r:id="rId60"/>
    <sheet name="23)GPS-(b)" sheetId="48" r:id="rId61"/>
    <sheet name="24)Mais LKS-(a)" sheetId="71" r:id="rId62"/>
    <sheet name="24)Mais LKS-(b)" sheetId="72" r:id="rId63"/>
    <sheet name="25)Mais CCM-(a)" sheetId="73" r:id="rId64"/>
    <sheet name="25)Mais CCM-(b)" sheetId="74" r:id="rId65"/>
    <sheet name="26)Mais feucht-(a)" sheetId="83" r:id="rId66"/>
    <sheet name="26)M(ais feucht-b)" sheetId="84" r:id="rId67"/>
    <sheet name="27)Silomais Biogas ab Feld-(a)" sheetId="67" r:id="rId68"/>
    <sheet name="27)Silomais Biogas ab Feld-(b)" sheetId="68" r:id="rId69"/>
    <sheet name="28)Silomais Biogas ex Silo (a)" sheetId="85" r:id="rId70"/>
    <sheet name="28)Silomais Biogas ex Silo (b)" sheetId="86" r:id="rId71"/>
    <sheet name="29)Triticale-GPS Biogas Feld(a)" sheetId="69" r:id="rId72"/>
    <sheet name="29)Triticale-GPS Biogas Feld(b)" sheetId="70" r:id="rId73"/>
    <sheet name="30)Tritic-GPS Biogas ex Silo(a)" sheetId="87" r:id="rId74"/>
    <sheet name="30)Tritic-GPS Biogas ex Silo(b)" sheetId="88" r:id="rId75"/>
    <sheet name="31)Hafer-GPS Biogas ab Feld (a)" sheetId="189" r:id="rId76"/>
    <sheet name="31)Hafer-GPS Biogas ab Feld (b)" sheetId="190" r:id="rId77"/>
    <sheet name="32)Hafer-GPS Biogas ex Silo (a)" sheetId="187" r:id="rId78"/>
    <sheet name="32)Hafer-GPS Biogas ex Silo (b)" sheetId="188" r:id="rId79"/>
    <sheet name="33)Kleegrassil 4N Biogas aF(a)" sheetId="77" r:id="rId80"/>
    <sheet name="33)Kleegrassil 4N Biogas aF(b)" sheetId="78" r:id="rId81"/>
    <sheet name="34)Kleegrassil 4N Biog ex S(a)" sheetId="89" r:id="rId82"/>
    <sheet name="34)Kleegrassil 4N Biog ex S(b)" sheetId="90" r:id="rId83"/>
    <sheet name="35)Weidelgrassil 4N Bg ex S (a)" sheetId="181" r:id="rId84"/>
    <sheet name="35)Weidelgrassil 4N Bg ex S (b)" sheetId="182" r:id="rId85"/>
    <sheet name="36)GS 3Nutz Biogas Feld-(a)" sheetId="159" r:id="rId86"/>
    <sheet name="36)GS 3Nutz. Biogas Feld-(b)" sheetId="160" r:id="rId87"/>
    <sheet name="37)GS 3Nutz Biogas ex Silo (a)" sheetId="163" r:id="rId88"/>
    <sheet name="37)GS 3Nutz. Biogas ex Silo (b)" sheetId="164" r:id="rId89"/>
    <sheet name="38)GS 4Nutz Biogas Feld-(a)" sheetId="65" r:id="rId90"/>
    <sheet name="38)GS 4Nutz. Biogas Feld-(b)" sheetId="66" r:id="rId91"/>
    <sheet name="39)GS 4Nutz Biogas ex Silo (a)" sheetId="91" r:id="rId92"/>
    <sheet name="39)GS 4Nutz. Biogas ex Silo (b)" sheetId="92" r:id="rId93"/>
    <sheet name="40)GrünroggenVFBiogas ex S(a)" sheetId="105" r:id="rId94"/>
    <sheet name="40)GrünroggenVFBiogas ex S(b)" sheetId="106" r:id="rId95"/>
    <sheet name="41)Grünrog.+S.mais Biogas aF(a)" sheetId="149" r:id="rId96"/>
    <sheet name="41)Grünrog.+S.mais Biogas aF(b)" sheetId="150" r:id="rId97"/>
    <sheet name="42)Grürog.+Silom. Biog ex S(a)" sheetId="113" r:id="rId98"/>
    <sheet name="42)Grürog.+Silom. Biog ex S(b)" sheetId="114" r:id="rId99"/>
    <sheet name="43)Sudangras HF Biogas aF-(a)" sheetId="147" state="hidden" r:id="rId100"/>
    <sheet name="43)Sudangras HF Biogas aF-(b)" sheetId="148" state="hidden" r:id="rId101"/>
    <sheet name="44)Sudangras HF Biogas ex S(a)" sheetId="107" state="hidden" r:id="rId102"/>
    <sheet name="44)Sudangras HF Biogas ex S(b)" sheetId="108" state="hidden" r:id="rId103"/>
    <sheet name="45)GPS+Sudangras Biogas aF(a)" sheetId="151" state="hidden" r:id="rId104"/>
    <sheet name="45)GPS+Sudangras Biogas aF(b)" sheetId="152" state="hidden" r:id="rId105"/>
    <sheet name="46)GPS+Sudangr Biogas ex S(a)" sheetId="115" state="hidden" r:id="rId106"/>
    <sheet name="46)GPS+Sudangr Biogas ex S(b)" sheetId="116" state="hidden" r:id="rId107"/>
    <sheet name="47)Zuckerhirse HF Biogas aF-(a)" sheetId="145" r:id="rId108"/>
    <sheet name="47)Zuckerhirse HF Biogas aF-(b)" sheetId="146" r:id="rId109"/>
    <sheet name="48)Zuhirse HF Biogas ex Silo(a)" sheetId="111" r:id="rId110"/>
    <sheet name="48)Zuhirse HF Biogas ex S(b)" sheetId="112" r:id="rId111"/>
    <sheet name="49)GPS+Zuckerhirse Biogas aF(a)" sheetId="153" state="hidden" r:id="rId112"/>
    <sheet name="49)GPS+Zuckerhirse Biogas aF(b)" sheetId="154" state="hidden" r:id="rId113"/>
    <sheet name="50)GPS+Zuckhi. Biogas ex S(a)" sheetId="117" state="hidden" r:id="rId114"/>
    <sheet name="50)GPS+Zuckhi. Biogas ex S(b)" sheetId="118" state="hidden" r:id="rId115"/>
    <sheet name="51) GPS Weidelgras Biog aF(a)" sheetId="109" r:id="rId116"/>
    <sheet name="51) GPS Weidelgras Biog aF (b)" sheetId="110" r:id="rId117"/>
    <sheet name="52)Grünr.+Sonnbl. Biog ex S(a)" sheetId="119" state="hidden" r:id="rId118"/>
    <sheet name="52)Grünr.+Sonnbl. Biog ex S(b)" sheetId="120" state="hidden" r:id="rId119"/>
    <sheet name="53)Zuckerrüben Biogas ex S(a)" sheetId="179" r:id="rId120"/>
    <sheet name="53)Zuckerrüben Biogas ex S(b)" sheetId="180" r:id="rId121"/>
    <sheet name="54)Dw. Silphie Biogas ex S(a)" sheetId="191" r:id="rId122"/>
    <sheet name="54)Dw. Silphie Biogas ex S(b)" sheetId="192" r:id="rId123"/>
    <sheet name="55)Wildpflanzen Biogas ex S(a)" sheetId="193" r:id="rId124"/>
    <sheet name="55)Wildpflanzen Biogas ex S(b)" sheetId="194" r:id="rId125"/>
    <sheet name="56)Individuelle Eingabe(a)" sheetId="195" r:id="rId126"/>
    <sheet name="56)Individuelle Eingabe (b)" sheetId="196" r:id="rId127"/>
    <sheet name="57)Topi Kraut f Biogas ex S (a)" sheetId="197" state="hidden" r:id="rId128"/>
    <sheet name="57)Topi Kraut f Biogas ex S (b)" sheetId="198" state="hidden" r:id="rId129"/>
    <sheet name="Topi Knolle Biogas ex Silo (a)" sheetId="199" state="hidden" r:id="rId130"/>
    <sheet name="Topi Knolle Biogas ex Silo (b)" sheetId="200" state="hidden" r:id="rId131"/>
    <sheet name="Topi Kraut s Biogas ex Silo (a)" sheetId="201" state="hidden" r:id="rId132"/>
    <sheet name="Topi Kraut s Biogas ex Silo (b)" sheetId="202" state="hidden" r:id="rId133"/>
    <sheet name="Transportkosten Silomais" sheetId="102" r:id="rId134"/>
    <sheet name="Grafik Ertrag SM" sheetId="101" r:id="rId135"/>
    <sheet name="Vergleich Maisprodukte" sheetId="155" r:id="rId136"/>
    <sheet name="Grafik Maisprodukte" sheetId="156" r:id="rId137"/>
    <sheet name="N-Bindung Leg" sheetId="204" r:id="rId138"/>
  </sheets>
  <externalReferences>
    <externalReference r:id="rId139"/>
  </externalReferences>
  <definedNames>
    <definedName name="Datentabelle1">[1]DungStrohWasserAKh!$C$11:$T$43</definedName>
    <definedName name="_xlnm.Print_Area" localSheetId="13">'1)Grünf. 3Nutz.(a)'!$C$2:$Q$72</definedName>
    <definedName name="_xlnm.Print_Area" localSheetId="14">'1)Grünf. 3Nutz.(b)'!$B$1:$S$74</definedName>
    <definedName name="_xlnm.Print_Area" localSheetId="31">'10) GS 3Nutz. Ballensil-(a)'!$C$2:$Q$72</definedName>
    <definedName name="_xlnm.Print_Area" localSheetId="32">'10) GS 3Nutz. Ballensil.(b)'!$B$1:$R$74</definedName>
    <definedName name="_xlnm.Print_Area" localSheetId="33">'11)Heu 2Nutz.-(a)'!$C$2:$Q$72</definedName>
    <definedName name="_xlnm.Print_Area" localSheetId="34">'11)Heu 2Nutz.-(b)'!$B$1:$R$74</definedName>
    <definedName name="_xlnm.Print_Area" localSheetId="35">'12)Heu 3Nutz.(a)'!$C$2:$Q$72</definedName>
    <definedName name="_xlnm.Print_Area" localSheetId="36">'12)Heu 3Nutz.(b)'!$B$1:$R$74</definedName>
    <definedName name="_xlnm.Print_Area" localSheetId="37">'13)Grascobs 5Nutz.(a)'!$C$2:$Q$72</definedName>
    <definedName name="_xlnm.Print_Area" localSheetId="38">'13)Grascobs 5Nutz.(b)'!$B$1:$R$74</definedName>
    <definedName name="_xlnm.Print_Area" localSheetId="39">'14)Weide ext.(a)'!$C$2:$Q$72</definedName>
    <definedName name="_xlnm.Print_Area" localSheetId="40">'14)Weide_ext.(b)'!$B$1:$R$74</definedName>
    <definedName name="_xlnm.Print_Area" localSheetId="42">'15)Weide int. 4Nutz.(b)'!$B$1:$R$74</definedName>
    <definedName name="_xlnm.Print_Area" localSheetId="41">'15)Weide int.(a)'!$C$2:$Q$72</definedName>
    <definedName name="_xlnm.Print_Area" localSheetId="43">'16)GSHeuGrünMischung-(a)'!$C$2:$Q$72</definedName>
    <definedName name="_xlnm.Print_Area" localSheetId="44">'16)GSHeuGrünMischung-(b)'!$B$1:$R$74</definedName>
    <definedName name="_xlnm.Print_Area" localSheetId="45">'17)Kleegras-GrünFu-Eig.mech(a)'!$C$2:$Q$72</definedName>
    <definedName name="_xlnm.Print_Area" localSheetId="46">'17)Kleegras-GrünFu-Eig.mech(b)'!$B$1:$R$74</definedName>
    <definedName name="_xlnm.Print_Area" localSheetId="47">'18)Kleegrassi-Fremdernt(a)'!$C$2:$Q$72</definedName>
    <definedName name="_xlnm.Print_Area" localSheetId="48">'18)Kleegrassi-Fremnernt(b)'!$B$1:$R$74</definedName>
    <definedName name="_xlnm.Print_Area" localSheetId="49">'19)LuzerneSil-Fremdernte(a)'!$C$2:$Q$72</definedName>
    <definedName name="_xlnm.Print_Area" localSheetId="50">'19)LuzerneSil-Fremdernte(b)'!$B$1:$R$74</definedName>
    <definedName name="_xlnm.Print_Area" localSheetId="15">'2)Grünf. 4Nutz.(a)'!$C$2:$Q$72</definedName>
    <definedName name="_xlnm.Print_Area" localSheetId="16">'2)Grünf. 4Nutz.(b)'!$B$1:$R$74</definedName>
    <definedName name="_xlnm.Print_Area" localSheetId="53">'20)Silomais int-(a)'!$C$2:$P$71</definedName>
    <definedName name="_xlnm.Print_Area" localSheetId="54">'20)Silomais int(b)'!$B$1:$O$70</definedName>
    <definedName name="_xlnm.Print_Area" localSheetId="55">'21)Futterrüben-(a)'!$C$2:$P$71</definedName>
    <definedName name="_xlnm.Print_Area" localSheetId="56">'21)Futterrüben(b)'!$B$1:$O$70</definedName>
    <definedName name="_xlnm.Print_Area" localSheetId="57">'22)ZWF-Raps-(a)'!$C$2:$P$70</definedName>
    <definedName name="_xlnm.Print_Area" localSheetId="58">'22)ZWF-Raps-(b)'!$B$1:$O$70</definedName>
    <definedName name="_xlnm.Print_Area" localSheetId="59">'23)GPS-(a)'!$C$2:$P$70</definedName>
    <definedName name="_xlnm.Print_Area" localSheetId="60">'23)GPS-(b)'!$B$1:$O$70</definedName>
    <definedName name="_xlnm.Print_Area" localSheetId="61">'24)Mais LKS-(a)'!$C$2:$P$71</definedName>
    <definedName name="_xlnm.Print_Area" localSheetId="62">'24)Mais LKS-(b)'!$B$1:$O$70</definedName>
    <definedName name="_xlnm.Print_Area" localSheetId="63">'25)Mais CCM-(a)'!$C$2:$P$71</definedName>
    <definedName name="_xlnm.Print_Area" localSheetId="64">'25)Mais CCM-(b)'!$B$1:$O$70</definedName>
    <definedName name="_xlnm.Print_Area" localSheetId="66">'26)M(ais feucht-b)'!$B$1:$O$70</definedName>
    <definedName name="_xlnm.Print_Area" localSheetId="65">'26)Mais feucht-(a)'!$C$2:$P$71</definedName>
    <definedName name="_xlnm.Print_Area" localSheetId="67">'27)Silomais Biogas ab Feld-(a)'!$C$2:$P$71</definedName>
    <definedName name="_xlnm.Print_Area" localSheetId="68">'27)Silomais Biogas ab Feld-(b)'!$B$1:$O$70</definedName>
    <definedName name="_xlnm.Print_Area" localSheetId="69">'28)Silomais Biogas ex Silo (a)'!$C$2:$P$70</definedName>
    <definedName name="_xlnm.Print_Area" localSheetId="70">'28)Silomais Biogas ex Silo (b)'!$B$1:$O$70</definedName>
    <definedName name="_xlnm.Print_Area" localSheetId="71">'29)Triticale-GPS Biogas Feld(a)'!$C$2:$P$70</definedName>
    <definedName name="_xlnm.Print_Area" localSheetId="72">'29)Triticale-GPS Biogas Feld(b)'!$B$1:$O$70</definedName>
    <definedName name="_xlnm.Print_Area" localSheetId="17">'3)Grünf. 5Nutz.(a)'!$C$2:$Q$72</definedName>
    <definedName name="_xlnm.Print_Area" localSheetId="18">'3)Grünf. 5Nutz.(b)'!$B$1:$S$74</definedName>
    <definedName name="_xlnm.Print_Area" localSheetId="73">'30)Tritic-GPS Biogas ex Silo(a)'!$C$2:$P$70</definedName>
    <definedName name="_xlnm.Print_Area" localSheetId="74">'30)Tritic-GPS Biogas ex Silo(b)'!$B$1:$O$70</definedName>
    <definedName name="_xlnm.Print_Area" localSheetId="75">'31)Hafer-GPS Biogas ab Feld (a)'!$C$2:$P$70</definedName>
    <definedName name="_xlnm.Print_Area" localSheetId="76">'31)Hafer-GPS Biogas ab Feld (b)'!$B$1:$O$70</definedName>
    <definedName name="_xlnm.Print_Area" localSheetId="77">'32)Hafer-GPS Biogas ex Silo (a)'!$C$2:$P$70</definedName>
    <definedName name="_xlnm.Print_Area" localSheetId="78">'32)Hafer-GPS Biogas ex Silo (b)'!$B$1:$O$70</definedName>
    <definedName name="_xlnm.Print_Area" localSheetId="79">'33)Kleegrassil 4N Biogas aF(a)'!$C$2:$P$70</definedName>
    <definedName name="_xlnm.Print_Area" localSheetId="80">'33)Kleegrassil 4N Biogas aF(b)'!$B$1:$O$70</definedName>
    <definedName name="_xlnm.Print_Area" localSheetId="81">'34)Kleegrassil 4N Biog ex S(a)'!$C$2:$P$70</definedName>
    <definedName name="_xlnm.Print_Area" localSheetId="82">'34)Kleegrassil 4N Biog ex S(b)'!$B$1:$O$70</definedName>
    <definedName name="_xlnm.Print_Area" localSheetId="83">'35)Weidelgrassil 4N Bg ex S (a)'!$C$2:$P$70</definedName>
    <definedName name="_xlnm.Print_Area" localSheetId="84">'35)Weidelgrassil 4N Bg ex S (b)'!$B$1:$O$70</definedName>
    <definedName name="_xlnm.Print_Area" localSheetId="85">'36)GS 3Nutz Biogas Feld-(a)'!$C$2:$Q$72</definedName>
    <definedName name="_xlnm.Print_Area" localSheetId="86">'36)GS 3Nutz. Biogas Feld-(b)'!$B$1:$S$75</definedName>
    <definedName name="_xlnm.Print_Area" localSheetId="87">'37)GS 3Nutz Biogas ex Silo (a)'!$C$2:$Q$72</definedName>
    <definedName name="_xlnm.Print_Area" localSheetId="88">'37)GS 3Nutz. Biogas ex Silo (b)'!$B$1:$R$75</definedName>
    <definedName name="_xlnm.Print_Area" localSheetId="89">'38)GS 4Nutz Biogas Feld-(a)'!$C$2:$Q$72</definedName>
    <definedName name="_xlnm.Print_Area" localSheetId="90">'38)GS 4Nutz. Biogas Feld-(b)'!$B$1:$R$75</definedName>
    <definedName name="_xlnm.Print_Area" localSheetId="91">'39)GS 4Nutz Biogas ex Silo (a)'!$C$2:$Q$72</definedName>
    <definedName name="_xlnm.Print_Area" localSheetId="92">'39)GS 4Nutz. Biogas ex Silo (b)'!$B$1:$R$75</definedName>
    <definedName name="_xlnm.Print_Area" localSheetId="19">'4)GS 3Nutz.eig.mech.(a)'!$C$2:$Q$72</definedName>
    <definedName name="_xlnm.Print_Area" localSheetId="20">'4)GS 3Nutz.eig.mech.(b)'!$B$1:$S$74</definedName>
    <definedName name="_xlnm.Print_Area" localSheetId="93">'40)GrünroggenVFBiogas ex S(a)'!$C$2:$P$70</definedName>
    <definedName name="_xlnm.Print_Area" localSheetId="94">'40)GrünroggenVFBiogas ex S(b)'!$B$1:$O$70</definedName>
    <definedName name="_xlnm.Print_Area" localSheetId="95">'41)Grünrog.+S.mais Biogas aF(a)'!$C$2:$P$70</definedName>
    <definedName name="_xlnm.Print_Area" localSheetId="96">'41)Grünrog.+S.mais Biogas aF(b)'!$B$1:$O$70</definedName>
    <definedName name="_xlnm.Print_Area" localSheetId="97">'42)Grürog.+Silom. Biog ex S(a)'!$C$2:$P$70</definedName>
    <definedName name="_xlnm.Print_Area" localSheetId="98">'42)Grürog.+Silom. Biog ex S(b)'!$B$1:$O$70</definedName>
    <definedName name="_xlnm.Print_Area" localSheetId="99">'43)Sudangras HF Biogas aF-(a)'!$C$2:$P$70</definedName>
    <definedName name="_xlnm.Print_Area" localSheetId="100">'43)Sudangras HF Biogas aF-(b)'!$B$1:$O$70</definedName>
    <definedName name="_xlnm.Print_Area" localSheetId="101">'44)Sudangras HF Biogas ex S(a)'!$C$2:$P$70</definedName>
    <definedName name="_xlnm.Print_Area" localSheetId="102">'44)Sudangras HF Biogas ex S(b)'!$B$1:$O$70</definedName>
    <definedName name="_xlnm.Print_Area" localSheetId="103">'45)GPS+Sudangras Biogas aF(a)'!$C$2:$P$70</definedName>
    <definedName name="_xlnm.Print_Area" localSheetId="104">'45)GPS+Sudangras Biogas aF(b)'!$B$1:$O$70</definedName>
    <definedName name="_xlnm.Print_Area" localSheetId="105">'46)GPS+Sudangr Biogas ex S(a)'!$C$2:$P$70</definedName>
    <definedName name="_xlnm.Print_Area" localSheetId="106">'46)GPS+Sudangr Biogas ex S(b)'!$B$1:$O$70</definedName>
    <definedName name="_xlnm.Print_Area" localSheetId="107">'47)Zuckerhirse HF Biogas aF-(a)'!$C$2:$P$70</definedName>
    <definedName name="_xlnm.Print_Area" localSheetId="108">'47)Zuckerhirse HF Biogas aF-(b)'!$B$1:$O$70</definedName>
    <definedName name="_xlnm.Print_Area" localSheetId="110">'48)Zuhirse HF Biogas ex S(b)'!$B$1:$O$70</definedName>
    <definedName name="_xlnm.Print_Area" localSheetId="109">'48)Zuhirse HF Biogas ex Silo(a)'!$C$2:$P$70</definedName>
    <definedName name="_xlnm.Print_Area" localSheetId="111">'49)GPS+Zuckerhirse Biogas aF(a)'!$C$2:$P$70</definedName>
    <definedName name="_xlnm.Print_Area" localSheetId="112">'49)GPS+Zuckerhirse Biogas aF(b)'!$B$1:$O$70</definedName>
    <definedName name="_xlnm.Print_Area" localSheetId="21">'5)GS 4Nutz. eig.mech(a)'!$C$2:$Q$72</definedName>
    <definedName name="_xlnm.Print_Area" localSheetId="22">'5)GS 4Nutz.eig.mech(b)'!$B$1:$S$74</definedName>
    <definedName name="_xlnm.Print_Area" localSheetId="113">'50)GPS+Zuckhi. Biogas ex S(a)'!$C$2:$P$70</definedName>
    <definedName name="_xlnm.Print_Area" localSheetId="114">'50)GPS+Zuckhi. Biogas ex S(b)'!$B$1:$O$70</definedName>
    <definedName name="_xlnm.Print_Area" localSheetId="116">'51) GPS Weidelgras Biog aF (b)'!$B$1:$O$70</definedName>
    <definedName name="_xlnm.Print_Area" localSheetId="115">'51) GPS Weidelgras Biog aF(a)'!$C$2:$P$70</definedName>
    <definedName name="_xlnm.Print_Area" localSheetId="117">'52)Grünr.+Sonnbl. Biog ex S(a)'!$C$2:$P$70</definedName>
    <definedName name="_xlnm.Print_Area" localSheetId="118">'52)Grünr.+Sonnbl. Biog ex S(b)'!$B$1:$O$70</definedName>
    <definedName name="_xlnm.Print_Area" localSheetId="119">'53)Zuckerrüben Biogas ex S(a)'!$C$2:$P$70</definedName>
    <definedName name="_xlnm.Print_Area" localSheetId="120">'53)Zuckerrüben Biogas ex S(b)'!$B$1:$O$70</definedName>
    <definedName name="_xlnm.Print_Area" localSheetId="121">'54)Dw. Silphie Biogas ex S(a)'!$C$2:$P$70</definedName>
    <definedName name="_xlnm.Print_Area" localSheetId="122">'54)Dw. Silphie Biogas ex S(b)'!$B$1:$O$70</definedName>
    <definedName name="_xlnm.Print_Area" localSheetId="123">'55)Wildpflanzen Biogas ex S(a)'!$C$2:$P$70</definedName>
    <definedName name="_xlnm.Print_Area" localSheetId="124">'55)Wildpflanzen Biogas ex S(b)'!$B$1:$O$70</definedName>
    <definedName name="_xlnm.Print_Area" localSheetId="126">'56)Individuelle Eingabe (b)'!$B$1:$O$70</definedName>
    <definedName name="_xlnm.Print_Area" localSheetId="125">'56)Individuelle Eingabe(a)'!$C$2:$P$70</definedName>
    <definedName name="_xlnm.Print_Area" localSheetId="127">'57)Topi Kraut f Biogas ex S (a)'!$C$2:$P$70</definedName>
    <definedName name="_xlnm.Print_Area" localSheetId="128">'57)Topi Kraut f Biogas ex S (b)'!$B$1:$O$70</definedName>
    <definedName name="_xlnm.Print_Area" localSheetId="23">'6)GS 5Nutz.eig.mech(a)'!$C$2:$Q$72</definedName>
    <definedName name="_xlnm.Print_Area" localSheetId="24">'6)GS 5Nutz.eig.mech.(b)'!$B$1:$R$74</definedName>
    <definedName name="_xlnm.Print_Area" localSheetId="25">'7)GS 3Nutz.Fremdmech(a)'!$C$2:$Q$72</definedName>
    <definedName name="_xlnm.Print_Area" localSheetId="26">'7)GS3Nutz.Fremdmech(b)'!$B$1:$R$74</definedName>
    <definedName name="_xlnm.Print_Area" localSheetId="27">'8)GS 4Nutz.Fremdmech(a)'!$C$2:$Q$72</definedName>
    <definedName name="_xlnm.Print_Area" localSheetId="28">'8)GS4Nutz.Fremdmech(b)'!$B$1:$R$74</definedName>
    <definedName name="_xlnm.Print_Area" localSheetId="30">'9)GS 5Nutz.Fremd(b)'!$B$1:$R$74</definedName>
    <definedName name="_xlnm.Print_Area" localSheetId="29">'9)GS 5Nutz.Fremdmech(a)'!$C$2:$Q$72</definedName>
    <definedName name="_xlnm.Print_Area" localSheetId="12">Arbeitsgänge!$B$3:$O$79</definedName>
    <definedName name="_xlnm.Print_Area" localSheetId="8">Ausglleist!$A$2:$AA$46</definedName>
    <definedName name="_xlnm.Print_Area" localSheetId="0">Deckbl!$A$1:$M$34</definedName>
    <definedName name="_xlnm.Print_Area" localSheetId="10">'Festk-Masch-Geb'!$B$3:$Z$54</definedName>
    <definedName name="_xlnm.Print_Area" localSheetId="4">'Grafik-(a)'!$A$1:$U$29</definedName>
    <definedName name="_xlnm.Print_Area" localSheetId="5">'Grafik-(b)'!$A$1:$V$23</definedName>
    <definedName name="_xlnm.Print_Area" localSheetId="2">Hinweise!$A$2:$I$261</definedName>
    <definedName name="_xlnm.Print_Area" localSheetId="1">Inhalt!$B$1:$I$112</definedName>
    <definedName name="_xlnm.Print_Area" localSheetId="6">'Owerte-(a)'!$B$2:$M$73</definedName>
    <definedName name="_xlnm.Print_Area" localSheetId="7">'Owerte-(b)'!$B$2:$N$61</definedName>
    <definedName name="_xlnm.Print_Area" localSheetId="9">'Preise-Stammdaten'!$B$3:$N$134</definedName>
    <definedName name="_xlnm.Print_Area" localSheetId="51">'Silomais-Meka-(a)'!$C$2:$P$71</definedName>
    <definedName name="_xlnm.Print_Area" localSheetId="52">'Silomais-Meka-(b)'!$B$2:$O$70</definedName>
    <definedName name="_xlnm.Print_Area" localSheetId="11">'Sonst-Festk'!$B$3:$M$51</definedName>
    <definedName name="_xlnm.Print_Area" localSheetId="129">'Topi Knolle Biogas ex Silo (a)'!$C$2:$P$70</definedName>
    <definedName name="_xlnm.Print_Area" localSheetId="130">'Topi Knolle Biogas ex Silo (b)'!$B$2:$O$70</definedName>
    <definedName name="_xlnm.Print_Area" localSheetId="131">'Topi Kraut s Biogas ex Silo (a)'!$C$2:$P$70</definedName>
    <definedName name="_xlnm.Print_Area" localSheetId="132">'Topi Kraut s Biogas ex Silo (b)'!$B$2:$O$70</definedName>
    <definedName name="_xlnm.Print_Area" localSheetId="133">'Transportkosten Silomais'!$A$2:$P$40</definedName>
    <definedName name="_xlnm.Print_Area" localSheetId="3">'Übersicht wichtige Verfahren'!$B$2:$CJ$61</definedName>
    <definedName name="_xlnm.Print_Titles" localSheetId="43">'16)GSHeuGrünMischung-(a)'!$2:$5</definedName>
    <definedName name="_xlnm.Print_Titles" localSheetId="12">Arbeitsgänge!$3:$26</definedName>
    <definedName name="_xlnm.Print_Titles" localSheetId="3">'Übersicht wichtige Verfahren'!$B:$D,'Übersicht wichtige Verfahren'!$2:$4</definedName>
  </definedNames>
  <calcPr calcId="162913"/>
</workbook>
</file>

<file path=xl/calcChain.xml><?xml version="1.0" encoding="utf-8"?>
<calcChain xmlns="http://schemas.openxmlformats.org/spreadsheetml/2006/main">
  <c r="T46" i="5" l="1"/>
  <c r="S32" i="5" s="1"/>
  <c r="M18" i="11"/>
  <c r="M19" i="11"/>
  <c r="M20" i="11"/>
  <c r="M17" i="11"/>
  <c r="O41" i="86" l="1"/>
  <c r="N41" i="86"/>
  <c r="J51" i="17" l="1"/>
  <c r="J53" i="25" l="1"/>
  <c r="B42" i="14" l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E47" i="14"/>
  <c r="E46" i="14"/>
  <c r="J62" i="56" l="1"/>
  <c r="N50" i="211" l="1"/>
  <c r="O50" i="211"/>
  <c r="P50" i="211"/>
  <c r="Q50" i="211"/>
  <c r="M50" i="211"/>
  <c r="K46" i="45"/>
  <c r="M46" i="45" l="1"/>
  <c r="O46" i="45"/>
  <c r="O53" i="35"/>
  <c r="M53" i="35"/>
  <c r="O52" i="35"/>
  <c r="P54" i="35"/>
  <c r="N55" i="35"/>
  <c r="M52" i="35"/>
  <c r="N49" i="15"/>
  <c r="O49" i="15"/>
  <c r="P49" i="15"/>
  <c r="M49" i="15"/>
  <c r="H65" i="2" l="1"/>
  <c r="D26" i="207"/>
  <c r="J20" i="195" l="1"/>
  <c r="J21" i="195"/>
  <c r="J22" i="195"/>
  <c r="J23" i="195"/>
  <c r="J19" i="195"/>
  <c r="J23" i="193"/>
  <c r="J20" i="193"/>
  <c r="J21" i="193"/>
  <c r="J22" i="193"/>
  <c r="J19" i="193"/>
  <c r="J20" i="191"/>
  <c r="J21" i="191"/>
  <c r="J22" i="191"/>
  <c r="J23" i="191"/>
  <c r="J19" i="191"/>
  <c r="J20" i="179"/>
  <c r="J21" i="179"/>
  <c r="J22" i="179"/>
  <c r="J23" i="179"/>
  <c r="J19" i="179"/>
  <c r="J20" i="109"/>
  <c r="J21" i="109"/>
  <c r="J22" i="109"/>
  <c r="J23" i="109"/>
  <c r="J19" i="109"/>
  <c r="J20" i="111"/>
  <c r="J21" i="111"/>
  <c r="J22" i="111"/>
  <c r="J23" i="111"/>
  <c r="J19" i="111"/>
  <c r="J20" i="145"/>
  <c r="J21" i="145"/>
  <c r="J22" i="145"/>
  <c r="J23" i="145"/>
  <c r="J19" i="145"/>
  <c r="J20" i="149"/>
  <c r="J21" i="149"/>
  <c r="J22" i="149"/>
  <c r="J23" i="149"/>
  <c r="J19" i="149"/>
  <c r="J20" i="105"/>
  <c r="J21" i="105"/>
  <c r="J22" i="105"/>
  <c r="J23" i="105"/>
  <c r="J19" i="105"/>
  <c r="L27" i="91"/>
  <c r="L28" i="91"/>
  <c r="L29" i="91"/>
  <c r="L26" i="91"/>
  <c r="L27" i="65"/>
  <c r="L28" i="65"/>
  <c r="L29" i="65"/>
  <c r="L26" i="65"/>
  <c r="L27" i="163"/>
  <c r="L28" i="163"/>
  <c r="L29" i="163"/>
  <c r="L26" i="163"/>
  <c r="L27" i="159"/>
  <c r="L28" i="159"/>
  <c r="L29" i="159"/>
  <c r="L26" i="159"/>
  <c r="J27" i="159"/>
  <c r="J28" i="159"/>
  <c r="J29" i="159"/>
  <c r="J26" i="159"/>
  <c r="J20" i="181"/>
  <c r="J21" i="181"/>
  <c r="J22" i="181"/>
  <c r="J23" i="181"/>
  <c r="J19" i="181"/>
  <c r="J20" i="89"/>
  <c r="J21" i="89"/>
  <c r="J22" i="89"/>
  <c r="J23" i="89"/>
  <c r="J19" i="89"/>
  <c r="J19" i="77"/>
  <c r="J20" i="77"/>
  <c r="J21" i="77"/>
  <c r="J22" i="77"/>
  <c r="J23" i="77"/>
  <c r="J20" i="187"/>
  <c r="J21" i="187"/>
  <c r="J22" i="187"/>
  <c r="J23" i="187"/>
  <c r="J19" i="187"/>
  <c r="J20" i="189"/>
  <c r="J21" i="189"/>
  <c r="J22" i="189"/>
  <c r="J23" i="189"/>
  <c r="J19" i="189"/>
  <c r="J19" i="87"/>
  <c r="J20" i="87"/>
  <c r="J21" i="87"/>
  <c r="J22" i="87"/>
  <c r="J23" i="87"/>
  <c r="J20" i="69"/>
  <c r="J21" i="69"/>
  <c r="J22" i="69"/>
  <c r="J23" i="69"/>
  <c r="J19" i="69"/>
  <c r="J20" i="85"/>
  <c r="J21" i="85"/>
  <c r="J22" i="85"/>
  <c r="J23" i="85"/>
  <c r="J19" i="85"/>
  <c r="J20" i="67"/>
  <c r="J21" i="67"/>
  <c r="J22" i="67"/>
  <c r="J23" i="67"/>
  <c r="J19" i="67"/>
  <c r="J20" i="83"/>
  <c r="J21" i="83"/>
  <c r="J22" i="83"/>
  <c r="J23" i="83"/>
  <c r="J19" i="83"/>
  <c r="J20" i="73"/>
  <c r="J21" i="73"/>
  <c r="J22" i="73"/>
  <c r="J23" i="73"/>
  <c r="J19" i="73"/>
  <c r="J20" i="71"/>
  <c r="J21" i="71"/>
  <c r="J22" i="71"/>
  <c r="J23" i="71"/>
  <c r="J19" i="71"/>
  <c r="J20" i="47"/>
  <c r="J21" i="47"/>
  <c r="J22" i="47"/>
  <c r="J23" i="47"/>
  <c r="J19" i="47"/>
  <c r="J20" i="45"/>
  <c r="J21" i="45"/>
  <c r="J22" i="45"/>
  <c r="J23" i="45"/>
  <c r="J19" i="45"/>
  <c r="J20" i="157"/>
  <c r="J21" i="157"/>
  <c r="J22" i="157"/>
  <c r="J23" i="157"/>
  <c r="J19" i="157"/>
  <c r="J20" i="53"/>
  <c r="J21" i="53"/>
  <c r="J22" i="53"/>
  <c r="J23" i="53"/>
  <c r="J19" i="53"/>
  <c r="L27" i="35"/>
  <c r="L28" i="35"/>
  <c r="L29" i="35"/>
  <c r="L26" i="35"/>
  <c r="L27" i="31"/>
  <c r="L28" i="31"/>
  <c r="L29" i="31"/>
  <c r="L26" i="31"/>
  <c r="P18" i="195" l="1"/>
  <c r="N18" i="195"/>
  <c r="L18" i="195"/>
  <c r="L18" i="193"/>
  <c r="P18" i="193"/>
  <c r="N18" i="193"/>
  <c r="P18" i="191"/>
  <c r="N18" i="191"/>
  <c r="L18" i="191"/>
  <c r="N18" i="179"/>
  <c r="P18" i="179"/>
  <c r="L18" i="179"/>
  <c r="N18" i="109"/>
  <c r="P18" i="109"/>
  <c r="L18" i="109"/>
  <c r="N18" i="111"/>
  <c r="L18" i="111"/>
  <c r="P18" i="111"/>
  <c r="N18" i="145"/>
  <c r="L18" i="145"/>
  <c r="P18" i="145"/>
  <c r="N18" i="149"/>
  <c r="L18" i="149"/>
  <c r="P18" i="149"/>
  <c r="P18" i="105"/>
  <c r="L18" i="105"/>
  <c r="N18" i="105"/>
  <c r="P18" i="181"/>
  <c r="L18" i="181"/>
  <c r="N18" i="181"/>
  <c r="P18" i="89"/>
  <c r="L18" i="89"/>
  <c r="N18" i="89"/>
  <c r="L18" i="77"/>
  <c r="N18" i="77"/>
  <c r="P18" i="77"/>
  <c r="P18" i="187"/>
  <c r="N18" i="187"/>
  <c r="L18" i="187"/>
  <c r="N18" i="87"/>
  <c r="L18" i="87"/>
  <c r="P18" i="87"/>
  <c r="L18" i="69"/>
  <c r="N18" i="69"/>
  <c r="P18" i="69"/>
  <c r="L18" i="85"/>
  <c r="P18" i="85"/>
  <c r="N18" i="85"/>
  <c r="N18" i="67"/>
  <c r="P18" i="67"/>
  <c r="L18" i="67"/>
  <c r="P18" i="83"/>
  <c r="L18" i="83"/>
  <c r="N18" i="83"/>
  <c r="N18" i="73"/>
  <c r="L18" i="73"/>
  <c r="P18" i="73"/>
  <c r="P18" i="71"/>
  <c r="L18" i="71"/>
  <c r="N18" i="71"/>
  <c r="P18" i="47"/>
  <c r="N18" i="47"/>
  <c r="L18" i="47"/>
  <c r="N18" i="45"/>
  <c r="P18" i="45"/>
  <c r="L18" i="45"/>
  <c r="L18" i="157"/>
  <c r="N18" i="157"/>
  <c r="P18" i="157"/>
  <c r="P18" i="53"/>
  <c r="N18" i="53"/>
  <c r="L18" i="53"/>
  <c r="L27" i="215" l="1"/>
  <c r="L28" i="215"/>
  <c r="L29" i="215"/>
  <c r="L26" i="215"/>
  <c r="D26" i="215"/>
  <c r="L27" i="213"/>
  <c r="L28" i="213"/>
  <c r="L29" i="213"/>
  <c r="L26" i="213"/>
  <c r="L27" i="211"/>
  <c r="L28" i="211"/>
  <c r="L29" i="211"/>
  <c r="L26" i="211"/>
  <c r="J49" i="15"/>
  <c r="J50" i="15"/>
  <c r="J51" i="15"/>
  <c r="J52" i="15"/>
  <c r="J53" i="15"/>
  <c r="J54" i="15"/>
  <c r="J55" i="15"/>
  <c r="J56" i="15"/>
  <c r="L71" i="56"/>
  <c r="E42" i="14" l="1"/>
  <c r="L67" i="14"/>
  <c r="L68" i="14"/>
  <c r="L70" i="14"/>
  <c r="L72" i="14"/>
  <c r="L73" i="14"/>
  <c r="L74" i="14"/>
  <c r="L75" i="14"/>
  <c r="L76" i="14"/>
  <c r="L77" i="14"/>
  <c r="L78" i="14"/>
  <c r="L79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27" i="14"/>
  <c r="F18" i="14" l="1"/>
  <c r="M43" i="32" l="1"/>
  <c r="M43" i="59"/>
  <c r="M43" i="52"/>
  <c r="M43" i="26"/>
  <c r="M43" i="50"/>
  <c r="M43" i="82"/>
  <c r="M43" i="210"/>
  <c r="M43" i="208"/>
  <c r="M43" i="22"/>
  <c r="M43" i="24"/>
  <c r="M43" i="104"/>
  <c r="M43" i="57"/>
  <c r="M43" i="20"/>
  <c r="M43" i="16"/>
  <c r="M43" i="18"/>
  <c r="O41" i="110"/>
  <c r="N41" i="110"/>
  <c r="O41" i="196"/>
  <c r="N41" i="196"/>
  <c r="L27" i="58" l="1"/>
  <c r="N27" i="58" s="1"/>
  <c r="L28" i="58"/>
  <c r="N28" i="58" s="1"/>
  <c r="L29" i="58"/>
  <c r="M29" i="58" s="1"/>
  <c r="L26" i="58"/>
  <c r="M26" i="58" s="1"/>
  <c r="Q27" i="51"/>
  <c r="P27" i="51"/>
  <c r="L27" i="51"/>
  <c r="O27" i="51" s="1"/>
  <c r="L28" i="51"/>
  <c r="Q28" i="51" s="1"/>
  <c r="L29" i="51"/>
  <c r="Q29" i="51" s="1"/>
  <c r="L26" i="51"/>
  <c r="P26" i="51" s="1"/>
  <c r="L27" i="25"/>
  <c r="O27" i="25" s="1"/>
  <c r="L28" i="25"/>
  <c r="N28" i="25" s="1"/>
  <c r="L29" i="25"/>
  <c r="M29" i="25" s="1"/>
  <c r="L26" i="25"/>
  <c r="N26" i="25" s="1"/>
  <c r="L27" i="49"/>
  <c r="N27" i="49" s="1"/>
  <c r="L28" i="49"/>
  <c r="M28" i="49" s="1"/>
  <c r="L29" i="49"/>
  <c r="M29" i="49" s="1"/>
  <c r="L26" i="49"/>
  <c r="M26" i="49" s="1"/>
  <c r="O28" i="25" l="1"/>
  <c r="M27" i="51"/>
  <c r="M28" i="25"/>
  <c r="N27" i="51"/>
  <c r="M28" i="58"/>
  <c r="Q26" i="51"/>
  <c r="M26" i="51"/>
  <c r="N26" i="51"/>
  <c r="O26" i="25"/>
  <c r="M27" i="49"/>
  <c r="N26" i="58"/>
  <c r="M27" i="58"/>
  <c r="N29" i="58"/>
  <c r="O26" i="51"/>
  <c r="P28" i="51"/>
  <c r="N28" i="51"/>
  <c r="O28" i="51"/>
  <c r="M28" i="51"/>
  <c r="N29" i="51"/>
  <c r="P29" i="51"/>
  <c r="M29" i="51"/>
  <c r="O29" i="51"/>
  <c r="M26" i="25"/>
  <c r="M27" i="25"/>
  <c r="N27" i="25"/>
  <c r="O29" i="25"/>
  <c r="N29" i="25"/>
  <c r="N28" i="49"/>
  <c r="N26" i="49"/>
  <c r="N29" i="49"/>
  <c r="L27" i="81" l="1"/>
  <c r="O27" i="81" s="1"/>
  <c r="L28" i="81"/>
  <c r="O28" i="81" s="1"/>
  <c r="L29" i="81"/>
  <c r="O29" i="81" s="1"/>
  <c r="L26" i="81"/>
  <c r="M26" i="81" s="1"/>
  <c r="N29" i="209"/>
  <c r="M29" i="209"/>
  <c r="L27" i="209"/>
  <c r="N27" i="209" s="1"/>
  <c r="L28" i="209"/>
  <c r="Q28" i="209" s="1"/>
  <c r="L29" i="209"/>
  <c r="O29" i="209" s="1"/>
  <c r="L26" i="209"/>
  <c r="O26" i="209" s="1"/>
  <c r="P29" i="207"/>
  <c r="N29" i="207"/>
  <c r="L27" i="207"/>
  <c r="N27" i="207" s="1"/>
  <c r="L28" i="207"/>
  <c r="O28" i="207" s="1"/>
  <c r="L29" i="207"/>
  <c r="M29" i="207" s="1"/>
  <c r="L26" i="207"/>
  <c r="M26" i="207" s="1"/>
  <c r="L27" i="21"/>
  <c r="N27" i="21" s="1"/>
  <c r="L28" i="21"/>
  <c r="O28" i="21" s="1"/>
  <c r="L29" i="21"/>
  <c r="O29" i="21" s="1"/>
  <c r="L26" i="21"/>
  <c r="N26" i="21" s="1"/>
  <c r="L27" i="23"/>
  <c r="M27" i="23" s="1"/>
  <c r="L28" i="23"/>
  <c r="Q28" i="23" s="1"/>
  <c r="L29" i="23"/>
  <c r="O29" i="23" s="1"/>
  <c r="L26" i="23"/>
  <c r="Q26" i="23" s="1"/>
  <c r="L27" i="103"/>
  <c r="M27" i="103" s="1"/>
  <c r="L28" i="103"/>
  <c r="P28" i="103" s="1"/>
  <c r="L29" i="103"/>
  <c r="P29" i="103" s="1"/>
  <c r="L26" i="103"/>
  <c r="O26" i="103" s="1"/>
  <c r="L27" i="56"/>
  <c r="L28" i="56"/>
  <c r="L29" i="56"/>
  <c r="L26" i="56"/>
  <c r="D26" i="56"/>
  <c r="L27" i="19"/>
  <c r="P27" i="19" s="1"/>
  <c r="L28" i="19"/>
  <c r="Q28" i="19" s="1"/>
  <c r="L29" i="19"/>
  <c r="M29" i="19" s="1"/>
  <c r="L26" i="19"/>
  <c r="P26" i="19" s="1"/>
  <c r="P28" i="209" l="1"/>
  <c r="M28" i="207"/>
  <c r="M28" i="21"/>
  <c r="M28" i="209"/>
  <c r="N28" i="21"/>
  <c r="P28" i="207"/>
  <c r="N28" i="209"/>
  <c r="M29" i="81"/>
  <c r="O28" i="209"/>
  <c r="M28" i="81"/>
  <c r="P29" i="209"/>
  <c r="M27" i="81"/>
  <c r="O26" i="207"/>
  <c r="P26" i="207"/>
  <c r="N26" i="207"/>
  <c r="O27" i="207"/>
  <c r="P27" i="207"/>
  <c r="M27" i="207"/>
  <c r="N28" i="207"/>
  <c r="O29" i="207"/>
  <c r="M27" i="21"/>
  <c r="O27" i="21"/>
  <c r="Q26" i="19"/>
  <c r="M26" i="19"/>
  <c r="N26" i="19"/>
  <c r="O26" i="19"/>
  <c r="N29" i="19"/>
  <c r="O29" i="19"/>
  <c r="P29" i="19"/>
  <c r="Q29" i="19"/>
  <c r="M26" i="21"/>
  <c r="O26" i="21"/>
  <c r="N29" i="81"/>
  <c r="N28" i="81"/>
  <c r="N27" i="81"/>
  <c r="N26" i="81"/>
  <c r="O26" i="81"/>
  <c r="M26" i="209"/>
  <c r="P26" i="209"/>
  <c r="Q26" i="209"/>
  <c r="N26" i="209"/>
  <c r="M27" i="209"/>
  <c r="P27" i="209"/>
  <c r="Q27" i="209"/>
  <c r="O27" i="209"/>
  <c r="Q29" i="209"/>
  <c r="M29" i="21"/>
  <c r="N29" i="21"/>
  <c r="P29" i="23"/>
  <c r="Q29" i="23"/>
  <c r="N29" i="23"/>
  <c r="M29" i="23"/>
  <c r="P28" i="23"/>
  <c r="O28" i="23"/>
  <c r="N28" i="23"/>
  <c r="M28" i="23"/>
  <c r="P27" i="23"/>
  <c r="N27" i="23"/>
  <c r="Q27" i="23"/>
  <c r="O27" i="23"/>
  <c r="P26" i="23"/>
  <c r="O26" i="23"/>
  <c r="N26" i="23"/>
  <c r="M26" i="23"/>
  <c r="M29" i="103"/>
  <c r="O29" i="103"/>
  <c r="N29" i="103"/>
  <c r="O27" i="103"/>
  <c r="N27" i="103"/>
  <c r="Q27" i="19"/>
  <c r="N27" i="19"/>
  <c r="O27" i="19"/>
  <c r="M27" i="19"/>
  <c r="P28" i="19"/>
  <c r="M28" i="19"/>
  <c r="N28" i="19"/>
  <c r="O28" i="19"/>
  <c r="N26" i="103"/>
  <c r="P26" i="103"/>
  <c r="M26" i="103"/>
  <c r="P27" i="103"/>
  <c r="O28" i="103"/>
  <c r="M28" i="103"/>
  <c r="N28" i="103"/>
  <c r="L28" i="15"/>
  <c r="L29" i="15"/>
  <c r="L26" i="15"/>
  <c r="O29" i="15" l="1"/>
  <c r="M29" i="15"/>
  <c r="P29" i="15"/>
  <c r="N29" i="15"/>
  <c r="P26" i="15"/>
  <c r="N26" i="15"/>
  <c r="O26" i="15"/>
  <c r="M26" i="15"/>
  <c r="M28" i="15"/>
  <c r="N28" i="15"/>
  <c r="O28" i="15"/>
  <c r="P28" i="15"/>
  <c r="L27" i="17"/>
  <c r="L28" i="17"/>
  <c r="L29" i="17"/>
  <c r="L26" i="17"/>
  <c r="O38" i="203"/>
  <c r="O32" i="203"/>
  <c r="O33" i="203"/>
  <c r="O34" i="203"/>
  <c r="O35" i="203"/>
  <c r="O36" i="203"/>
  <c r="O39" i="203"/>
  <c r="O40" i="203"/>
  <c r="L27" i="15" s="1"/>
  <c r="O41" i="203"/>
  <c r="O42" i="203"/>
  <c r="O43" i="203"/>
  <c r="O44" i="203"/>
  <c r="O9" i="203"/>
  <c r="O10" i="203"/>
  <c r="O11" i="203"/>
  <c r="O12" i="203"/>
  <c r="O13" i="203"/>
  <c r="O14" i="203"/>
  <c r="O15" i="203"/>
  <c r="O16" i="203"/>
  <c r="O17" i="203"/>
  <c r="O18" i="203"/>
  <c r="O19" i="203"/>
  <c r="O20" i="203"/>
  <c r="O21" i="203"/>
  <c r="O22" i="203"/>
  <c r="O23" i="203"/>
  <c r="O24" i="203"/>
  <c r="O25" i="203"/>
  <c r="O26" i="203"/>
  <c r="O27" i="203"/>
  <c r="O28" i="203"/>
  <c r="O29" i="203"/>
  <c r="O30" i="203"/>
  <c r="O31" i="203"/>
  <c r="O8" i="203"/>
  <c r="O26" i="17" l="1"/>
  <c r="N26" i="17"/>
  <c r="M26" i="17"/>
  <c r="M27" i="15"/>
  <c r="P27" i="15"/>
  <c r="N27" i="15"/>
  <c r="O27" i="15"/>
  <c r="M28" i="17"/>
  <c r="N28" i="17"/>
  <c r="O28" i="17"/>
  <c r="M29" i="17"/>
  <c r="N29" i="17"/>
  <c r="O29" i="17"/>
  <c r="M27" i="17"/>
  <c r="N27" i="17"/>
  <c r="O27" i="17"/>
  <c r="D27" i="17"/>
  <c r="E71" i="14" l="1"/>
  <c r="E69" i="14"/>
  <c r="E60" i="14"/>
  <c r="E61" i="14"/>
  <c r="D20" i="12" l="1"/>
  <c r="E66" i="14" l="1"/>
  <c r="E65" i="14"/>
  <c r="E64" i="14"/>
  <c r="E62" i="14"/>
  <c r="E59" i="14" l="1"/>
  <c r="E50" i="14"/>
  <c r="E48" i="14"/>
  <c r="E45" i="14" l="1"/>
  <c r="E44" i="14"/>
  <c r="D23" i="12" l="1"/>
  <c r="AB20" i="12"/>
  <c r="S45" i="157" l="1"/>
  <c r="S45" i="53"/>
  <c r="G3" i="190" l="1"/>
  <c r="M6" i="92"/>
  <c r="W8" i="11" l="1"/>
  <c r="N6" i="17" l="1"/>
  <c r="AR40" i="4" l="1"/>
  <c r="AQ40" i="4"/>
  <c r="AP40" i="4"/>
  <c r="Z40" i="4"/>
  <c r="AB40" i="4" l="1"/>
  <c r="AA40" i="4"/>
  <c r="W40" i="4"/>
  <c r="Y40" i="4"/>
  <c r="X40" i="4"/>
  <c r="V40" i="4" l="1"/>
  <c r="V34" i="4"/>
  <c r="V13" i="4"/>
  <c r="U40" i="4"/>
  <c r="U34" i="4"/>
  <c r="U13" i="4"/>
  <c r="T40" i="4"/>
  <c r="T34" i="4"/>
  <c r="T13" i="4"/>
  <c r="M40" i="4"/>
  <c r="M34" i="4"/>
  <c r="M13" i="4"/>
  <c r="L40" i="4"/>
  <c r="L34" i="4"/>
  <c r="L13" i="4"/>
  <c r="K13" i="4" l="1"/>
  <c r="M43" i="216" l="1"/>
  <c r="V36" i="4" s="1"/>
  <c r="C16" i="216"/>
  <c r="C17" i="216" s="1"/>
  <c r="C19" i="216" s="1"/>
  <c r="C20" i="216" s="1"/>
  <c r="C21" i="216" s="1"/>
  <c r="C22" i="216" s="1"/>
  <c r="C23" i="216" s="1"/>
  <c r="C24" i="216" s="1"/>
  <c r="C25" i="216" s="1"/>
  <c r="C26" i="216" s="1"/>
  <c r="C27" i="216" s="1"/>
  <c r="C28" i="216" s="1"/>
  <c r="C29" i="216" s="1"/>
  <c r="C30" i="216" s="1"/>
  <c r="C31" i="216" s="1"/>
  <c r="C32" i="216" s="1"/>
  <c r="C33" i="216" s="1"/>
  <c r="C34" i="216" s="1"/>
  <c r="C36" i="216" s="1"/>
  <c r="C37" i="216" s="1"/>
  <c r="C38" i="216" s="1"/>
  <c r="C39" i="216" s="1"/>
  <c r="C40" i="216" s="1"/>
  <c r="C41" i="216" s="1"/>
  <c r="C42" i="216" s="1"/>
  <c r="C43" i="216" s="1"/>
  <c r="C44" i="216" s="1"/>
  <c r="C45" i="216" s="1"/>
  <c r="C47" i="216" s="1"/>
  <c r="C48" i="216" s="1"/>
  <c r="M6" i="216"/>
  <c r="V5" i="4" s="1"/>
  <c r="I3" i="216"/>
  <c r="F3" i="216"/>
  <c r="R2" i="216"/>
  <c r="L77" i="215"/>
  <c r="Q70" i="215"/>
  <c r="P70" i="215"/>
  <c r="O70" i="215"/>
  <c r="N70" i="215"/>
  <c r="M70" i="215"/>
  <c r="I70" i="215"/>
  <c r="H70" i="215"/>
  <c r="D70" i="215"/>
  <c r="H69" i="215"/>
  <c r="D69" i="215"/>
  <c r="K66" i="215"/>
  <c r="Q64" i="215"/>
  <c r="R26" i="216" s="1"/>
  <c r="P64" i="215"/>
  <c r="Q26" i="216" s="1"/>
  <c r="O64" i="215"/>
  <c r="P26" i="216" s="1"/>
  <c r="N64" i="215"/>
  <c r="O26" i="216" s="1"/>
  <c r="M64" i="215"/>
  <c r="N26" i="216" s="1"/>
  <c r="L64" i="215"/>
  <c r="M26" i="216" s="1"/>
  <c r="V21" i="4" s="1"/>
  <c r="X63" i="215"/>
  <c r="W63" i="215"/>
  <c r="V63" i="215"/>
  <c r="U63" i="215"/>
  <c r="T63" i="215"/>
  <c r="K63" i="215"/>
  <c r="J63" i="215"/>
  <c r="G63" i="215"/>
  <c r="X62" i="215"/>
  <c r="W62" i="215"/>
  <c r="V62" i="215"/>
  <c r="U62" i="215"/>
  <c r="T62" i="215"/>
  <c r="J62" i="215"/>
  <c r="X61" i="215"/>
  <c r="P61" i="215"/>
  <c r="M61" i="215"/>
  <c r="J61" i="215" s="1"/>
  <c r="AD56" i="215"/>
  <c r="AC56" i="215"/>
  <c r="AB56" i="215"/>
  <c r="AA56" i="215"/>
  <c r="Z56" i="215"/>
  <c r="X56" i="215"/>
  <c r="W56" i="215"/>
  <c r="V56" i="215"/>
  <c r="U56" i="215"/>
  <c r="T56" i="215"/>
  <c r="J56" i="215"/>
  <c r="AD55" i="215"/>
  <c r="AC55" i="215"/>
  <c r="AB55" i="215"/>
  <c r="AA55" i="215"/>
  <c r="Z55" i="215"/>
  <c r="X55" i="215"/>
  <c r="W55" i="215"/>
  <c r="V55" i="215"/>
  <c r="U55" i="215"/>
  <c r="T55" i="215"/>
  <c r="J55" i="215"/>
  <c r="AD54" i="215"/>
  <c r="X54" i="215"/>
  <c r="J54" i="215"/>
  <c r="AD53" i="215"/>
  <c r="X53" i="215"/>
  <c r="V53" i="215"/>
  <c r="T53" i="215"/>
  <c r="J53" i="215"/>
  <c r="AD52" i="215"/>
  <c r="X52" i="215"/>
  <c r="J52" i="215"/>
  <c r="AD51" i="215"/>
  <c r="X51" i="215"/>
  <c r="J51" i="215"/>
  <c r="AD49" i="215"/>
  <c r="X49" i="215"/>
  <c r="J49" i="215"/>
  <c r="AD48" i="215"/>
  <c r="X48" i="215"/>
  <c r="J48" i="215"/>
  <c r="AD47" i="215"/>
  <c r="X47" i="215"/>
  <c r="J47" i="215"/>
  <c r="AD46" i="215"/>
  <c r="X46" i="215"/>
  <c r="J46" i="215"/>
  <c r="D31" i="215"/>
  <c r="D29" i="215"/>
  <c r="D28" i="215"/>
  <c r="D27" i="215"/>
  <c r="J24" i="215"/>
  <c r="Q21" i="215"/>
  <c r="P21" i="215"/>
  <c r="O21" i="215"/>
  <c r="N21" i="215"/>
  <c r="M21" i="215"/>
  <c r="Q19" i="215"/>
  <c r="R11" i="216" s="1"/>
  <c r="R58" i="216" s="1"/>
  <c r="Q18" i="215"/>
  <c r="Q16" i="215"/>
  <c r="Q15" i="215"/>
  <c r="R8" i="216" s="1"/>
  <c r="R29" i="216" s="1"/>
  <c r="P14" i="215"/>
  <c r="N14" i="215"/>
  <c r="Q13" i="215"/>
  <c r="P13" i="215"/>
  <c r="O13" i="215"/>
  <c r="N13" i="215"/>
  <c r="M13" i="215"/>
  <c r="R7" i="215"/>
  <c r="I7" i="215" s="1"/>
  <c r="Q6" i="215"/>
  <c r="R6" i="216" s="1"/>
  <c r="P6" i="215"/>
  <c r="Q6" i="216" s="1"/>
  <c r="O6" i="215"/>
  <c r="P6" i="216" s="1"/>
  <c r="N6" i="215"/>
  <c r="O6" i="216" s="1"/>
  <c r="M6" i="215"/>
  <c r="N6" i="216" s="1"/>
  <c r="Q5" i="215"/>
  <c r="R5" i="216" s="1"/>
  <c r="P5" i="215"/>
  <c r="Q5" i="216" s="1"/>
  <c r="O5" i="215"/>
  <c r="P5" i="216" s="1"/>
  <c r="N5" i="215"/>
  <c r="O5" i="216" s="1"/>
  <c r="M5" i="215"/>
  <c r="N5" i="216" s="1"/>
  <c r="Q59" i="215" l="1"/>
  <c r="R25" i="216" s="1"/>
  <c r="L25" i="215"/>
  <c r="N25" i="215" s="1"/>
  <c r="W30" i="216" s="1"/>
  <c r="L70" i="215"/>
  <c r="U53" i="215"/>
  <c r="W53" i="215"/>
  <c r="Z53" i="215"/>
  <c r="AB53" i="215"/>
  <c r="AA53" i="215"/>
  <c r="U54" i="215"/>
  <c r="W54" i="215"/>
  <c r="Z54" i="215"/>
  <c r="AB54" i="215"/>
  <c r="T54" i="215"/>
  <c r="V54" i="215"/>
  <c r="AA54" i="215"/>
  <c r="O43" i="216"/>
  <c r="O41" i="216"/>
  <c r="Q43" i="216"/>
  <c r="Q41" i="216"/>
  <c r="K8" i="215"/>
  <c r="M14" i="215"/>
  <c r="O14" i="215"/>
  <c r="Q14" i="215"/>
  <c r="Q77" i="215"/>
  <c r="R37" i="216"/>
  <c r="R10" i="216"/>
  <c r="R56" i="216" s="1"/>
  <c r="Q50" i="215"/>
  <c r="N43" i="216"/>
  <c r="N41" i="216"/>
  <c r="P43" i="216"/>
  <c r="P41" i="216"/>
  <c r="R43" i="216"/>
  <c r="R41" i="216"/>
  <c r="K9" i="215"/>
  <c r="O7" i="216"/>
  <c r="Q7" i="216"/>
  <c r="N15" i="215"/>
  <c r="P15" i="215"/>
  <c r="N17" i="215"/>
  <c r="P17" i="215"/>
  <c r="C51" i="216"/>
  <c r="C49" i="216"/>
  <c r="C50" i="216" s="1"/>
  <c r="P61" i="213"/>
  <c r="M61" i="213"/>
  <c r="U30" i="216" l="1"/>
  <c r="M16" i="216" s="1"/>
  <c r="M25" i="215"/>
  <c r="V30" i="216" s="1"/>
  <c r="N16" i="216" s="1"/>
  <c r="O25" i="215"/>
  <c r="X30" i="216" s="1"/>
  <c r="P16" i="216" s="1"/>
  <c r="P25" i="215"/>
  <c r="Y30" i="216" s="1"/>
  <c r="Q16" i="216" s="1"/>
  <c r="Q25" i="215"/>
  <c r="Z30" i="216" s="1"/>
  <c r="R16" i="216" s="1"/>
  <c r="C55" i="216"/>
  <c r="C56" i="216" s="1"/>
  <c r="C57" i="216" s="1"/>
  <c r="C58" i="216" s="1"/>
  <c r="C52" i="216"/>
  <c r="C53" i="216" s="1"/>
  <c r="Q9" i="216"/>
  <c r="P23" i="215"/>
  <c r="Q13" i="216" s="1"/>
  <c r="P18" i="215"/>
  <c r="P22" i="215"/>
  <c r="Q12" i="216" s="1"/>
  <c r="Q8" i="216"/>
  <c r="P16" i="215"/>
  <c r="X50" i="215"/>
  <c r="Q57" i="215" s="1"/>
  <c r="Q58" i="215" s="1"/>
  <c r="R36" i="216" s="1"/>
  <c r="J50" i="215"/>
  <c r="AD50" i="215"/>
  <c r="Q43" i="215" s="1"/>
  <c r="R24" i="216" s="1"/>
  <c r="R7" i="216"/>
  <c r="Q17" i="215"/>
  <c r="N7" i="216"/>
  <c r="K14" i="215"/>
  <c r="K11" i="215" s="1"/>
  <c r="M17" i="215"/>
  <c r="M15" i="215"/>
  <c r="O9" i="216"/>
  <c r="N22" i="215"/>
  <c r="O12" i="216" s="1"/>
  <c r="N18" i="215"/>
  <c r="N23" i="215"/>
  <c r="O13" i="216" s="1"/>
  <c r="O8" i="216"/>
  <c r="N16" i="215"/>
  <c r="O16" i="216"/>
  <c r="P7" i="216"/>
  <c r="O17" i="215"/>
  <c r="O15" i="215"/>
  <c r="Q16" i="213"/>
  <c r="R37" i="214" s="1"/>
  <c r="M43" i="214"/>
  <c r="U36" i="4" s="1"/>
  <c r="C16" i="214"/>
  <c r="C17" i="214" s="1"/>
  <c r="C19" i="214" s="1"/>
  <c r="C20" i="214" s="1"/>
  <c r="C21" i="214" s="1"/>
  <c r="C22" i="214" s="1"/>
  <c r="C23" i="214" s="1"/>
  <c r="C24" i="214" s="1"/>
  <c r="C25" i="214" s="1"/>
  <c r="C26" i="214" s="1"/>
  <c r="C27" i="214" s="1"/>
  <c r="C28" i="214" s="1"/>
  <c r="C29" i="214" s="1"/>
  <c r="C30" i="214" s="1"/>
  <c r="C31" i="214" s="1"/>
  <c r="C32" i="214" s="1"/>
  <c r="C33" i="214" s="1"/>
  <c r="C34" i="214" s="1"/>
  <c r="C36" i="214" s="1"/>
  <c r="C37" i="214" s="1"/>
  <c r="C38" i="214" s="1"/>
  <c r="C39" i="214" s="1"/>
  <c r="C40" i="214" s="1"/>
  <c r="C41" i="214" s="1"/>
  <c r="C42" i="214" s="1"/>
  <c r="C43" i="214" s="1"/>
  <c r="C44" i="214" s="1"/>
  <c r="C45" i="214" s="1"/>
  <c r="C47" i="214" s="1"/>
  <c r="C48" i="214" s="1"/>
  <c r="M6" i="214"/>
  <c r="U5" i="4" s="1"/>
  <c r="I3" i="214"/>
  <c r="F3" i="214"/>
  <c r="R2" i="214"/>
  <c r="L77" i="213"/>
  <c r="Q70" i="213"/>
  <c r="P70" i="213"/>
  <c r="O70" i="213"/>
  <c r="N70" i="213"/>
  <c r="M70" i="213"/>
  <c r="I70" i="213"/>
  <c r="H70" i="213"/>
  <c r="D70" i="213"/>
  <c r="H69" i="213"/>
  <c r="D69" i="213"/>
  <c r="K66" i="213"/>
  <c r="L64" i="213" s="1"/>
  <c r="M26" i="214" s="1"/>
  <c r="U21" i="4" s="1"/>
  <c r="Q64" i="213"/>
  <c r="R26" i="214" s="1"/>
  <c r="P64" i="213"/>
  <c r="Q26" i="214" s="1"/>
  <c r="O64" i="213"/>
  <c r="P26" i="214" s="1"/>
  <c r="N64" i="213"/>
  <c r="O26" i="214" s="1"/>
  <c r="M64" i="213"/>
  <c r="N26" i="214" s="1"/>
  <c r="X63" i="213"/>
  <c r="W63" i="213"/>
  <c r="V63" i="213"/>
  <c r="U63" i="213"/>
  <c r="T63" i="213"/>
  <c r="K63" i="213"/>
  <c r="J63" i="213"/>
  <c r="G63" i="213"/>
  <c r="X62" i="213"/>
  <c r="J62" i="213"/>
  <c r="X61" i="213"/>
  <c r="J61" i="213"/>
  <c r="AD56" i="213"/>
  <c r="AC56" i="213"/>
  <c r="AB56" i="213"/>
  <c r="AA56" i="213"/>
  <c r="Z56" i="213"/>
  <c r="X56" i="213"/>
  <c r="W56" i="213"/>
  <c r="V56" i="213"/>
  <c r="U56" i="213"/>
  <c r="T56" i="213"/>
  <c r="J56" i="213"/>
  <c r="AD55" i="213"/>
  <c r="AC55" i="213"/>
  <c r="AB55" i="213"/>
  <c r="AA55" i="213"/>
  <c r="Z55" i="213"/>
  <c r="X55" i="213"/>
  <c r="W55" i="213"/>
  <c r="V55" i="213"/>
  <c r="U55" i="213"/>
  <c r="T55" i="213"/>
  <c r="J55" i="213"/>
  <c r="AD54" i="213"/>
  <c r="X54" i="213"/>
  <c r="J54" i="213"/>
  <c r="AD53" i="213"/>
  <c r="AC53" i="213"/>
  <c r="AB53" i="213"/>
  <c r="AA53" i="213"/>
  <c r="Z53" i="213"/>
  <c r="X53" i="213"/>
  <c r="W53" i="213"/>
  <c r="V53" i="213"/>
  <c r="U53" i="213"/>
  <c r="T53" i="213"/>
  <c r="J53" i="213"/>
  <c r="AD52" i="213"/>
  <c r="X52" i="213"/>
  <c r="J52" i="213"/>
  <c r="AD51" i="213"/>
  <c r="X51" i="213"/>
  <c r="J51" i="213"/>
  <c r="AD49" i="213"/>
  <c r="X49" i="213"/>
  <c r="J49" i="213"/>
  <c r="AD48" i="213"/>
  <c r="X48" i="213"/>
  <c r="J48" i="213"/>
  <c r="AD47" i="213"/>
  <c r="X47" i="213"/>
  <c r="J47" i="213"/>
  <c r="AD46" i="213"/>
  <c r="X46" i="213"/>
  <c r="J46" i="213"/>
  <c r="D31" i="213"/>
  <c r="D29" i="213"/>
  <c r="D28" i="213"/>
  <c r="D27" i="213"/>
  <c r="D26" i="213"/>
  <c r="J24" i="213"/>
  <c r="Q21" i="213"/>
  <c r="P21" i="213"/>
  <c r="O21" i="213"/>
  <c r="N21" i="213"/>
  <c r="M21" i="213"/>
  <c r="Q19" i="213"/>
  <c r="R11" i="214" s="1"/>
  <c r="R58" i="214" s="1"/>
  <c r="Q18" i="213"/>
  <c r="Q50" i="213" s="1"/>
  <c r="Q15" i="213"/>
  <c r="R8" i="214" s="1"/>
  <c r="R29" i="214" s="1"/>
  <c r="O14" i="213"/>
  <c r="M14" i="213"/>
  <c r="Q13" i="213"/>
  <c r="P13" i="213"/>
  <c r="O13" i="213"/>
  <c r="N13" i="213"/>
  <c r="M13" i="213"/>
  <c r="R7" i="213"/>
  <c r="I7" i="213"/>
  <c r="Q6" i="213"/>
  <c r="R6" i="214" s="1"/>
  <c r="P6" i="213"/>
  <c r="Q6" i="214" s="1"/>
  <c r="O6" i="213"/>
  <c r="P6" i="214" s="1"/>
  <c r="N6" i="213"/>
  <c r="O6" i="214" s="1"/>
  <c r="M6" i="213"/>
  <c r="N6" i="214" s="1"/>
  <c r="Q5" i="213"/>
  <c r="R5" i="214" s="1"/>
  <c r="P5" i="213"/>
  <c r="Q5" i="214" s="1"/>
  <c r="O5" i="213"/>
  <c r="P5" i="214" s="1"/>
  <c r="N5" i="213"/>
  <c r="O5" i="214" s="1"/>
  <c r="M5" i="213"/>
  <c r="N5" i="214" s="1"/>
  <c r="K10" i="215" l="1"/>
  <c r="W66" i="215" s="1"/>
  <c r="Q14" i="213"/>
  <c r="Q59" i="213"/>
  <c r="R25" i="214" s="1"/>
  <c r="L25" i="213"/>
  <c r="U30" i="214" s="1"/>
  <c r="L70" i="213"/>
  <c r="P9" i="216"/>
  <c r="O23" i="215"/>
  <c r="P13" i="216" s="1"/>
  <c r="O22" i="215"/>
  <c r="P12" i="216" s="1"/>
  <c r="O18" i="215"/>
  <c r="R9" i="216"/>
  <c r="Q23" i="215"/>
  <c r="R13" i="216" s="1"/>
  <c r="Q22" i="215"/>
  <c r="R12" i="216" s="1"/>
  <c r="P8" i="216"/>
  <c r="O16" i="215"/>
  <c r="O10" i="216"/>
  <c r="N19" i="215"/>
  <c r="O11" i="216" s="1"/>
  <c r="N9" i="216"/>
  <c r="M23" i="215"/>
  <c r="M22" i="215"/>
  <c r="K17" i="215"/>
  <c r="M9" i="216" s="1"/>
  <c r="V9" i="4" s="1"/>
  <c r="M18" i="215"/>
  <c r="K39" i="215"/>
  <c r="K37" i="215"/>
  <c r="M7" i="216"/>
  <c r="V6" i="4" s="1"/>
  <c r="K38" i="215"/>
  <c r="K36" i="215"/>
  <c r="P19" i="215"/>
  <c r="Q11" i="216" s="1"/>
  <c r="Q10" i="216"/>
  <c r="C61" i="216"/>
  <c r="C62" i="216" s="1"/>
  <c r="C63" i="216" s="1"/>
  <c r="C64" i="216" s="1"/>
  <c r="C65" i="216" s="1"/>
  <c r="C66" i="216" s="1"/>
  <c r="C68" i="216" s="1"/>
  <c r="C69" i="216" s="1"/>
  <c r="C70" i="216" s="1"/>
  <c r="C71" i="216" s="1"/>
  <c r="C59" i="216"/>
  <c r="C60" i="216" s="1"/>
  <c r="O37" i="216"/>
  <c r="N77" i="215"/>
  <c r="N8" i="216"/>
  <c r="K15" i="215"/>
  <c r="M8" i="216" s="1"/>
  <c r="V7" i="4" s="1"/>
  <c r="M16" i="215"/>
  <c r="R64" i="216"/>
  <c r="R57" i="216"/>
  <c r="Q37" i="216"/>
  <c r="P77" i="215"/>
  <c r="U54" i="213"/>
  <c r="W54" i="213"/>
  <c r="Z54" i="213"/>
  <c r="AB54" i="213"/>
  <c r="T54" i="213"/>
  <c r="V54" i="213"/>
  <c r="AA54" i="213"/>
  <c r="Q77" i="213"/>
  <c r="O43" i="214"/>
  <c r="O41" i="214"/>
  <c r="Q43" i="214"/>
  <c r="Q41" i="214"/>
  <c r="N43" i="214"/>
  <c r="N41" i="214"/>
  <c r="P43" i="214"/>
  <c r="P41" i="214"/>
  <c r="R43" i="214"/>
  <c r="R41" i="214"/>
  <c r="AD50" i="213"/>
  <c r="Q43" i="213" s="1"/>
  <c r="R24" i="214" s="1"/>
  <c r="X50" i="213"/>
  <c r="Q57" i="213" s="1"/>
  <c r="Q58" i="213" s="1"/>
  <c r="R36" i="214" s="1"/>
  <c r="U62" i="213"/>
  <c r="V62" i="213"/>
  <c r="T62" i="213"/>
  <c r="C51" i="214"/>
  <c r="C49" i="214"/>
  <c r="C50" i="214" s="1"/>
  <c r="K8" i="213"/>
  <c r="K9" i="213"/>
  <c r="N14" i="213"/>
  <c r="P14" i="213"/>
  <c r="N7" i="214"/>
  <c r="P7" i="214"/>
  <c r="R7" i="214"/>
  <c r="R10" i="214"/>
  <c r="R56" i="214" s="1"/>
  <c r="M15" i="213"/>
  <c r="M16" i="213" s="1"/>
  <c r="O15" i="213"/>
  <c r="M17" i="213"/>
  <c r="O17" i="213"/>
  <c r="Q17" i="213"/>
  <c r="K20" i="215" l="1"/>
  <c r="P8" i="214"/>
  <c r="O16" i="213"/>
  <c r="K21" i="215"/>
  <c r="M25" i="213"/>
  <c r="V30" i="214" s="1"/>
  <c r="N16" i="214" s="1"/>
  <c r="N25" i="213"/>
  <c r="W30" i="214" s="1"/>
  <c r="O16" i="214" s="1"/>
  <c r="Q25" i="213"/>
  <c r="Z30" i="214" s="1"/>
  <c r="R16" i="214" s="1"/>
  <c r="P25" i="213"/>
  <c r="Y30" i="214" s="1"/>
  <c r="Q16" i="214" s="1"/>
  <c r="O25" i="213"/>
  <c r="X30" i="214" s="1"/>
  <c r="P16" i="214" s="1"/>
  <c r="M77" i="215"/>
  <c r="N37" i="216"/>
  <c r="K16" i="215"/>
  <c r="K12" i="215"/>
  <c r="K13" i="215"/>
  <c r="N10" i="216"/>
  <c r="K18" i="215"/>
  <c r="M10" i="216" s="1"/>
  <c r="V8" i="4" s="1"/>
  <c r="M19" i="215"/>
  <c r="N12" i="216"/>
  <c r="K22" i="215"/>
  <c r="M12" i="216" s="1"/>
  <c r="V11" i="4" s="1"/>
  <c r="R66" i="216"/>
  <c r="R62" i="216"/>
  <c r="R34" i="216"/>
  <c r="N13" i="216"/>
  <c r="K23" i="215"/>
  <c r="M13" i="216" s="1"/>
  <c r="V12" i="4" s="1"/>
  <c r="P37" i="216"/>
  <c r="O77" i="215"/>
  <c r="R53" i="216"/>
  <c r="R65" i="216"/>
  <c r="R61" i="216"/>
  <c r="R59" i="216"/>
  <c r="R60" i="216" s="1"/>
  <c r="R50" i="216"/>
  <c r="R33" i="216"/>
  <c r="P10" i="216"/>
  <c r="O19" i="215"/>
  <c r="P11" i="216" s="1"/>
  <c r="N37" i="214"/>
  <c r="M77" i="213"/>
  <c r="R9" i="214"/>
  <c r="Q23" i="213"/>
  <c r="R13" i="214" s="1"/>
  <c r="Q22" i="213"/>
  <c r="R12" i="214" s="1"/>
  <c r="M18" i="213"/>
  <c r="N9" i="214"/>
  <c r="M23" i="213"/>
  <c r="M22" i="213"/>
  <c r="N8" i="214"/>
  <c r="O7" i="214"/>
  <c r="N17" i="213"/>
  <c r="N15" i="213"/>
  <c r="C55" i="214"/>
  <c r="C56" i="214" s="1"/>
  <c r="C57" i="214" s="1"/>
  <c r="C58" i="214" s="1"/>
  <c r="C52" i="214"/>
  <c r="C53" i="214" s="1"/>
  <c r="M16" i="214"/>
  <c r="O18" i="213"/>
  <c r="P9" i="214"/>
  <c r="O23" i="213"/>
  <c r="P13" i="214" s="1"/>
  <c r="O22" i="213"/>
  <c r="P12" i="214" s="1"/>
  <c r="R64" i="214"/>
  <c r="R57" i="214"/>
  <c r="Q7" i="214"/>
  <c r="P17" i="213"/>
  <c r="P15" i="213"/>
  <c r="K14" i="213"/>
  <c r="K10" i="213" s="1"/>
  <c r="W66" i="213" s="1"/>
  <c r="O8" i="214" l="1"/>
  <c r="N16" i="213"/>
  <c r="P37" i="214"/>
  <c r="O77" i="213"/>
  <c r="N11" i="216"/>
  <c r="K19" i="215"/>
  <c r="M11" i="216" s="1"/>
  <c r="M37" i="216"/>
  <c r="V31" i="4" s="1"/>
  <c r="K77" i="215"/>
  <c r="K11" i="213"/>
  <c r="Q8" i="214"/>
  <c r="P16" i="213"/>
  <c r="O19" i="213"/>
  <c r="P11" i="214" s="1"/>
  <c r="P10" i="214"/>
  <c r="O9" i="214"/>
  <c r="N23" i="213"/>
  <c r="O13" i="214" s="1"/>
  <c r="N22" i="213"/>
  <c r="O12" i="214" s="1"/>
  <c r="N18" i="213"/>
  <c r="K17" i="213"/>
  <c r="M9" i="214" s="1"/>
  <c r="U9" i="4" s="1"/>
  <c r="N12" i="214"/>
  <c r="R66" i="214"/>
  <c r="R62" i="214"/>
  <c r="R34" i="214"/>
  <c r="M7" i="214"/>
  <c r="U6" i="4" s="1"/>
  <c r="K38" i="213"/>
  <c r="K36" i="213"/>
  <c r="K39" i="213"/>
  <c r="K37" i="213"/>
  <c r="Q9" i="214"/>
  <c r="P23" i="213"/>
  <c r="Q13" i="214" s="1"/>
  <c r="P22" i="213"/>
  <c r="Q12" i="214" s="1"/>
  <c r="P18" i="213"/>
  <c r="C61" i="214"/>
  <c r="C62" i="214" s="1"/>
  <c r="C63" i="214" s="1"/>
  <c r="C64" i="214" s="1"/>
  <c r="C65" i="214" s="1"/>
  <c r="C66" i="214" s="1"/>
  <c r="C68" i="214" s="1"/>
  <c r="C69" i="214" s="1"/>
  <c r="C70" i="214" s="1"/>
  <c r="C71" i="214" s="1"/>
  <c r="C59" i="214"/>
  <c r="C60" i="214" s="1"/>
  <c r="K15" i="213"/>
  <c r="M8" i="214" s="1"/>
  <c r="U7" i="4" s="1"/>
  <c r="N13" i="214"/>
  <c r="M19" i="213"/>
  <c r="N10" i="214"/>
  <c r="R53" i="214"/>
  <c r="R65" i="214"/>
  <c r="R61" i="214"/>
  <c r="R59" i="214"/>
  <c r="R60" i="214" s="1"/>
  <c r="R50" i="214"/>
  <c r="R33" i="214"/>
  <c r="N77" i="213" l="1"/>
  <c r="O37" i="214"/>
  <c r="K23" i="213"/>
  <c r="M13" i="214" s="1"/>
  <c r="U12" i="4" s="1"/>
  <c r="Q37" i="214"/>
  <c r="P77" i="213"/>
  <c r="K16" i="213"/>
  <c r="K12" i="213"/>
  <c r="K13" i="213"/>
  <c r="Q10" i="214"/>
  <c r="P19" i="213"/>
  <c r="Q11" i="214" s="1"/>
  <c r="K18" i="213"/>
  <c r="M10" i="214" s="1"/>
  <c r="U8" i="4" s="1"/>
  <c r="N11" i="214"/>
  <c r="K20" i="213"/>
  <c r="K21" i="213"/>
  <c r="K22" i="213"/>
  <c r="M12" i="214" s="1"/>
  <c r="U11" i="4" s="1"/>
  <c r="O10" i="214"/>
  <c r="N19" i="213"/>
  <c r="O11" i="214" s="1"/>
  <c r="V2" i="18"/>
  <c r="K77" i="213" l="1"/>
  <c r="M37" i="214"/>
  <c r="U31" i="4" s="1"/>
  <c r="J50" i="213"/>
  <c r="K19" i="213"/>
  <c r="M11" i="214" s="1"/>
  <c r="M5" i="17"/>
  <c r="N5" i="17"/>
  <c r="O5" i="17"/>
  <c r="P5" i="17"/>
  <c r="Q5" i="17"/>
  <c r="M43" i="212" l="1"/>
  <c r="T36" i="4" s="1"/>
  <c r="C16" i="212"/>
  <c r="C17" i="212" s="1"/>
  <c r="C19" i="212" s="1"/>
  <c r="C20" i="212" s="1"/>
  <c r="C21" i="212" s="1"/>
  <c r="C22" i="212" s="1"/>
  <c r="C23" i="212" s="1"/>
  <c r="C24" i="212" s="1"/>
  <c r="C25" i="212" s="1"/>
  <c r="C26" i="212" s="1"/>
  <c r="C27" i="212" s="1"/>
  <c r="C28" i="212" s="1"/>
  <c r="C29" i="212" s="1"/>
  <c r="C30" i="212" s="1"/>
  <c r="C31" i="212" s="1"/>
  <c r="C32" i="212" s="1"/>
  <c r="C33" i="212" s="1"/>
  <c r="C34" i="212" s="1"/>
  <c r="C36" i="212" s="1"/>
  <c r="C37" i="212" s="1"/>
  <c r="C38" i="212" s="1"/>
  <c r="C39" i="212" s="1"/>
  <c r="C40" i="212" s="1"/>
  <c r="C41" i="212" s="1"/>
  <c r="C42" i="212" s="1"/>
  <c r="C43" i="212" s="1"/>
  <c r="C44" i="212" s="1"/>
  <c r="C45" i="212" s="1"/>
  <c r="C47" i="212" s="1"/>
  <c r="C48" i="212" s="1"/>
  <c r="M6" i="212"/>
  <c r="T5" i="4" s="1"/>
  <c r="I3" i="212"/>
  <c r="F3" i="212"/>
  <c r="R2" i="212"/>
  <c r="L77" i="211"/>
  <c r="Q70" i="211"/>
  <c r="P70" i="211"/>
  <c r="O70" i="211"/>
  <c r="N70" i="211"/>
  <c r="M70" i="211"/>
  <c r="I70" i="211"/>
  <c r="H70" i="211"/>
  <c r="D70" i="211"/>
  <c r="I69" i="211"/>
  <c r="O69" i="211" s="1"/>
  <c r="H69" i="211"/>
  <c r="D69" i="211"/>
  <c r="K66" i="211"/>
  <c r="Q64" i="211"/>
  <c r="R26" i="212" s="1"/>
  <c r="P64" i="211"/>
  <c r="Q26" i="212" s="1"/>
  <c r="O64" i="211"/>
  <c r="P26" i="212" s="1"/>
  <c r="N64" i="211"/>
  <c r="O26" i="212" s="1"/>
  <c r="M64" i="211"/>
  <c r="N26" i="212" s="1"/>
  <c r="L64" i="211"/>
  <c r="M26" i="212" s="1"/>
  <c r="T21" i="4" s="1"/>
  <c r="X63" i="211"/>
  <c r="W63" i="211"/>
  <c r="V63" i="211"/>
  <c r="U63" i="211"/>
  <c r="T63" i="211"/>
  <c r="K63" i="211"/>
  <c r="J63" i="211"/>
  <c r="G63" i="211"/>
  <c r="X62" i="211"/>
  <c r="W62" i="211"/>
  <c r="J62" i="211"/>
  <c r="X61" i="211"/>
  <c r="J61" i="211"/>
  <c r="AD56" i="211"/>
  <c r="AC56" i="211"/>
  <c r="AB56" i="211"/>
  <c r="AA56" i="211"/>
  <c r="Z56" i="211"/>
  <c r="X56" i="211"/>
  <c r="W56" i="211"/>
  <c r="V56" i="211"/>
  <c r="U56" i="211"/>
  <c r="T56" i="211"/>
  <c r="J56" i="211"/>
  <c r="AD55" i="211"/>
  <c r="AC55" i="211"/>
  <c r="AB55" i="211"/>
  <c r="AA55" i="211"/>
  <c r="Z55" i="211"/>
  <c r="X55" i="211"/>
  <c r="W55" i="211"/>
  <c r="V55" i="211"/>
  <c r="U55" i="211"/>
  <c r="T55" i="211"/>
  <c r="J55" i="211"/>
  <c r="AD54" i="211"/>
  <c r="AC54" i="211"/>
  <c r="AB54" i="211"/>
  <c r="AA54" i="211"/>
  <c r="Z54" i="211"/>
  <c r="X54" i="211"/>
  <c r="W54" i="211"/>
  <c r="V54" i="211"/>
  <c r="U54" i="211"/>
  <c r="T54" i="211"/>
  <c r="J54" i="211"/>
  <c r="AD53" i="211"/>
  <c r="AC53" i="211"/>
  <c r="AB53" i="211"/>
  <c r="AA53" i="211"/>
  <c r="Z53" i="211"/>
  <c r="X53" i="211"/>
  <c r="W53" i="211"/>
  <c r="V53" i="211"/>
  <c r="U53" i="211"/>
  <c r="T53" i="211"/>
  <c r="J53" i="211"/>
  <c r="AD52" i="211"/>
  <c r="AC52" i="211"/>
  <c r="AB52" i="211"/>
  <c r="AA52" i="211"/>
  <c r="Z52" i="211"/>
  <c r="X52" i="211"/>
  <c r="W52" i="211"/>
  <c r="V52" i="211"/>
  <c r="U52" i="211"/>
  <c r="T52" i="211"/>
  <c r="J52" i="211"/>
  <c r="AD51" i="211"/>
  <c r="AC51" i="211"/>
  <c r="X51" i="211"/>
  <c r="W51" i="211"/>
  <c r="J51" i="211"/>
  <c r="AD49" i="211"/>
  <c r="X49" i="211"/>
  <c r="J49" i="211"/>
  <c r="AD48" i="211"/>
  <c r="X48" i="211"/>
  <c r="J48" i="211"/>
  <c r="AD47" i="211"/>
  <c r="X47" i="211"/>
  <c r="J47" i="211"/>
  <c r="AD46" i="211"/>
  <c r="X46" i="211"/>
  <c r="J46" i="211"/>
  <c r="D31" i="211"/>
  <c r="D29" i="211"/>
  <c r="D28" i="211"/>
  <c r="D27" i="211"/>
  <c r="D26" i="211"/>
  <c r="J24" i="211"/>
  <c r="Q21" i="211"/>
  <c r="P21" i="211"/>
  <c r="O21" i="211"/>
  <c r="N21" i="211"/>
  <c r="M21" i="211"/>
  <c r="Q19" i="211"/>
  <c r="R11" i="212" s="1"/>
  <c r="R58" i="212" s="1"/>
  <c r="Q18" i="211"/>
  <c r="R37" i="212"/>
  <c r="Q37" i="212"/>
  <c r="Q15" i="211"/>
  <c r="R8" i="212" s="1"/>
  <c r="R29" i="212" s="1"/>
  <c r="Q13" i="211"/>
  <c r="P13" i="211"/>
  <c r="O13" i="211"/>
  <c r="N13" i="211"/>
  <c r="M13" i="211"/>
  <c r="R7" i="211"/>
  <c r="I7" i="211" s="1"/>
  <c r="Q6" i="211"/>
  <c r="R6" i="212" s="1"/>
  <c r="P6" i="211"/>
  <c r="Q6" i="212" s="1"/>
  <c r="O6" i="211"/>
  <c r="P6" i="212" s="1"/>
  <c r="N6" i="211"/>
  <c r="O6" i="212" s="1"/>
  <c r="M6" i="211"/>
  <c r="Q5" i="211"/>
  <c r="R5" i="212" s="1"/>
  <c r="P5" i="211"/>
  <c r="Q5" i="212" s="1"/>
  <c r="O5" i="211"/>
  <c r="P5" i="212" s="1"/>
  <c r="N5" i="211"/>
  <c r="O5" i="212" s="1"/>
  <c r="M5" i="211"/>
  <c r="N5" i="212" s="1"/>
  <c r="K9" i="211" l="1"/>
  <c r="R10" i="212"/>
  <c r="R56" i="212" s="1"/>
  <c r="O67" i="211"/>
  <c r="P23" i="212" s="1"/>
  <c r="Q59" i="211"/>
  <c r="R25" i="212" s="1"/>
  <c r="P69" i="211"/>
  <c r="P67" i="211" s="1"/>
  <c r="Q23" i="212" s="1"/>
  <c r="Q69" i="211"/>
  <c r="Q67" i="211" s="1"/>
  <c r="R23" i="212" s="1"/>
  <c r="W61" i="211"/>
  <c r="P59" i="211" s="1"/>
  <c r="Q25" i="212" s="1"/>
  <c r="L70" i="211"/>
  <c r="M14" i="211"/>
  <c r="N7" i="212" s="1"/>
  <c r="Q14" i="211"/>
  <c r="R7" i="212" s="1"/>
  <c r="R57" i="212" s="1"/>
  <c r="O14" i="211"/>
  <c r="P7" i="212" s="1"/>
  <c r="L25" i="211"/>
  <c r="U30" i="212" s="1"/>
  <c r="O43" i="212"/>
  <c r="O41" i="212"/>
  <c r="Q43" i="212"/>
  <c r="Q41" i="212"/>
  <c r="U62" i="211"/>
  <c r="V62" i="211"/>
  <c r="T62" i="211"/>
  <c r="P43" i="212"/>
  <c r="P41" i="212"/>
  <c r="R43" i="212"/>
  <c r="R41" i="212"/>
  <c r="R64" i="212"/>
  <c r="C51" i="212"/>
  <c r="C49" i="212"/>
  <c r="C50" i="212" s="1"/>
  <c r="K8" i="211"/>
  <c r="T51" i="211"/>
  <c r="V51" i="211"/>
  <c r="AA51" i="211"/>
  <c r="T61" i="211"/>
  <c r="V61" i="211"/>
  <c r="N69" i="211"/>
  <c r="N67" i="211" s="1"/>
  <c r="O23" i="212" s="1"/>
  <c r="Q77" i="211"/>
  <c r="N6" i="212"/>
  <c r="N14" i="211"/>
  <c r="P14" i="211"/>
  <c r="P15" i="211" s="1"/>
  <c r="Q8" i="212" s="1"/>
  <c r="Z51" i="211"/>
  <c r="M69" i="211"/>
  <c r="P77" i="211"/>
  <c r="M36" i="4"/>
  <c r="C16" i="210"/>
  <c r="C17" i="210" s="1"/>
  <c r="C19" i="210" s="1"/>
  <c r="C20" i="210" s="1"/>
  <c r="C21" i="210" s="1"/>
  <c r="C22" i="210" s="1"/>
  <c r="C23" i="210" s="1"/>
  <c r="C24" i="210" s="1"/>
  <c r="C25" i="210" s="1"/>
  <c r="C26" i="210" s="1"/>
  <c r="C27" i="210" s="1"/>
  <c r="C28" i="210" s="1"/>
  <c r="C29" i="210" s="1"/>
  <c r="C30" i="210" s="1"/>
  <c r="C31" i="210" s="1"/>
  <c r="C32" i="210" s="1"/>
  <c r="C33" i="210" s="1"/>
  <c r="C34" i="210" s="1"/>
  <c r="C36" i="210" s="1"/>
  <c r="C37" i="210" s="1"/>
  <c r="C38" i="210" s="1"/>
  <c r="C39" i="210" s="1"/>
  <c r="C40" i="210" s="1"/>
  <c r="C41" i="210" s="1"/>
  <c r="C42" i="210" s="1"/>
  <c r="C43" i="210" s="1"/>
  <c r="C44" i="210" s="1"/>
  <c r="C45" i="210" s="1"/>
  <c r="C47" i="210" s="1"/>
  <c r="C48" i="210" s="1"/>
  <c r="M6" i="210"/>
  <c r="M5" i="4" s="1"/>
  <c r="I3" i="210"/>
  <c r="F3" i="210"/>
  <c r="R2" i="210"/>
  <c r="L77" i="209"/>
  <c r="Q70" i="209"/>
  <c r="P70" i="209"/>
  <c r="O70" i="209"/>
  <c r="N70" i="209"/>
  <c r="M70" i="209"/>
  <c r="I70" i="209"/>
  <c r="H70" i="209"/>
  <c r="D70" i="209"/>
  <c r="H69" i="209"/>
  <c r="D69" i="209"/>
  <c r="K66" i="209"/>
  <c r="Q64" i="209"/>
  <c r="R26" i="210" s="1"/>
  <c r="P64" i="209"/>
  <c r="Q26" i="210" s="1"/>
  <c r="O64" i="209"/>
  <c r="P26" i="210" s="1"/>
  <c r="N64" i="209"/>
  <c r="O26" i="210" s="1"/>
  <c r="M64" i="209"/>
  <c r="N26" i="210" s="1"/>
  <c r="L64" i="209"/>
  <c r="M26" i="210" s="1"/>
  <c r="M21" i="4" s="1"/>
  <c r="X63" i="209"/>
  <c r="W63" i="209"/>
  <c r="V63" i="209"/>
  <c r="U63" i="209"/>
  <c r="T63" i="209"/>
  <c r="K63" i="209"/>
  <c r="J63" i="209"/>
  <c r="G63" i="209"/>
  <c r="J62" i="209"/>
  <c r="J61" i="209"/>
  <c r="AD56" i="209"/>
  <c r="AC56" i="209"/>
  <c r="AB56" i="209"/>
  <c r="AA56" i="209"/>
  <c r="Z56" i="209"/>
  <c r="X56" i="209"/>
  <c r="W56" i="209"/>
  <c r="V56" i="209"/>
  <c r="U56" i="209"/>
  <c r="T56" i="209"/>
  <c r="J56" i="209"/>
  <c r="AD55" i="209"/>
  <c r="AC55" i="209"/>
  <c r="AB55" i="209"/>
  <c r="AA55" i="209"/>
  <c r="Z55" i="209"/>
  <c r="X55" i="209"/>
  <c r="W55" i="209"/>
  <c r="V55" i="209"/>
  <c r="U55" i="209"/>
  <c r="T55" i="209"/>
  <c r="J55" i="209"/>
  <c r="AD54" i="209"/>
  <c r="AC54" i="209"/>
  <c r="AB54" i="209"/>
  <c r="AA54" i="209"/>
  <c r="Z54" i="209"/>
  <c r="X54" i="209"/>
  <c r="W54" i="209"/>
  <c r="V54" i="209"/>
  <c r="U54" i="209"/>
  <c r="T54" i="209"/>
  <c r="J54" i="209"/>
  <c r="AD53" i="209"/>
  <c r="AC53" i="209"/>
  <c r="AB53" i="209"/>
  <c r="AA53" i="209"/>
  <c r="Z53" i="209"/>
  <c r="X53" i="209"/>
  <c r="W53" i="209"/>
  <c r="V53" i="209"/>
  <c r="U53" i="209"/>
  <c r="T53" i="209"/>
  <c r="J53" i="209"/>
  <c r="AD52" i="209"/>
  <c r="AC52" i="209"/>
  <c r="AB52" i="209"/>
  <c r="AA52" i="209"/>
  <c r="Z52" i="209"/>
  <c r="X52" i="209"/>
  <c r="W52" i="209"/>
  <c r="V52" i="209"/>
  <c r="U52" i="209"/>
  <c r="T52" i="209"/>
  <c r="J52" i="209"/>
  <c r="J51" i="209"/>
  <c r="J50" i="209"/>
  <c r="J49" i="209"/>
  <c r="J48" i="209"/>
  <c r="J47" i="209"/>
  <c r="J46" i="209"/>
  <c r="D31" i="209"/>
  <c r="D29" i="209"/>
  <c r="D28" i="209"/>
  <c r="D27" i="209"/>
  <c r="D26" i="209"/>
  <c r="J24" i="209"/>
  <c r="Q21" i="209"/>
  <c r="P21" i="209"/>
  <c r="O21" i="209"/>
  <c r="N21" i="209"/>
  <c r="M21" i="209"/>
  <c r="Q14" i="209"/>
  <c r="R7" i="210" s="1"/>
  <c r="Q13" i="209"/>
  <c r="P13" i="209"/>
  <c r="O13" i="209"/>
  <c r="N13" i="209"/>
  <c r="M13" i="209"/>
  <c r="R7" i="209"/>
  <c r="I7" i="209" s="1"/>
  <c r="Q6" i="209"/>
  <c r="R6" i="210" s="1"/>
  <c r="P6" i="209"/>
  <c r="Q6" i="210" s="1"/>
  <c r="O6" i="209"/>
  <c r="P6" i="210" s="1"/>
  <c r="N6" i="209"/>
  <c r="M6" i="209"/>
  <c r="N6" i="210" s="1"/>
  <c r="Q5" i="209"/>
  <c r="R5" i="210" s="1"/>
  <c r="P5" i="209"/>
  <c r="Q5" i="210" s="1"/>
  <c r="O5" i="209"/>
  <c r="P5" i="210" s="1"/>
  <c r="N5" i="209"/>
  <c r="O5" i="210" s="1"/>
  <c r="M5" i="209"/>
  <c r="N5" i="210" s="1"/>
  <c r="L36" i="4"/>
  <c r="C19" i="208"/>
  <c r="C20" i="208" s="1"/>
  <c r="C21" i="208" s="1"/>
  <c r="C22" i="208" s="1"/>
  <c r="C23" i="208" s="1"/>
  <c r="C24" i="208" s="1"/>
  <c r="C25" i="208" s="1"/>
  <c r="C26" i="208" s="1"/>
  <c r="C27" i="208" s="1"/>
  <c r="C28" i="208" s="1"/>
  <c r="C29" i="208" s="1"/>
  <c r="C30" i="208" s="1"/>
  <c r="C31" i="208" s="1"/>
  <c r="C32" i="208" s="1"/>
  <c r="C33" i="208" s="1"/>
  <c r="C34" i="208" s="1"/>
  <c r="C36" i="208" s="1"/>
  <c r="C37" i="208" s="1"/>
  <c r="C38" i="208" s="1"/>
  <c r="C39" i="208" s="1"/>
  <c r="C40" i="208" s="1"/>
  <c r="C41" i="208" s="1"/>
  <c r="C42" i="208" s="1"/>
  <c r="C43" i="208" s="1"/>
  <c r="C44" i="208" s="1"/>
  <c r="C45" i="208" s="1"/>
  <c r="C47" i="208" s="1"/>
  <c r="C48" i="208" s="1"/>
  <c r="C16" i="208"/>
  <c r="C17" i="208" s="1"/>
  <c r="M6" i="208"/>
  <c r="L5" i="4" s="1"/>
  <c r="I3" i="208"/>
  <c r="F3" i="208"/>
  <c r="R2" i="208"/>
  <c r="L77" i="207"/>
  <c r="Q70" i="207"/>
  <c r="P70" i="207"/>
  <c r="O70" i="207"/>
  <c r="N70" i="207"/>
  <c r="M70" i="207"/>
  <c r="I70" i="207"/>
  <c r="H70" i="207"/>
  <c r="D70" i="207"/>
  <c r="H69" i="207"/>
  <c r="D69" i="207"/>
  <c r="K66" i="207"/>
  <c r="Q64" i="207"/>
  <c r="R26" i="208" s="1"/>
  <c r="P64" i="207"/>
  <c r="Q26" i="208" s="1"/>
  <c r="O64" i="207"/>
  <c r="P26" i="208" s="1"/>
  <c r="N64" i="207"/>
  <c r="O26" i="208" s="1"/>
  <c r="M64" i="207"/>
  <c r="N26" i="208" s="1"/>
  <c r="L64" i="207"/>
  <c r="M26" i="208" s="1"/>
  <c r="L21" i="4" s="1"/>
  <c r="X63" i="207"/>
  <c r="W63" i="207"/>
  <c r="V63" i="207"/>
  <c r="U63" i="207"/>
  <c r="T63" i="207"/>
  <c r="K63" i="207"/>
  <c r="J63" i="207"/>
  <c r="G63" i="207"/>
  <c r="X62" i="207"/>
  <c r="J62" i="207"/>
  <c r="X61" i="207"/>
  <c r="J61" i="207"/>
  <c r="AD56" i="207"/>
  <c r="AC56" i="207"/>
  <c r="AB56" i="207"/>
  <c r="AA56" i="207"/>
  <c r="Z56" i="207"/>
  <c r="X56" i="207"/>
  <c r="W56" i="207"/>
  <c r="V56" i="207"/>
  <c r="U56" i="207"/>
  <c r="T56" i="207"/>
  <c r="J56" i="207"/>
  <c r="AD55" i="207"/>
  <c r="AC55" i="207"/>
  <c r="AB55" i="207"/>
  <c r="AA55" i="207"/>
  <c r="Z55" i="207"/>
  <c r="X55" i="207"/>
  <c r="W55" i="207"/>
  <c r="V55" i="207"/>
  <c r="U55" i="207"/>
  <c r="T55" i="207"/>
  <c r="J55" i="207"/>
  <c r="AD54" i="207"/>
  <c r="AC54" i="207"/>
  <c r="AB54" i="207"/>
  <c r="AA54" i="207"/>
  <c r="Z54" i="207"/>
  <c r="X54" i="207"/>
  <c r="W54" i="207"/>
  <c r="V54" i="207"/>
  <c r="U54" i="207"/>
  <c r="T54" i="207"/>
  <c r="J54" i="207"/>
  <c r="AD53" i="207"/>
  <c r="AC53" i="207"/>
  <c r="AB53" i="207"/>
  <c r="AA53" i="207"/>
  <c r="Z53" i="207"/>
  <c r="X53" i="207"/>
  <c r="W53" i="207"/>
  <c r="V53" i="207"/>
  <c r="U53" i="207"/>
  <c r="T53" i="207"/>
  <c r="J53" i="207"/>
  <c r="AD52" i="207"/>
  <c r="AC52" i="207"/>
  <c r="AB52" i="207"/>
  <c r="AA52" i="207"/>
  <c r="Z52" i="207"/>
  <c r="X52" i="207"/>
  <c r="W52" i="207"/>
  <c r="V52" i="207"/>
  <c r="U52" i="207"/>
  <c r="T52" i="207"/>
  <c r="J52" i="207"/>
  <c r="AD51" i="207"/>
  <c r="X51" i="207"/>
  <c r="J51" i="207"/>
  <c r="AD50" i="207"/>
  <c r="X50" i="207"/>
  <c r="J50" i="207"/>
  <c r="AD49" i="207"/>
  <c r="X49" i="207"/>
  <c r="J49" i="207"/>
  <c r="AD48" i="207"/>
  <c r="X48" i="207"/>
  <c r="J48" i="207"/>
  <c r="AD47" i="207"/>
  <c r="X47" i="207"/>
  <c r="J47" i="207"/>
  <c r="AD46" i="207"/>
  <c r="X46" i="207"/>
  <c r="J46" i="207"/>
  <c r="D31" i="207"/>
  <c r="D29" i="207"/>
  <c r="D28" i="207"/>
  <c r="J24" i="207"/>
  <c r="Q21" i="207"/>
  <c r="P21" i="207"/>
  <c r="O21" i="207"/>
  <c r="N21" i="207"/>
  <c r="M21" i="207"/>
  <c r="Q19" i="207"/>
  <c r="R11" i="208" s="1"/>
  <c r="R58" i="208" s="1"/>
  <c r="Q18" i="207"/>
  <c r="R10" i="208" s="1"/>
  <c r="R56" i="208" s="1"/>
  <c r="Q16" i="207"/>
  <c r="R37" i="208" s="1"/>
  <c r="Q15" i="207"/>
  <c r="R8" i="208" s="1"/>
  <c r="R29" i="208" s="1"/>
  <c r="Q13" i="207"/>
  <c r="P13" i="207"/>
  <c r="O13" i="207"/>
  <c r="N13" i="207"/>
  <c r="M13" i="207"/>
  <c r="R7" i="207"/>
  <c r="I7" i="207" s="1"/>
  <c r="Q6" i="207"/>
  <c r="R6" i="208" s="1"/>
  <c r="P6" i="207"/>
  <c r="Q6" i="208" s="1"/>
  <c r="O6" i="207"/>
  <c r="P6" i="208" s="1"/>
  <c r="N6" i="207"/>
  <c r="M6" i="207"/>
  <c r="N6" i="208" s="1"/>
  <c r="Q5" i="207"/>
  <c r="R5" i="208" s="1"/>
  <c r="P5" i="207"/>
  <c r="Q5" i="208" s="1"/>
  <c r="O5" i="207"/>
  <c r="P5" i="208" s="1"/>
  <c r="N5" i="207"/>
  <c r="O5" i="208" s="1"/>
  <c r="M5" i="207"/>
  <c r="N5" i="208" s="1"/>
  <c r="K8" i="207" l="1"/>
  <c r="Q17" i="211"/>
  <c r="AD50" i="211"/>
  <c r="Q43" i="211" s="1"/>
  <c r="R24" i="212" s="1"/>
  <c r="X50" i="211"/>
  <c r="Q57" i="211" s="1"/>
  <c r="Q58" i="211" s="1"/>
  <c r="R36" i="212" s="1"/>
  <c r="O59" i="211"/>
  <c r="P25" i="212" s="1"/>
  <c r="M17" i="211"/>
  <c r="M22" i="211" s="1"/>
  <c r="M15" i="211"/>
  <c r="Q59" i="207"/>
  <c r="R25" i="208" s="1"/>
  <c r="M59" i="211"/>
  <c r="N25" i="212" s="1"/>
  <c r="L25" i="209"/>
  <c r="Q43" i="207"/>
  <c r="R24" i="208" s="1"/>
  <c r="Q57" i="207"/>
  <c r="Q58" i="207" s="1"/>
  <c r="R36" i="208" s="1"/>
  <c r="O17" i="211"/>
  <c r="O23" i="211" s="1"/>
  <c r="P13" i="212" s="1"/>
  <c r="O15" i="211"/>
  <c r="Q15" i="209"/>
  <c r="L70" i="209"/>
  <c r="O14" i="209"/>
  <c r="P7" i="210" s="1"/>
  <c r="K8" i="209"/>
  <c r="M14" i="209"/>
  <c r="N7" i="210" s="1"/>
  <c r="O14" i="207"/>
  <c r="P7" i="208" s="1"/>
  <c r="L70" i="207"/>
  <c r="M14" i="207"/>
  <c r="N7" i="208" s="1"/>
  <c r="Q14" i="207"/>
  <c r="R7" i="208" s="1"/>
  <c r="Q25" i="211"/>
  <c r="Z30" i="212" s="1"/>
  <c r="R16" i="212" s="1"/>
  <c r="M25" i="211"/>
  <c r="V30" i="212" s="1"/>
  <c r="N16" i="212" s="1"/>
  <c r="P25" i="211"/>
  <c r="Y30" i="212" s="1"/>
  <c r="O25" i="211"/>
  <c r="X30" i="212" s="1"/>
  <c r="P16" i="212" s="1"/>
  <c r="N25" i="211"/>
  <c r="W30" i="212" s="1"/>
  <c r="O16" i="212" s="1"/>
  <c r="O7" i="212"/>
  <c r="N17" i="211"/>
  <c r="N15" i="211"/>
  <c r="K15" i="211" s="1"/>
  <c r="M8" i="212" s="1"/>
  <c r="T7" i="4" s="1"/>
  <c r="Q23" i="211"/>
  <c r="R13" i="212" s="1"/>
  <c r="Q22" i="211"/>
  <c r="R12" i="212" s="1"/>
  <c r="R9" i="212"/>
  <c r="M23" i="211"/>
  <c r="N9" i="212"/>
  <c r="M18" i="211"/>
  <c r="N8" i="212"/>
  <c r="M16" i="212"/>
  <c r="L69" i="211"/>
  <c r="L67" i="211" s="1"/>
  <c r="M23" i="212" s="1"/>
  <c r="T20" i="4" s="1"/>
  <c r="M67" i="211"/>
  <c r="N23" i="212" s="1"/>
  <c r="Q7" i="212"/>
  <c r="P17" i="211"/>
  <c r="P18" i="211" s="1"/>
  <c r="N43" i="212"/>
  <c r="N41" i="212"/>
  <c r="O22" i="211"/>
  <c r="P12" i="212" s="1"/>
  <c r="O18" i="211"/>
  <c r="P8" i="212"/>
  <c r="C55" i="212"/>
  <c r="C56" i="212" s="1"/>
  <c r="C57" i="212" s="1"/>
  <c r="C58" i="212" s="1"/>
  <c r="C52" i="212"/>
  <c r="C53" i="212" s="1"/>
  <c r="K14" i="211"/>
  <c r="Q43" i="210"/>
  <c r="Q41" i="210"/>
  <c r="N43" i="210"/>
  <c r="N41" i="210"/>
  <c r="P43" i="210"/>
  <c r="P41" i="210"/>
  <c r="R43" i="210"/>
  <c r="R41" i="210"/>
  <c r="C51" i="210"/>
  <c r="C49" i="210"/>
  <c r="C50" i="210" s="1"/>
  <c r="K9" i="209"/>
  <c r="N14" i="209"/>
  <c r="P14" i="209"/>
  <c r="P15" i="209" s="1"/>
  <c r="O6" i="210"/>
  <c r="M17" i="209"/>
  <c r="Q17" i="209"/>
  <c r="Q18" i="209" s="1"/>
  <c r="N43" i="208"/>
  <c r="N41" i="208"/>
  <c r="P43" i="208"/>
  <c r="P41" i="208"/>
  <c r="R43" i="208"/>
  <c r="R41" i="208"/>
  <c r="R64" i="208"/>
  <c r="R57" i="208"/>
  <c r="Q43" i="208"/>
  <c r="Q41" i="208"/>
  <c r="K9" i="207"/>
  <c r="N14" i="207"/>
  <c r="P14" i="207"/>
  <c r="P15" i="207" s="1"/>
  <c r="O6" i="208"/>
  <c r="C51" i="208"/>
  <c r="C49" i="208"/>
  <c r="C50" i="208" s="1"/>
  <c r="O15" i="207"/>
  <c r="M17" i="207"/>
  <c r="O17" i="207"/>
  <c r="Q17" i="207"/>
  <c r="Q77" i="207"/>
  <c r="U30" i="210" l="1"/>
  <c r="O25" i="209"/>
  <c r="X30" i="210" s="1"/>
  <c r="P16" i="210" s="1"/>
  <c r="N25" i="209"/>
  <c r="W30" i="210" s="1"/>
  <c r="O16" i="210" s="1"/>
  <c r="M25" i="209"/>
  <c r="V30" i="210" s="1"/>
  <c r="N16" i="210" s="1"/>
  <c r="P25" i="209"/>
  <c r="Y30" i="210" s="1"/>
  <c r="Q16" i="210" s="1"/>
  <c r="Q25" i="209"/>
  <c r="Z30" i="210" s="1"/>
  <c r="R16" i="210" s="1"/>
  <c r="M15" i="207"/>
  <c r="M15" i="209"/>
  <c r="N8" i="210" s="1"/>
  <c r="K36" i="211"/>
  <c r="K37" i="211"/>
  <c r="K39" i="211"/>
  <c r="K38" i="211"/>
  <c r="Q10" i="212"/>
  <c r="P19" i="211"/>
  <c r="Q11" i="212" s="1"/>
  <c r="Q8" i="208"/>
  <c r="P16" i="207"/>
  <c r="P9" i="212"/>
  <c r="K12" i="211"/>
  <c r="R10" i="210"/>
  <c r="Q19" i="209"/>
  <c r="R11" i="210" s="1"/>
  <c r="O17" i="209"/>
  <c r="O23" i="209" s="1"/>
  <c r="P13" i="210" s="1"/>
  <c r="O15" i="209"/>
  <c r="Q8" i="210"/>
  <c r="P16" i="209"/>
  <c r="R8" i="210"/>
  <c r="Q16" i="209"/>
  <c r="K14" i="209"/>
  <c r="K38" i="209" s="1"/>
  <c r="Q16" i="212"/>
  <c r="P37" i="212"/>
  <c r="O77" i="211"/>
  <c r="P10" i="212"/>
  <c r="O19" i="211"/>
  <c r="P11" i="212" s="1"/>
  <c r="Q9" i="212"/>
  <c r="P23" i="211"/>
  <c r="Q13" i="212" s="1"/>
  <c r="P22" i="211"/>
  <c r="Q12" i="212" s="1"/>
  <c r="K13" i="211"/>
  <c r="N10" i="212"/>
  <c r="M19" i="211"/>
  <c r="N13" i="212"/>
  <c r="R53" i="212"/>
  <c r="R65" i="212"/>
  <c r="R61" i="212"/>
  <c r="R59" i="212"/>
  <c r="R60" i="212" s="1"/>
  <c r="R50" i="212"/>
  <c r="R33" i="212"/>
  <c r="O8" i="212"/>
  <c r="M7" i="212"/>
  <c r="T6" i="4" s="1"/>
  <c r="C61" i="212"/>
  <c r="C62" i="212" s="1"/>
  <c r="C63" i="212" s="1"/>
  <c r="C64" i="212" s="1"/>
  <c r="C65" i="212" s="1"/>
  <c r="C66" i="212" s="1"/>
  <c r="C68" i="212" s="1"/>
  <c r="C69" i="212" s="1"/>
  <c r="C70" i="212" s="1"/>
  <c r="C71" i="212" s="1"/>
  <c r="C59" i="212"/>
  <c r="C60" i="212" s="1"/>
  <c r="K11" i="211"/>
  <c r="N37" i="212"/>
  <c r="M77" i="211"/>
  <c r="K17" i="211"/>
  <c r="M9" i="212" s="1"/>
  <c r="T9" i="4" s="1"/>
  <c r="N12" i="212"/>
  <c r="R66" i="212"/>
  <c r="R62" i="212"/>
  <c r="R34" i="212"/>
  <c r="K10" i="211"/>
  <c r="W66" i="211" s="1"/>
  <c r="O9" i="212"/>
  <c r="N18" i="211"/>
  <c r="J50" i="211" s="1"/>
  <c r="N23" i="211"/>
  <c r="O13" i="212" s="1"/>
  <c r="N22" i="211"/>
  <c r="O12" i="212" s="1"/>
  <c r="K39" i="209"/>
  <c r="R9" i="210"/>
  <c r="Q23" i="209"/>
  <c r="R13" i="210" s="1"/>
  <c r="Q22" i="209"/>
  <c r="R12" i="210" s="1"/>
  <c r="N9" i="210"/>
  <c r="M18" i="209"/>
  <c r="M23" i="209"/>
  <c r="M22" i="209"/>
  <c r="M16" i="209"/>
  <c r="O43" i="210"/>
  <c r="O41" i="210"/>
  <c r="Q7" i="210"/>
  <c r="P17" i="209"/>
  <c r="P18" i="209" s="1"/>
  <c r="C55" i="210"/>
  <c r="C56" i="210" s="1"/>
  <c r="C57" i="210" s="1"/>
  <c r="C58" i="210" s="1"/>
  <c r="C52" i="210"/>
  <c r="C53" i="210" s="1"/>
  <c r="P9" i="210"/>
  <c r="O18" i="209"/>
  <c r="O22" i="209"/>
  <c r="P12" i="210" s="1"/>
  <c r="P8" i="210"/>
  <c r="O16" i="209"/>
  <c r="O7" i="210"/>
  <c r="N17" i="209"/>
  <c r="N15" i="209"/>
  <c r="K11" i="209"/>
  <c r="M16" i="210"/>
  <c r="R9" i="208"/>
  <c r="Q23" i="207"/>
  <c r="R13" i="208" s="1"/>
  <c r="Q22" i="207"/>
  <c r="R12" i="208" s="1"/>
  <c r="N8" i="208"/>
  <c r="M16" i="207"/>
  <c r="O7" i="208"/>
  <c r="N17" i="207"/>
  <c r="N15" i="207"/>
  <c r="K15" i="207" s="1"/>
  <c r="M8" i="208" s="1"/>
  <c r="L7" i="4" s="1"/>
  <c r="N9" i="208"/>
  <c r="M18" i="207"/>
  <c r="M23" i="207"/>
  <c r="M22" i="207"/>
  <c r="O43" i="208"/>
  <c r="O41" i="208"/>
  <c r="P9" i="208"/>
  <c r="O18" i="207"/>
  <c r="O23" i="207"/>
  <c r="P13" i="208" s="1"/>
  <c r="O22" i="207"/>
  <c r="P12" i="208" s="1"/>
  <c r="P8" i="208"/>
  <c r="O16" i="207"/>
  <c r="C55" i="208"/>
  <c r="C56" i="208" s="1"/>
  <c r="C57" i="208" s="1"/>
  <c r="C58" i="208" s="1"/>
  <c r="C52" i="208"/>
  <c r="C53" i="208" s="1"/>
  <c r="Q7" i="208"/>
  <c r="P17" i="207"/>
  <c r="P18" i="207" s="1"/>
  <c r="K14" i="207"/>
  <c r="I68" i="153"/>
  <c r="I68" i="145"/>
  <c r="I68" i="151"/>
  <c r="I68" i="147"/>
  <c r="I68" i="149"/>
  <c r="I70" i="91"/>
  <c r="I70" i="65"/>
  <c r="I69" i="65"/>
  <c r="I70" i="163"/>
  <c r="I70" i="159"/>
  <c r="I69" i="159"/>
  <c r="I68" i="77"/>
  <c r="I68" i="189"/>
  <c r="I68" i="69"/>
  <c r="I68" i="67"/>
  <c r="I68" i="83"/>
  <c r="I68" i="45"/>
  <c r="I70" i="31"/>
  <c r="I70" i="58"/>
  <c r="I70" i="51"/>
  <c r="I69" i="51"/>
  <c r="I70" i="25"/>
  <c r="I69" i="25"/>
  <c r="I70" i="49"/>
  <c r="I69" i="49"/>
  <c r="I70" i="19"/>
  <c r="I69" i="19"/>
  <c r="I70" i="15"/>
  <c r="I69" i="15"/>
  <c r="I70" i="17"/>
  <c r="I70" i="81"/>
  <c r="I69" i="81"/>
  <c r="I70" i="23"/>
  <c r="I70" i="21"/>
  <c r="I70" i="103"/>
  <c r="I70" i="56"/>
  <c r="I69" i="17"/>
  <c r="K15" i="209" l="1"/>
  <c r="M8" i="210" s="1"/>
  <c r="M7" i="4" s="1"/>
  <c r="Q10" i="208"/>
  <c r="P19" i="207"/>
  <c r="Q11" i="208" s="1"/>
  <c r="Q37" i="208"/>
  <c r="P77" i="207"/>
  <c r="K10" i="209"/>
  <c r="W66" i="209" s="1"/>
  <c r="Q10" i="210"/>
  <c r="P19" i="209"/>
  <c r="Q11" i="210" s="1"/>
  <c r="R37" i="210"/>
  <c r="Q77" i="209"/>
  <c r="Q37" i="210"/>
  <c r="P77" i="209"/>
  <c r="K36" i="209"/>
  <c r="K37" i="209"/>
  <c r="M7" i="210"/>
  <c r="M6" i="4" s="1"/>
  <c r="K21" i="211"/>
  <c r="M37" i="212"/>
  <c r="T31" i="4" s="1"/>
  <c r="K77" i="211"/>
  <c r="O37" i="212"/>
  <c r="N77" i="211"/>
  <c r="K23" i="211"/>
  <c r="M13" i="212" s="1"/>
  <c r="T12" i="4" s="1"/>
  <c r="K20" i="211"/>
  <c r="O10" i="212"/>
  <c r="N19" i="211"/>
  <c r="O11" i="212" s="1"/>
  <c r="K22" i="211"/>
  <c r="M12" i="212" s="1"/>
  <c r="T11" i="4" s="1"/>
  <c r="K19" i="211"/>
  <c r="M11" i="212" s="1"/>
  <c r="N11" i="212"/>
  <c r="K18" i="211"/>
  <c r="M10" i="212" s="1"/>
  <c r="T8" i="4" s="1"/>
  <c r="N23" i="209"/>
  <c r="O13" i="210" s="1"/>
  <c r="N22" i="209"/>
  <c r="O12" i="210" s="1"/>
  <c r="O9" i="210"/>
  <c r="N18" i="209"/>
  <c r="K18" i="209" s="1"/>
  <c r="M10" i="210" s="1"/>
  <c r="M8" i="4" s="1"/>
  <c r="P37" i="210"/>
  <c r="O77" i="209"/>
  <c r="P10" i="210"/>
  <c r="O19" i="209"/>
  <c r="P11" i="210" s="1"/>
  <c r="P23" i="209"/>
  <c r="Q13" i="210" s="1"/>
  <c r="P22" i="209"/>
  <c r="Q12" i="210" s="1"/>
  <c r="Q9" i="210"/>
  <c r="N37" i="210"/>
  <c r="M77" i="209"/>
  <c r="K17" i="209"/>
  <c r="M9" i="210" s="1"/>
  <c r="M9" i="4" s="1"/>
  <c r="N12" i="210"/>
  <c r="N10" i="210"/>
  <c r="M19" i="209"/>
  <c r="O8" i="210"/>
  <c r="N16" i="209"/>
  <c r="C61" i="210"/>
  <c r="C62" i="210" s="1"/>
  <c r="C63" i="210" s="1"/>
  <c r="C64" i="210" s="1"/>
  <c r="C65" i="210" s="1"/>
  <c r="C66" i="210" s="1"/>
  <c r="C68" i="210" s="1"/>
  <c r="C69" i="210" s="1"/>
  <c r="C70" i="210" s="1"/>
  <c r="C71" i="210" s="1"/>
  <c r="C59" i="210"/>
  <c r="C60" i="210" s="1"/>
  <c r="K13" i="209"/>
  <c r="K12" i="209"/>
  <c r="N13" i="210"/>
  <c r="K38" i="207"/>
  <c r="K36" i="207"/>
  <c r="M7" i="208"/>
  <c r="L6" i="4" s="1"/>
  <c r="K39" i="207"/>
  <c r="K37" i="207"/>
  <c r="C61" i="208"/>
  <c r="C62" i="208" s="1"/>
  <c r="C63" i="208" s="1"/>
  <c r="C64" i="208" s="1"/>
  <c r="C65" i="208" s="1"/>
  <c r="C66" i="208" s="1"/>
  <c r="C68" i="208" s="1"/>
  <c r="C69" i="208" s="1"/>
  <c r="C70" i="208" s="1"/>
  <c r="C71" i="208" s="1"/>
  <c r="C59" i="208"/>
  <c r="C60" i="208" s="1"/>
  <c r="N13" i="208"/>
  <c r="K10" i="207"/>
  <c r="W66" i="207" s="1"/>
  <c r="N23" i="207"/>
  <c r="O13" i="208" s="1"/>
  <c r="N22" i="207"/>
  <c r="O12" i="208" s="1"/>
  <c r="O9" i="208"/>
  <c r="N18" i="207"/>
  <c r="N37" i="208"/>
  <c r="M77" i="207"/>
  <c r="R53" i="208"/>
  <c r="R65" i="208"/>
  <c r="R61" i="208"/>
  <c r="R59" i="208"/>
  <c r="R60" i="208" s="1"/>
  <c r="R50" i="208"/>
  <c r="R33" i="208"/>
  <c r="Q9" i="208"/>
  <c r="P23" i="207"/>
  <c r="Q13" i="208" s="1"/>
  <c r="P22" i="207"/>
  <c r="Q12" i="208" s="1"/>
  <c r="P37" i="208"/>
  <c r="O77" i="207"/>
  <c r="P10" i="208"/>
  <c r="O19" i="207"/>
  <c r="P11" i="208" s="1"/>
  <c r="K17" i="207"/>
  <c r="N12" i="208"/>
  <c r="N10" i="208"/>
  <c r="M19" i="207"/>
  <c r="K11" i="207"/>
  <c r="O8" i="208"/>
  <c r="N16" i="207"/>
  <c r="K13" i="207"/>
  <c r="K12" i="207"/>
  <c r="R66" i="208"/>
  <c r="R62" i="208"/>
  <c r="R34" i="208"/>
  <c r="H3" i="203"/>
  <c r="C9" i="203"/>
  <c r="C10" i="203" s="1"/>
  <c r="C11" i="203" s="1"/>
  <c r="C12" i="203" s="1"/>
  <c r="C13" i="203" s="1"/>
  <c r="C14" i="203" s="1"/>
  <c r="C15" i="203" s="1"/>
  <c r="C16" i="203" s="1"/>
  <c r="C19" i="203"/>
  <c r="C20" i="203" s="1"/>
  <c r="C21" i="203" s="1"/>
  <c r="C23" i="203"/>
  <c r="C24" i="203" s="1"/>
  <c r="C25" i="203" s="1"/>
  <c r="C26" i="203" s="1"/>
  <c r="C27" i="203" s="1"/>
  <c r="C28" i="203" s="1"/>
  <c r="C29" i="203" s="1"/>
  <c r="C30" i="203" s="1"/>
  <c r="C31" i="203" s="1"/>
  <c r="C32" i="203" s="1"/>
  <c r="C33" i="203" s="1"/>
  <c r="C34" i="203" s="1"/>
  <c r="C35" i="203" s="1"/>
  <c r="N58" i="11"/>
  <c r="N49" i="11"/>
  <c r="N41" i="11"/>
  <c r="N14" i="11"/>
  <c r="N6" i="11"/>
  <c r="C70" i="160"/>
  <c r="C71" i="160"/>
  <c r="C72" i="160" s="1"/>
  <c r="U64" i="52"/>
  <c r="CJ40" i="4"/>
  <c r="CI40" i="4"/>
  <c r="CH40" i="4"/>
  <c r="CD40" i="4"/>
  <c r="CC40" i="4"/>
  <c r="CB40" i="4"/>
  <c r="BU40" i="4"/>
  <c r="BT40" i="4"/>
  <c r="BS40" i="4"/>
  <c r="BL40" i="4"/>
  <c r="BL13" i="4"/>
  <c r="BK40" i="4"/>
  <c r="BK13" i="4"/>
  <c r="Q44" i="5"/>
  <c r="B28" i="5" s="1"/>
  <c r="B27" i="5"/>
  <c r="AB62" i="14"/>
  <c r="G63" i="56"/>
  <c r="S46" i="5"/>
  <c r="R32" i="5" s="1"/>
  <c r="R46" i="5"/>
  <c r="Q32" i="5" s="1"/>
  <c r="Q46" i="5"/>
  <c r="P32" i="5" s="1"/>
  <c r="N31" i="5"/>
  <c r="M31" i="5"/>
  <c r="L31" i="5"/>
  <c r="G31" i="5"/>
  <c r="H3" i="85"/>
  <c r="O39" i="191"/>
  <c r="M39" i="191"/>
  <c r="K39" i="191"/>
  <c r="Q16" i="91"/>
  <c r="J62" i="91"/>
  <c r="Q16" i="65"/>
  <c r="P16" i="65"/>
  <c r="O16" i="65"/>
  <c r="N16" i="65"/>
  <c r="M16" i="65"/>
  <c r="J62" i="163"/>
  <c r="Q16" i="163"/>
  <c r="P16" i="163"/>
  <c r="P77" i="163" s="1"/>
  <c r="Q16" i="159"/>
  <c r="P16" i="159"/>
  <c r="O16" i="159"/>
  <c r="N16" i="159"/>
  <c r="M16" i="159"/>
  <c r="J62" i="21"/>
  <c r="T34" i="191"/>
  <c r="U34" i="191" s="1"/>
  <c r="T35" i="191"/>
  <c r="U35" i="191" s="1"/>
  <c r="T36" i="191"/>
  <c r="U36" i="191" s="1"/>
  <c r="T33" i="191"/>
  <c r="D17" i="199"/>
  <c r="D17" i="197"/>
  <c r="D17" i="195"/>
  <c r="D17" i="193"/>
  <c r="D17" i="191"/>
  <c r="D17" i="179"/>
  <c r="D17" i="119"/>
  <c r="D17" i="109"/>
  <c r="D17" i="117"/>
  <c r="D17" i="153"/>
  <c r="D17" i="111"/>
  <c r="D17" i="145"/>
  <c r="D17" i="115"/>
  <c r="D17" i="151"/>
  <c r="D17" i="107"/>
  <c r="D17" i="147"/>
  <c r="D17" i="113"/>
  <c r="D17" i="149"/>
  <c r="D17" i="105"/>
  <c r="D17" i="181"/>
  <c r="D17" i="89"/>
  <c r="D17" i="77"/>
  <c r="D17" i="187"/>
  <c r="D17" i="189"/>
  <c r="D17" i="87"/>
  <c r="D17" i="69"/>
  <c r="D17" i="85"/>
  <c r="D17" i="201"/>
  <c r="D17" i="67"/>
  <c r="C15" i="44"/>
  <c r="C16" i="44" s="1"/>
  <c r="C17" i="44" s="1"/>
  <c r="C19" i="44" s="1"/>
  <c r="C15" i="54"/>
  <c r="C16" i="54" s="1"/>
  <c r="C17" i="54" s="1"/>
  <c r="C19" i="54" s="1"/>
  <c r="C15" i="158"/>
  <c r="C16" i="158" s="1"/>
  <c r="C17" i="158" s="1"/>
  <c r="C19" i="158" s="1"/>
  <c r="C20" i="158" s="1"/>
  <c r="C21" i="158" s="1"/>
  <c r="C22" i="158" s="1"/>
  <c r="C23" i="158" s="1"/>
  <c r="C24" i="158" s="1"/>
  <c r="C25" i="158" s="1"/>
  <c r="C26" i="158" s="1"/>
  <c r="C27" i="158" s="1"/>
  <c r="C28" i="158" s="1"/>
  <c r="C29" i="158" s="1"/>
  <c r="C30" i="158" s="1"/>
  <c r="C31" i="158" s="1"/>
  <c r="C32" i="158" s="1"/>
  <c r="C33" i="158" s="1"/>
  <c r="C35" i="158" s="1"/>
  <c r="C36" i="158" s="1"/>
  <c r="C37" i="158" s="1"/>
  <c r="C38" i="158" s="1"/>
  <c r="C39" i="158" s="1"/>
  <c r="C40" i="158" s="1"/>
  <c r="C41" i="158" s="1"/>
  <c r="C42" i="158" s="1"/>
  <c r="C43" i="158" s="1"/>
  <c r="C45" i="158" s="1"/>
  <c r="C46" i="158" s="1"/>
  <c r="C47" i="158" s="1"/>
  <c r="C48" i="158" s="1"/>
  <c r="C49" i="158" s="1"/>
  <c r="C51" i="158" s="1"/>
  <c r="C15" i="46"/>
  <c r="C16" i="46" s="1"/>
  <c r="C17" i="46" s="1"/>
  <c r="C19" i="46" s="1"/>
  <c r="C20" i="46" s="1"/>
  <c r="C15" i="48"/>
  <c r="C16" i="48" s="1"/>
  <c r="C17" i="48" s="1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5" i="48" s="1"/>
  <c r="C36" i="48" s="1"/>
  <c r="C37" i="48" s="1"/>
  <c r="C38" i="48" s="1"/>
  <c r="C39" i="48" s="1"/>
  <c r="C40" i="48" s="1"/>
  <c r="C41" i="48" s="1"/>
  <c r="C42" i="48" s="1"/>
  <c r="C43" i="48" s="1"/>
  <c r="C45" i="48" s="1"/>
  <c r="C46" i="48" s="1"/>
  <c r="C47" i="48" s="1"/>
  <c r="C48" i="48" s="1"/>
  <c r="C49" i="48" s="1"/>
  <c r="C15" i="72"/>
  <c r="C16" i="72" s="1"/>
  <c r="C17" i="72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5" i="72" s="1"/>
  <c r="C36" i="72" s="1"/>
  <c r="C37" i="72" s="1"/>
  <c r="C38" i="72" s="1"/>
  <c r="C39" i="72" s="1"/>
  <c r="C40" i="72" s="1"/>
  <c r="C41" i="72" s="1"/>
  <c r="C42" i="72" s="1"/>
  <c r="C43" i="72" s="1"/>
  <c r="C45" i="72" s="1"/>
  <c r="C46" i="72" s="1"/>
  <c r="C47" i="72" s="1"/>
  <c r="C48" i="72" s="1"/>
  <c r="C49" i="72" s="1"/>
  <c r="C15" i="74"/>
  <c r="C16" i="74"/>
  <c r="C17" i="74" s="1"/>
  <c r="C19" i="74"/>
  <c r="C15" i="84"/>
  <c r="C16" i="84" s="1"/>
  <c r="C17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5" i="84" s="1"/>
  <c r="C36" i="84" s="1"/>
  <c r="C37" i="84" s="1"/>
  <c r="C38" i="84" s="1"/>
  <c r="C39" i="84" s="1"/>
  <c r="C40" i="84" s="1"/>
  <c r="C41" i="84" s="1"/>
  <c r="C42" i="84" s="1"/>
  <c r="C43" i="84" s="1"/>
  <c r="C45" i="84" s="1"/>
  <c r="C46" i="84" s="1"/>
  <c r="C47" i="84" s="1"/>
  <c r="C48" i="84" s="1"/>
  <c r="C49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4" i="84" s="1"/>
  <c r="C65" i="84" s="1"/>
  <c r="C66" i="84" s="1"/>
  <c r="C67" i="84" s="1"/>
  <c r="C15" i="68"/>
  <c r="C16" i="68" s="1"/>
  <c r="C17" i="68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5" i="68" s="1"/>
  <c r="C36" i="68" s="1"/>
  <c r="C37" i="68" s="1"/>
  <c r="C38" i="68" s="1"/>
  <c r="C39" i="68" s="1"/>
  <c r="C40" i="68" s="1"/>
  <c r="C41" i="68" s="1"/>
  <c r="C42" i="68" s="1"/>
  <c r="C43" i="68" s="1"/>
  <c r="C45" i="68" s="1"/>
  <c r="C46" i="68" s="1"/>
  <c r="C47" i="68" s="1"/>
  <c r="C48" i="68" s="1"/>
  <c r="C49" i="68" s="1"/>
  <c r="C51" i="68" s="1"/>
  <c r="C52" i="68" s="1"/>
  <c r="C53" i="68" s="1"/>
  <c r="C54" i="68" s="1"/>
  <c r="C55" i="68" s="1"/>
  <c r="C56" i="68" s="1"/>
  <c r="C15" i="86"/>
  <c r="C16" i="86" s="1"/>
  <c r="C17" i="86"/>
  <c r="C19" i="86" s="1"/>
  <c r="C20" i="86" s="1"/>
  <c r="C15" i="70"/>
  <c r="C16" i="70"/>
  <c r="C17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5" i="70" s="1"/>
  <c r="C36" i="70" s="1"/>
  <c r="C37" i="70" s="1"/>
  <c r="C38" i="70" s="1"/>
  <c r="C39" i="70" s="1"/>
  <c r="C40" i="70" s="1"/>
  <c r="C41" i="70" s="1"/>
  <c r="C42" i="70" s="1"/>
  <c r="C43" i="70" s="1"/>
  <c r="C45" i="70" s="1"/>
  <c r="C46" i="70" s="1"/>
  <c r="C47" i="70" s="1"/>
  <c r="C48" i="70" s="1"/>
  <c r="C49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4" i="70" s="1"/>
  <c r="C65" i="70" s="1"/>
  <c r="C66" i="70" s="1"/>
  <c r="C67" i="70" s="1"/>
  <c r="C15" i="88"/>
  <c r="C16" i="88" s="1"/>
  <c r="C17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5" i="88" s="1"/>
  <c r="C36" i="88" s="1"/>
  <c r="C37" i="88" s="1"/>
  <c r="C38" i="88" s="1"/>
  <c r="C39" i="88" s="1"/>
  <c r="C40" i="88" s="1"/>
  <c r="C41" i="88" s="1"/>
  <c r="C42" i="88" s="1"/>
  <c r="C43" i="88" s="1"/>
  <c r="C45" i="88" s="1"/>
  <c r="C46" i="88" s="1"/>
  <c r="C47" i="88" s="1"/>
  <c r="C48" i="88" s="1"/>
  <c r="C49" i="88" s="1"/>
  <c r="C51" i="88" s="1"/>
  <c r="C15" i="190"/>
  <c r="C16" i="190" s="1"/>
  <c r="C17" i="190" s="1"/>
  <c r="C19" i="190" s="1"/>
  <c r="C15" i="188"/>
  <c r="C16" i="188"/>
  <c r="C17" i="188" s="1"/>
  <c r="C19" i="188" s="1"/>
  <c r="C20" i="188" s="1"/>
  <c r="C21" i="188" s="1"/>
  <c r="C22" i="188" s="1"/>
  <c r="C23" i="188" s="1"/>
  <c r="C24" i="188" s="1"/>
  <c r="C25" i="188" s="1"/>
  <c r="C26" i="188" s="1"/>
  <c r="C27" i="188" s="1"/>
  <c r="C28" i="188" s="1"/>
  <c r="C29" i="188" s="1"/>
  <c r="C30" i="188" s="1"/>
  <c r="C31" i="188" s="1"/>
  <c r="C32" i="188" s="1"/>
  <c r="C33" i="188" s="1"/>
  <c r="C35" i="188" s="1"/>
  <c r="C36" i="188" s="1"/>
  <c r="C37" i="188" s="1"/>
  <c r="C38" i="188" s="1"/>
  <c r="C39" i="188" s="1"/>
  <c r="C40" i="188" s="1"/>
  <c r="C41" i="188" s="1"/>
  <c r="C42" i="188" s="1"/>
  <c r="C43" i="188" s="1"/>
  <c r="C45" i="188" s="1"/>
  <c r="C46" i="188" s="1"/>
  <c r="C47" i="188" s="1"/>
  <c r="C48" i="188" s="1"/>
  <c r="C49" i="188" s="1"/>
  <c r="C15" i="78"/>
  <c r="C16" i="78"/>
  <c r="C17" i="78" s="1"/>
  <c r="C19" i="78" s="1"/>
  <c r="C15" i="90"/>
  <c r="C16" i="90" s="1"/>
  <c r="C17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5" i="90" s="1"/>
  <c r="C36" i="90" s="1"/>
  <c r="C37" i="90" s="1"/>
  <c r="C38" i="90" s="1"/>
  <c r="C39" i="90" s="1"/>
  <c r="C40" i="90" s="1"/>
  <c r="C41" i="90" s="1"/>
  <c r="C42" i="90" s="1"/>
  <c r="C43" i="90" s="1"/>
  <c r="C45" i="90" s="1"/>
  <c r="C46" i="90" s="1"/>
  <c r="C47" i="90" s="1"/>
  <c r="C48" i="90" s="1"/>
  <c r="C49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15" i="182"/>
  <c r="C16" i="182"/>
  <c r="C17" i="182" s="1"/>
  <c r="C19" i="182" s="1"/>
  <c r="C15" i="106"/>
  <c r="C16" i="106" s="1"/>
  <c r="C17" i="106" s="1"/>
  <c r="C19" i="106" s="1"/>
  <c r="C20" i="106" s="1"/>
  <c r="C21" i="106" s="1"/>
  <c r="C22" i="106" s="1"/>
  <c r="C23" i="106" s="1"/>
  <c r="C24" i="106" s="1"/>
  <c r="C25" i="106" s="1"/>
  <c r="C26" i="106" s="1"/>
  <c r="C27" i="106" s="1"/>
  <c r="C28" i="106" s="1"/>
  <c r="C29" i="106" s="1"/>
  <c r="C30" i="106" s="1"/>
  <c r="C31" i="106" s="1"/>
  <c r="C32" i="106" s="1"/>
  <c r="C33" i="106" s="1"/>
  <c r="C35" i="106" s="1"/>
  <c r="C36" i="106" s="1"/>
  <c r="C37" i="106" s="1"/>
  <c r="C38" i="106" s="1"/>
  <c r="C39" i="106" s="1"/>
  <c r="C40" i="106" s="1"/>
  <c r="C41" i="106" s="1"/>
  <c r="C42" i="106" s="1"/>
  <c r="C43" i="106" s="1"/>
  <c r="C45" i="106" s="1"/>
  <c r="C46" i="106" s="1"/>
  <c r="C47" i="106" s="1"/>
  <c r="C48" i="106" s="1"/>
  <c r="C49" i="106" s="1"/>
  <c r="C15" i="150"/>
  <c r="C16" i="150"/>
  <c r="C17" i="150" s="1"/>
  <c r="C19" i="150" s="1"/>
  <c r="C20" i="150" s="1"/>
  <c r="C15" i="114"/>
  <c r="C16" i="114"/>
  <c r="C17" i="114" s="1"/>
  <c r="C19" i="114"/>
  <c r="C20" i="114" s="1"/>
  <c r="C21" i="114" s="1"/>
  <c r="C22" i="114" s="1"/>
  <c r="C23" i="114" s="1"/>
  <c r="C24" i="114" s="1"/>
  <c r="C25" i="114" s="1"/>
  <c r="C26" i="114" s="1"/>
  <c r="C27" i="114" s="1"/>
  <c r="C28" i="114" s="1"/>
  <c r="C29" i="114" s="1"/>
  <c r="C30" i="114" s="1"/>
  <c r="C31" i="114" s="1"/>
  <c r="C32" i="114" s="1"/>
  <c r="C33" i="114" s="1"/>
  <c r="C35" i="114" s="1"/>
  <c r="C36" i="114" s="1"/>
  <c r="C37" i="114" s="1"/>
  <c r="C38" i="114" s="1"/>
  <c r="C39" i="114" s="1"/>
  <c r="C40" i="114" s="1"/>
  <c r="C41" i="114" s="1"/>
  <c r="C42" i="114" s="1"/>
  <c r="C43" i="114" s="1"/>
  <c r="C45" i="114" s="1"/>
  <c r="C46" i="114" s="1"/>
  <c r="C47" i="114" s="1"/>
  <c r="C48" i="114" s="1"/>
  <c r="C49" i="114" s="1"/>
  <c r="C51" i="114" s="1"/>
  <c r="C52" i="114" s="1"/>
  <c r="C53" i="114" s="1"/>
  <c r="C54" i="114" s="1"/>
  <c r="C55" i="114" s="1"/>
  <c r="C56" i="114" s="1"/>
  <c r="C15" i="148"/>
  <c r="C16" i="148" s="1"/>
  <c r="C17" i="148" s="1"/>
  <c r="C19" i="148" s="1"/>
  <c r="C20" i="148" s="1"/>
  <c r="C21" i="148" s="1"/>
  <c r="C22" i="148" s="1"/>
  <c r="C23" i="148" s="1"/>
  <c r="C24" i="148" s="1"/>
  <c r="C25" i="148" s="1"/>
  <c r="C26" i="148" s="1"/>
  <c r="C27" i="148" s="1"/>
  <c r="C28" i="148" s="1"/>
  <c r="C29" i="148" s="1"/>
  <c r="C30" i="148" s="1"/>
  <c r="C31" i="148" s="1"/>
  <c r="C32" i="148" s="1"/>
  <c r="C33" i="148" s="1"/>
  <c r="C35" i="148" s="1"/>
  <c r="C36" i="148" s="1"/>
  <c r="C37" i="148" s="1"/>
  <c r="C38" i="148" s="1"/>
  <c r="C39" i="148" s="1"/>
  <c r="C40" i="148" s="1"/>
  <c r="C41" i="148" s="1"/>
  <c r="C42" i="148" s="1"/>
  <c r="C43" i="148" s="1"/>
  <c r="C45" i="148" s="1"/>
  <c r="C46" i="148" s="1"/>
  <c r="C47" i="148" s="1"/>
  <c r="C48" i="148" s="1"/>
  <c r="C49" i="148" s="1"/>
  <c r="C51" i="148" s="1"/>
  <c r="C52" i="148" s="1"/>
  <c r="C53" i="148" s="1"/>
  <c r="C54" i="148" s="1"/>
  <c r="C55" i="148" s="1"/>
  <c r="C56" i="148" s="1"/>
  <c r="C57" i="148" s="1"/>
  <c r="C58" i="148" s="1"/>
  <c r="C59" i="148" s="1"/>
  <c r="C60" i="148" s="1"/>
  <c r="C61" i="148" s="1"/>
  <c r="C62" i="148" s="1"/>
  <c r="C64" i="148" s="1"/>
  <c r="C65" i="148" s="1"/>
  <c r="C66" i="148" s="1"/>
  <c r="C67" i="148" s="1"/>
  <c r="C15" i="108"/>
  <c r="C16" i="108"/>
  <c r="C17" i="108" s="1"/>
  <c r="C19" i="108" s="1"/>
  <c r="C20" i="108" s="1"/>
  <c r="C21" i="108" s="1"/>
  <c r="C22" i="108" s="1"/>
  <c r="C23" i="108" s="1"/>
  <c r="C24" i="108" s="1"/>
  <c r="C25" i="108" s="1"/>
  <c r="C26" i="108" s="1"/>
  <c r="C27" i="108" s="1"/>
  <c r="C28" i="108" s="1"/>
  <c r="C29" i="108" s="1"/>
  <c r="C30" i="108" s="1"/>
  <c r="C31" i="108" s="1"/>
  <c r="C32" i="108" s="1"/>
  <c r="C33" i="108" s="1"/>
  <c r="C35" i="108" s="1"/>
  <c r="C36" i="108" s="1"/>
  <c r="C37" i="108" s="1"/>
  <c r="C38" i="108" s="1"/>
  <c r="C39" i="108" s="1"/>
  <c r="C40" i="108" s="1"/>
  <c r="C41" i="108" s="1"/>
  <c r="C42" i="108" s="1"/>
  <c r="C43" i="108" s="1"/>
  <c r="C45" i="108" s="1"/>
  <c r="C46" i="108" s="1"/>
  <c r="C47" i="108" s="1"/>
  <c r="C48" i="108" s="1"/>
  <c r="C49" i="108" s="1"/>
  <c r="C51" i="108" s="1"/>
  <c r="C52" i="108" s="1"/>
  <c r="C53" i="108" s="1"/>
  <c r="C54" i="108" s="1"/>
  <c r="C55" i="108" s="1"/>
  <c r="C56" i="108" s="1"/>
  <c r="C15" i="152"/>
  <c r="C16" i="152"/>
  <c r="C17" i="152" s="1"/>
  <c r="C19" i="152" s="1"/>
  <c r="C20" i="152" s="1"/>
  <c r="C21" i="152" s="1"/>
  <c r="C22" i="152" s="1"/>
  <c r="C23" i="152" s="1"/>
  <c r="C24" i="152" s="1"/>
  <c r="C25" i="152" s="1"/>
  <c r="C26" i="152" s="1"/>
  <c r="C27" i="152" s="1"/>
  <c r="C28" i="152" s="1"/>
  <c r="C29" i="152" s="1"/>
  <c r="C30" i="152" s="1"/>
  <c r="C31" i="152" s="1"/>
  <c r="C32" i="152" s="1"/>
  <c r="C33" i="152" s="1"/>
  <c r="C35" i="152" s="1"/>
  <c r="C36" i="152" s="1"/>
  <c r="C37" i="152" s="1"/>
  <c r="C15" i="116"/>
  <c r="C16" i="116" s="1"/>
  <c r="C17" i="116" s="1"/>
  <c r="C19" i="116" s="1"/>
  <c r="C20" i="116" s="1"/>
  <c r="C21" i="116" s="1"/>
  <c r="C22" i="116" s="1"/>
  <c r="C23" i="116" s="1"/>
  <c r="C24" i="116" s="1"/>
  <c r="C25" i="116" s="1"/>
  <c r="C26" i="116" s="1"/>
  <c r="C27" i="116" s="1"/>
  <c r="C28" i="116" s="1"/>
  <c r="C29" i="116" s="1"/>
  <c r="C30" i="116" s="1"/>
  <c r="C31" i="116" s="1"/>
  <c r="C32" i="116" s="1"/>
  <c r="C33" i="116" s="1"/>
  <c r="C35" i="116" s="1"/>
  <c r="C36" i="116" s="1"/>
  <c r="C37" i="116" s="1"/>
  <c r="C38" i="116" s="1"/>
  <c r="C39" i="116" s="1"/>
  <c r="C40" i="116" s="1"/>
  <c r="C41" i="116" s="1"/>
  <c r="C42" i="116" s="1"/>
  <c r="C43" i="116" s="1"/>
  <c r="C45" i="116" s="1"/>
  <c r="C46" i="116" s="1"/>
  <c r="C47" i="116" s="1"/>
  <c r="C48" i="116" s="1"/>
  <c r="C49" i="116" s="1"/>
  <c r="C15" i="146"/>
  <c r="C16" i="146" s="1"/>
  <c r="C17" i="146" s="1"/>
  <c r="C19" i="146" s="1"/>
  <c r="C15" i="112"/>
  <c r="C16" i="112" s="1"/>
  <c r="C17" i="112" s="1"/>
  <c r="C19" i="112" s="1"/>
  <c r="C20" i="112" s="1"/>
  <c r="C21" i="112" s="1"/>
  <c r="C22" i="112" s="1"/>
  <c r="C23" i="112" s="1"/>
  <c r="C24" i="112" s="1"/>
  <c r="C25" i="112" s="1"/>
  <c r="C26" i="112" s="1"/>
  <c r="C27" i="112" s="1"/>
  <c r="C28" i="112" s="1"/>
  <c r="C29" i="112" s="1"/>
  <c r="C30" i="112" s="1"/>
  <c r="C31" i="112" s="1"/>
  <c r="C32" i="112" s="1"/>
  <c r="C33" i="112" s="1"/>
  <c r="C35" i="112" s="1"/>
  <c r="C36" i="112" s="1"/>
  <c r="C37" i="112" s="1"/>
  <c r="C38" i="112" s="1"/>
  <c r="C39" i="112" s="1"/>
  <c r="C40" i="112" s="1"/>
  <c r="C41" i="112" s="1"/>
  <c r="C42" i="112" s="1"/>
  <c r="C43" i="112" s="1"/>
  <c r="C45" i="112" s="1"/>
  <c r="C46" i="112" s="1"/>
  <c r="C47" i="112" s="1"/>
  <c r="C48" i="112" s="1"/>
  <c r="C49" i="112" s="1"/>
  <c r="C15" i="154"/>
  <c r="C16" i="154" s="1"/>
  <c r="C17" i="154" s="1"/>
  <c r="C19" i="154" s="1"/>
  <c r="C15" i="118"/>
  <c r="C16" i="118" s="1"/>
  <c r="C17" i="118" s="1"/>
  <c r="C19" i="118" s="1"/>
  <c r="C20" i="118" s="1"/>
  <c r="C21" i="118" s="1"/>
  <c r="C22" i="118" s="1"/>
  <c r="C23" i="118" s="1"/>
  <c r="C24" i="118" s="1"/>
  <c r="C25" i="118" s="1"/>
  <c r="C26" i="118" s="1"/>
  <c r="C27" i="118" s="1"/>
  <c r="C28" i="118" s="1"/>
  <c r="C29" i="118" s="1"/>
  <c r="C30" i="118" s="1"/>
  <c r="C31" i="118" s="1"/>
  <c r="C32" i="118" s="1"/>
  <c r="C33" i="118" s="1"/>
  <c r="C35" i="118" s="1"/>
  <c r="C36" i="118" s="1"/>
  <c r="C37" i="118" s="1"/>
  <c r="C38" i="118" s="1"/>
  <c r="C39" i="118" s="1"/>
  <c r="C40" i="118" s="1"/>
  <c r="C41" i="118" s="1"/>
  <c r="C42" i="118" s="1"/>
  <c r="C43" i="118" s="1"/>
  <c r="C45" i="118" s="1"/>
  <c r="C46" i="118" s="1"/>
  <c r="C47" i="118" s="1"/>
  <c r="C48" i="118" s="1"/>
  <c r="C49" i="118" s="1"/>
  <c r="C51" i="118" s="1"/>
  <c r="C52" i="118" s="1"/>
  <c r="C53" i="118" s="1"/>
  <c r="C54" i="118" s="1"/>
  <c r="C55" i="118" s="1"/>
  <c r="C56" i="118" s="1"/>
  <c r="C15" i="110"/>
  <c r="C16" i="110" s="1"/>
  <c r="C17" i="110" s="1"/>
  <c r="C19" i="110" s="1"/>
  <c r="C15" i="120"/>
  <c r="C16" i="120" s="1"/>
  <c r="C17" i="120" s="1"/>
  <c r="C19" i="120" s="1"/>
  <c r="C20" i="120" s="1"/>
  <c r="C21" i="120" s="1"/>
  <c r="C22" i="120" s="1"/>
  <c r="C23" i="120" s="1"/>
  <c r="C24" i="120" s="1"/>
  <c r="C25" i="120" s="1"/>
  <c r="C26" i="120" s="1"/>
  <c r="C27" i="120" s="1"/>
  <c r="C28" i="120" s="1"/>
  <c r="C29" i="120" s="1"/>
  <c r="C30" i="120" s="1"/>
  <c r="C31" i="120" s="1"/>
  <c r="C32" i="120" s="1"/>
  <c r="C33" i="120" s="1"/>
  <c r="C35" i="120" s="1"/>
  <c r="C36" i="120" s="1"/>
  <c r="C37" i="120"/>
  <c r="C38" i="120" s="1"/>
  <c r="C39" i="120" s="1"/>
  <c r="C40" i="120" s="1"/>
  <c r="C41" i="120" s="1"/>
  <c r="C42" i="120" s="1"/>
  <c r="C43" i="120" s="1"/>
  <c r="C45" i="120" s="1"/>
  <c r="C46" i="120" s="1"/>
  <c r="C47" i="120" s="1"/>
  <c r="C48" i="120" s="1"/>
  <c r="C49" i="120" s="1"/>
  <c r="C51" i="120" s="1"/>
  <c r="C52" i="120" s="1"/>
  <c r="C53" i="120" s="1"/>
  <c r="C54" i="120" s="1"/>
  <c r="C55" i="120" s="1"/>
  <c r="C56" i="120" s="1"/>
  <c r="C15" i="180"/>
  <c r="C16" i="180" s="1"/>
  <c r="C17" i="180"/>
  <c r="C19" i="180" s="1"/>
  <c r="C15" i="192"/>
  <c r="C16" i="192" s="1"/>
  <c r="C17" i="192"/>
  <c r="C19" i="192" s="1"/>
  <c r="C20" i="192" s="1"/>
  <c r="C21" i="192" s="1"/>
  <c r="C22" i="192" s="1"/>
  <c r="C23" i="192" s="1"/>
  <c r="C24" i="192" s="1"/>
  <c r="C25" i="192" s="1"/>
  <c r="C26" i="192" s="1"/>
  <c r="C27" i="192" s="1"/>
  <c r="C28" i="192" s="1"/>
  <c r="C29" i="192" s="1"/>
  <c r="C30" i="192" s="1"/>
  <c r="C31" i="192" s="1"/>
  <c r="C32" i="192" s="1"/>
  <c r="C33" i="192" s="1"/>
  <c r="C35" i="192" s="1"/>
  <c r="C36" i="192" s="1"/>
  <c r="C37" i="192" s="1"/>
  <c r="C38" i="192" s="1"/>
  <c r="C39" i="192" s="1"/>
  <c r="C40" i="192" s="1"/>
  <c r="C41" i="192" s="1"/>
  <c r="C42" i="192" s="1"/>
  <c r="C43" i="192" s="1"/>
  <c r="C45" i="192" s="1"/>
  <c r="C46" i="192" s="1"/>
  <c r="C47" i="192" s="1"/>
  <c r="C48" i="192" s="1"/>
  <c r="C49" i="192" s="1"/>
  <c r="C15" i="194"/>
  <c r="C16" i="194" s="1"/>
  <c r="C17" i="194"/>
  <c r="C19" i="194" s="1"/>
  <c r="C20" i="194" s="1"/>
  <c r="C15" i="196"/>
  <c r="C16" i="196" s="1"/>
  <c r="C17" i="196"/>
  <c r="C19" i="196" s="1"/>
  <c r="C20" i="196" s="1"/>
  <c r="C21" i="196" s="1"/>
  <c r="C22" i="196" s="1"/>
  <c r="C23" i="196" s="1"/>
  <c r="C24" i="196" s="1"/>
  <c r="C25" i="196" s="1"/>
  <c r="C26" i="196" s="1"/>
  <c r="C27" i="196" s="1"/>
  <c r="C28" i="196" s="1"/>
  <c r="C29" i="196" s="1"/>
  <c r="C30" i="196" s="1"/>
  <c r="C31" i="196" s="1"/>
  <c r="C32" i="196" s="1"/>
  <c r="C33" i="196" s="1"/>
  <c r="C35" i="196" s="1"/>
  <c r="C36" i="196" s="1"/>
  <c r="C37" i="196" s="1"/>
  <c r="C38" i="196" s="1"/>
  <c r="C39" i="196" s="1"/>
  <c r="C40" i="196" s="1"/>
  <c r="C41" i="196" s="1"/>
  <c r="C42" i="196" s="1"/>
  <c r="C43" i="196" s="1"/>
  <c r="C45" i="196" s="1"/>
  <c r="C46" i="196" s="1"/>
  <c r="C47" i="196" s="1"/>
  <c r="C48" i="196" s="1"/>
  <c r="C49" i="196" s="1"/>
  <c r="C51" i="196" s="1"/>
  <c r="C52" i="196" s="1"/>
  <c r="C53" i="196" s="1"/>
  <c r="C54" i="196" s="1"/>
  <c r="C55" i="196" s="1"/>
  <c r="C56" i="196" s="1"/>
  <c r="C15" i="198"/>
  <c r="C16" i="198" s="1"/>
  <c r="C17" i="198" s="1"/>
  <c r="C19" i="198" s="1"/>
  <c r="C15" i="200"/>
  <c r="C16" i="200" s="1"/>
  <c r="C17" i="200" s="1"/>
  <c r="C19" i="200" s="1"/>
  <c r="C20" i="200" s="1"/>
  <c r="C21" i="200" s="1"/>
  <c r="C22" i="200" s="1"/>
  <c r="C23" i="200" s="1"/>
  <c r="C24" i="200" s="1"/>
  <c r="C25" i="200" s="1"/>
  <c r="C26" i="200" s="1"/>
  <c r="C27" i="200" s="1"/>
  <c r="C28" i="200" s="1"/>
  <c r="C29" i="200" s="1"/>
  <c r="C30" i="200" s="1"/>
  <c r="C31" i="200" s="1"/>
  <c r="C32" i="200" s="1"/>
  <c r="C33" i="200" s="1"/>
  <c r="C35" i="200" s="1"/>
  <c r="C36" i="200" s="1"/>
  <c r="C37" i="200" s="1"/>
  <c r="C38" i="200" s="1"/>
  <c r="C39" i="200" s="1"/>
  <c r="C40" i="200" s="1"/>
  <c r="C41" i="200" s="1"/>
  <c r="C42" i="200" s="1"/>
  <c r="C43" i="200" s="1"/>
  <c r="C45" i="200" s="1"/>
  <c r="C46" i="200" s="1"/>
  <c r="C47" i="200" s="1"/>
  <c r="C48" i="200" s="1"/>
  <c r="C49" i="200" s="1"/>
  <c r="C51" i="200" s="1"/>
  <c r="C52" i="200" s="1"/>
  <c r="C53" i="200" s="1"/>
  <c r="C54" i="200" s="1"/>
  <c r="C55" i="200" s="1"/>
  <c r="C56" i="200" s="1"/>
  <c r="C15" i="202"/>
  <c r="C16" i="202" s="1"/>
  <c r="C17" i="202"/>
  <c r="C19" i="202" s="1"/>
  <c r="O41" i="44"/>
  <c r="O41" i="54"/>
  <c r="Y36" i="4" s="1"/>
  <c r="O41" i="158"/>
  <c r="AB36" i="4" s="1"/>
  <c r="O41" i="48"/>
  <c r="AI36" i="4" s="1"/>
  <c r="O41" i="72"/>
  <c r="AL36" i="4" s="1"/>
  <c r="O41" i="74"/>
  <c r="AO36" i="4" s="1"/>
  <c r="O41" i="84"/>
  <c r="AR36" i="4" s="1"/>
  <c r="O41" i="68"/>
  <c r="AU36" i="4" s="1"/>
  <c r="AX36" i="4"/>
  <c r="O41" i="70"/>
  <c r="O41" i="88"/>
  <c r="BD36" i="4" s="1"/>
  <c r="O41" i="190"/>
  <c r="O41" i="188"/>
  <c r="O41" i="78"/>
  <c r="BG36" i="4" s="1"/>
  <c r="O41" i="90"/>
  <c r="BJ36" i="4" s="1"/>
  <c r="O41" i="182"/>
  <c r="O41" i="150"/>
  <c r="O41" i="114"/>
  <c r="BR36" i="4" s="1"/>
  <c r="O41" i="148"/>
  <c r="O41" i="108"/>
  <c r="BU36" i="4" s="1"/>
  <c r="O41" i="152"/>
  <c r="O41" i="116"/>
  <c r="CD36" i="4" s="1"/>
  <c r="O41" i="146"/>
  <c r="O41" i="112"/>
  <c r="CG36" i="4" s="1"/>
  <c r="O41" i="154"/>
  <c r="O41" i="118"/>
  <c r="BX36" i="4"/>
  <c r="O41" i="120"/>
  <c r="O41" i="180"/>
  <c r="O41" i="192"/>
  <c r="CJ36" i="4" s="1"/>
  <c r="O41" i="194"/>
  <c r="O41" i="198"/>
  <c r="O41" i="200"/>
  <c r="O41" i="202"/>
  <c r="M41" i="44"/>
  <c r="M41" i="54"/>
  <c r="W36" i="4" s="1"/>
  <c r="M41" i="158"/>
  <c r="Z36" i="4" s="1"/>
  <c r="M41" i="48"/>
  <c r="AG36" i="4" s="1"/>
  <c r="M41" i="72"/>
  <c r="AJ36" i="4" s="1"/>
  <c r="M41" i="74"/>
  <c r="AM36" i="4" s="1"/>
  <c r="M41" i="84"/>
  <c r="AP36" i="4" s="1"/>
  <c r="M41" i="68"/>
  <c r="AS36" i="4" s="1"/>
  <c r="M41" i="86"/>
  <c r="AV36" i="4" s="1"/>
  <c r="M41" i="70"/>
  <c r="AY36" i="4" s="1"/>
  <c r="M41" i="88"/>
  <c r="BB36" i="4" s="1"/>
  <c r="M41" i="190"/>
  <c r="M41" i="188"/>
  <c r="M41" i="78"/>
  <c r="BE36" i="4" s="1"/>
  <c r="M41" i="90"/>
  <c r="BH36" i="4" s="1"/>
  <c r="M41" i="182"/>
  <c r="M41" i="150"/>
  <c r="M41" i="114"/>
  <c r="M41" i="148"/>
  <c r="M41" i="108"/>
  <c r="BS36" i="4" s="1"/>
  <c r="M41" i="152"/>
  <c r="M41" i="116"/>
  <c r="CB36" i="4" s="1"/>
  <c r="M41" i="146"/>
  <c r="M41" i="112"/>
  <c r="BY36" i="4" s="1"/>
  <c r="M41" i="154"/>
  <c r="M41" i="118"/>
  <c r="M41" i="110"/>
  <c r="BV36" i="4" s="1"/>
  <c r="M41" i="120"/>
  <c r="M41" i="180"/>
  <c r="M41" i="192"/>
  <c r="CH36" i="4" s="1"/>
  <c r="M41" i="194"/>
  <c r="M41" i="196"/>
  <c r="M41" i="198"/>
  <c r="M41" i="200"/>
  <c r="M41" i="202"/>
  <c r="AA31" i="59"/>
  <c r="AA31" i="57"/>
  <c r="C16" i="16"/>
  <c r="C17" i="16" s="1"/>
  <c r="C19" i="16" s="1"/>
  <c r="C16" i="20"/>
  <c r="C17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7" i="20" s="1"/>
  <c r="C48" i="20" s="1"/>
  <c r="C16" i="57"/>
  <c r="C17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7" i="57" s="1"/>
  <c r="C48" i="57" s="1"/>
  <c r="C16" i="104"/>
  <c r="C17" i="104" s="1"/>
  <c r="C19" i="104" s="1"/>
  <c r="C20" i="104" s="1"/>
  <c r="C16" i="22"/>
  <c r="C17" i="22" s="1"/>
  <c r="C19" i="22" s="1"/>
  <c r="C16" i="24"/>
  <c r="C17" i="24" s="1"/>
  <c r="C19" i="24" s="1"/>
  <c r="C16" i="82"/>
  <c r="C17" i="82"/>
  <c r="C19" i="82" s="1"/>
  <c r="C16" i="50"/>
  <c r="C17" i="50" s="1"/>
  <c r="C19" i="50" s="1"/>
  <c r="C16" i="26"/>
  <c r="C17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7" i="26" s="1"/>
  <c r="C48" i="26" s="1"/>
  <c r="C16" i="52"/>
  <c r="C17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C34" i="52" s="1"/>
  <c r="C36" i="52" s="1"/>
  <c r="C37" i="52" s="1"/>
  <c r="C38" i="52" s="1"/>
  <c r="C39" i="52" s="1"/>
  <c r="C40" i="52" s="1"/>
  <c r="C41" i="52" s="1"/>
  <c r="C42" i="52" s="1"/>
  <c r="C43" i="52" s="1"/>
  <c r="C44" i="52" s="1"/>
  <c r="C45" i="52" s="1"/>
  <c r="C47" i="52" s="1"/>
  <c r="C48" i="52" s="1"/>
  <c r="C16" i="59"/>
  <c r="C17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7" i="59" s="1"/>
  <c r="C48" i="59" s="1"/>
  <c r="C16" i="32"/>
  <c r="C17" i="32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7" i="32" s="1"/>
  <c r="C48" i="32" s="1"/>
  <c r="C16" i="36"/>
  <c r="C17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7" i="36" s="1"/>
  <c r="C48" i="36" s="1"/>
  <c r="C16" i="160"/>
  <c r="C17" i="160" s="1"/>
  <c r="C19" i="160" s="1"/>
  <c r="C20" i="160" s="1"/>
  <c r="C16" i="164"/>
  <c r="C17" i="164" s="1"/>
  <c r="C19" i="164" s="1"/>
  <c r="C16" i="66"/>
  <c r="C17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7" i="66" s="1"/>
  <c r="C48" i="66" s="1"/>
  <c r="C16" i="92"/>
  <c r="C17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7" i="92" s="1"/>
  <c r="C48" i="92" s="1"/>
  <c r="C16" i="18"/>
  <c r="C17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6" i="18" s="1"/>
  <c r="C37" i="18" s="1"/>
  <c r="C38" i="18"/>
  <c r="C39" i="18" s="1"/>
  <c r="C40" i="18" s="1"/>
  <c r="C41" i="18" s="1"/>
  <c r="C42" i="18" s="1"/>
  <c r="C43" i="18" s="1"/>
  <c r="C44" i="18" s="1"/>
  <c r="C45" i="18" s="1"/>
  <c r="C47" i="18" s="1"/>
  <c r="C48" i="18" s="1"/>
  <c r="Q77" i="81"/>
  <c r="A82" i="9"/>
  <c r="A81" i="9"/>
  <c r="Q78" i="17" s="1"/>
  <c r="R38" i="18" s="1"/>
  <c r="P78" i="17"/>
  <c r="Q38" i="18" s="1"/>
  <c r="P78" i="58"/>
  <c r="Q38" i="59" s="1"/>
  <c r="Q78" i="31"/>
  <c r="R38" i="32" s="1"/>
  <c r="Q78" i="159"/>
  <c r="P78" i="159"/>
  <c r="Q78" i="163"/>
  <c r="P78" i="163"/>
  <c r="Q38" i="164" s="1"/>
  <c r="Q78" i="65"/>
  <c r="Q78" i="91"/>
  <c r="K77" i="81"/>
  <c r="L77" i="17"/>
  <c r="L77" i="15"/>
  <c r="L77" i="19"/>
  <c r="L77" i="56"/>
  <c r="L77" i="103"/>
  <c r="L77" i="21"/>
  <c r="L77" i="23"/>
  <c r="L77" i="81"/>
  <c r="L77" i="49"/>
  <c r="L77" i="25"/>
  <c r="L77" i="58"/>
  <c r="L77" i="31"/>
  <c r="L77" i="35"/>
  <c r="L77" i="159"/>
  <c r="L77" i="163"/>
  <c r="L77" i="65"/>
  <c r="L77" i="91"/>
  <c r="L77" i="51"/>
  <c r="N77" i="81"/>
  <c r="O77" i="81"/>
  <c r="P77" i="81"/>
  <c r="N16" i="17"/>
  <c r="N77" i="17" s="1"/>
  <c r="O16" i="15"/>
  <c r="O77" i="15" s="1"/>
  <c r="N16" i="15"/>
  <c r="N77" i="15" s="1"/>
  <c r="P16" i="19"/>
  <c r="P77" i="19" s="1"/>
  <c r="O16" i="19"/>
  <c r="O77" i="19" s="1"/>
  <c r="N16" i="19"/>
  <c r="N16" i="58"/>
  <c r="N77" i="58"/>
  <c r="P16" i="31"/>
  <c r="P77" i="31"/>
  <c r="O16" i="31"/>
  <c r="O77" i="31"/>
  <c r="N16" i="31"/>
  <c r="N77" i="31"/>
  <c r="M16" i="15"/>
  <c r="M77" i="15" s="1"/>
  <c r="M16" i="19"/>
  <c r="M77" i="19" s="1"/>
  <c r="M16" i="58"/>
  <c r="M16" i="31"/>
  <c r="M77" i="31" s="1"/>
  <c r="Q16" i="19"/>
  <c r="Q77" i="19" s="1"/>
  <c r="Q16" i="35"/>
  <c r="Q16" i="15"/>
  <c r="Q16" i="56"/>
  <c r="Q16" i="103"/>
  <c r="Q16" i="21"/>
  <c r="Q77" i="21" s="1"/>
  <c r="R37" i="82"/>
  <c r="R40" i="82" s="1"/>
  <c r="Q16" i="49"/>
  <c r="P16" i="49"/>
  <c r="P77" i="49" s="1"/>
  <c r="Q16" i="25"/>
  <c r="Q77" i="25" s="1"/>
  <c r="Q16" i="58"/>
  <c r="Q77" i="58" s="1"/>
  <c r="P16" i="58"/>
  <c r="P77" i="58" s="1"/>
  <c r="Q16" i="31"/>
  <c r="Q77" i="65"/>
  <c r="Q77" i="91"/>
  <c r="Q16" i="17"/>
  <c r="Q77" i="17" s="1"/>
  <c r="P16" i="17"/>
  <c r="P77" i="17" s="1"/>
  <c r="O16" i="17"/>
  <c r="P37" i="18" s="1"/>
  <c r="A75" i="9"/>
  <c r="A76" i="9"/>
  <c r="A77" i="9"/>
  <c r="A78" i="9"/>
  <c r="A79" i="9"/>
  <c r="A80" i="9"/>
  <c r="A74" i="9"/>
  <c r="Z30" i="118"/>
  <c r="AA30" i="118"/>
  <c r="Z30" i="106"/>
  <c r="Z30" i="188"/>
  <c r="AA30" i="188"/>
  <c r="Z30" i="190"/>
  <c r="AA30" i="190"/>
  <c r="AB30" i="190"/>
  <c r="Z30" i="88"/>
  <c r="AA30" i="88"/>
  <c r="AB30" i="88"/>
  <c r="Z30" i="70"/>
  <c r="AA30" i="70"/>
  <c r="Z30" i="84"/>
  <c r="AA30" i="84"/>
  <c r="Z30" i="74"/>
  <c r="AA30" i="74"/>
  <c r="Z30" i="48"/>
  <c r="AA30" i="48"/>
  <c r="Z30" i="44"/>
  <c r="AA30" i="57"/>
  <c r="AA30" i="18"/>
  <c r="Y5" i="14"/>
  <c r="N5" i="14" s="1"/>
  <c r="O50" i="191"/>
  <c r="Y50" i="191" s="1"/>
  <c r="M50" i="191"/>
  <c r="V50" i="191" s="1"/>
  <c r="K50" i="191"/>
  <c r="S50" i="191" s="1"/>
  <c r="O64" i="191"/>
  <c r="P63" i="191" s="1"/>
  <c r="O26" i="192" s="1"/>
  <c r="CJ21" i="4" s="1"/>
  <c r="M64" i="191"/>
  <c r="N63" i="191" s="1"/>
  <c r="N26" i="192" s="1"/>
  <c r="CI21" i="4" s="1"/>
  <c r="K64" i="191"/>
  <c r="L63" i="191" s="1"/>
  <c r="M26" i="192" s="1"/>
  <c r="CH21" i="4" s="1"/>
  <c r="O46" i="191"/>
  <c r="Y46" i="191" s="1"/>
  <c r="O47" i="191"/>
  <c r="Y47" i="191" s="1"/>
  <c r="O48" i="191"/>
  <c r="Y48" i="191" s="1"/>
  <c r="O45" i="191"/>
  <c r="M46" i="191"/>
  <c r="V46" i="191" s="1"/>
  <c r="M47" i="191"/>
  <c r="V47" i="191" s="1"/>
  <c r="M48" i="191"/>
  <c r="V48" i="191" s="1"/>
  <c r="M45" i="191"/>
  <c r="V45" i="191" s="1"/>
  <c r="K46" i="191"/>
  <c r="S46" i="191"/>
  <c r="K47" i="191"/>
  <c r="S47" i="191" s="1"/>
  <c r="K48" i="191"/>
  <c r="S48" i="191" s="1"/>
  <c r="K45" i="191"/>
  <c r="S45" i="191" s="1"/>
  <c r="H2" i="191"/>
  <c r="K9" i="191"/>
  <c r="L9" i="191" s="1"/>
  <c r="M8" i="192" s="1"/>
  <c r="CH7" i="4" s="1"/>
  <c r="M9" i="191"/>
  <c r="N9" i="191" s="1"/>
  <c r="N8" i="192" s="1"/>
  <c r="CI7" i="4" s="1"/>
  <c r="O9" i="191"/>
  <c r="P9" i="191" s="1"/>
  <c r="O8" i="192" s="1"/>
  <c r="CJ7" i="4" s="1"/>
  <c r="K13" i="191"/>
  <c r="K14" i="191" s="1"/>
  <c r="M13" i="191"/>
  <c r="M14" i="191" s="1"/>
  <c r="O13" i="191"/>
  <c r="O14" i="191" s="1"/>
  <c r="M17" i="191"/>
  <c r="O17" i="191"/>
  <c r="D19" i="191"/>
  <c r="H19" i="191"/>
  <c r="L19" i="191"/>
  <c r="N19" i="191"/>
  <c r="P19" i="191"/>
  <c r="D20" i="191"/>
  <c r="H20" i="191"/>
  <c r="L20" i="191"/>
  <c r="N20" i="191"/>
  <c r="P20" i="191"/>
  <c r="D21" i="191"/>
  <c r="H21" i="191"/>
  <c r="L21" i="191"/>
  <c r="N21" i="191"/>
  <c r="P21" i="191"/>
  <c r="D22" i="191"/>
  <c r="H22" i="191"/>
  <c r="L22" i="191"/>
  <c r="N22" i="191"/>
  <c r="P22" i="191"/>
  <c r="D23" i="191"/>
  <c r="H23" i="191"/>
  <c r="L23" i="191"/>
  <c r="N23" i="191"/>
  <c r="P23" i="191"/>
  <c r="D25" i="191"/>
  <c r="D26" i="191"/>
  <c r="L26" i="191"/>
  <c r="N26" i="191"/>
  <c r="P26" i="191"/>
  <c r="Y45" i="191"/>
  <c r="S49" i="191"/>
  <c r="V49" i="191"/>
  <c r="Y49" i="191"/>
  <c r="S53" i="191"/>
  <c r="V53" i="191"/>
  <c r="Y53" i="191"/>
  <c r="H54" i="191"/>
  <c r="I54" i="191"/>
  <c r="U54" i="191" s="1"/>
  <c r="J54" i="191"/>
  <c r="L54" i="191" s="1"/>
  <c r="S54" i="191"/>
  <c r="V54" i="191"/>
  <c r="Y54" i="191"/>
  <c r="H55" i="191"/>
  <c r="I55" i="191"/>
  <c r="J55" i="191"/>
  <c r="T55" i="191" s="1"/>
  <c r="S55" i="191"/>
  <c r="V55" i="191"/>
  <c r="Y55" i="191"/>
  <c r="H62" i="191"/>
  <c r="V63" i="191"/>
  <c r="D68" i="191"/>
  <c r="G68" i="191"/>
  <c r="O2" i="192"/>
  <c r="F3" i="192"/>
  <c r="G3" i="192"/>
  <c r="M6" i="192"/>
  <c r="CH5" i="4" s="1"/>
  <c r="N6" i="192"/>
  <c r="CI5" i="4"/>
  <c r="O6" i="192"/>
  <c r="CJ5" i="4" s="1"/>
  <c r="N41" i="192"/>
  <c r="CI36" i="4" s="1"/>
  <c r="F14" i="12"/>
  <c r="S14" i="12"/>
  <c r="U14" i="12"/>
  <c r="F15" i="12"/>
  <c r="S15" i="12"/>
  <c r="Y15" i="12"/>
  <c r="F16" i="12"/>
  <c r="S16" i="12"/>
  <c r="F17" i="12"/>
  <c r="J17" i="12"/>
  <c r="S17" i="12"/>
  <c r="T17" i="12"/>
  <c r="U17" i="12"/>
  <c r="V17" i="12"/>
  <c r="W17" i="12"/>
  <c r="X17" i="12"/>
  <c r="Y17" i="12"/>
  <c r="Z17" i="12"/>
  <c r="F18" i="12"/>
  <c r="S18" i="12"/>
  <c r="T18" i="12"/>
  <c r="U18" i="12"/>
  <c r="F19" i="12"/>
  <c r="S19" i="12"/>
  <c r="T19" i="12"/>
  <c r="U19" i="12"/>
  <c r="Y19" i="12"/>
  <c r="F20" i="12"/>
  <c r="S20" i="12"/>
  <c r="T20" i="12"/>
  <c r="U20" i="12"/>
  <c r="F21" i="12"/>
  <c r="J21" i="12"/>
  <c r="S21" i="12"/>
  <c r="T21" i="12"/>
  <c r="U21" i="12"/>
  <c r="V21" i="12"/>
  <c r="W21" i="12"/>
  <c r="X21" i="12"/>
  <c r="Y21" i="12"/>
  <c r="Z21" i="12"/>
  <c r="F22" i="12"/>
  <c r="S22" i="12"/>
  <c r="F23" i="12"/>
  <c r="S23" i="12"/>
  <c r="T23" i="12"/>
  <c r="U23" i="12"/>
  <c r="Y23" i="12"/>
  <c r="Z23" i="12"/>
  <c r="F24" i="12"/>
  <c r="S24" i="12"/>
  <c r="T24" i="12"/>
  <c r="U24" i="12"/>
  <c r="Y24" i="12"/>
  <c r="Z24" i="12"/>
  <c r="F25" i="12"/>
  <c r="S25" i="12"/>
  <c r="T25" i="12"/>
  <c r="W25" i="12"/>
  <c r="X25" i="12"/>
  <c r="Y25" i="12"/>
  <c r="Z25" i="12"/>
  <c r="F27" i="12"/>
  <c r="J27" i="12"/>
  <c r="S27" i="12"/>
  <c r="T27" i="12"/>
  <c r="U27" i="12"/>
  <c r="V27" i="12"/>
  <c r="W27" i="12"/>
  <c r="X27" i="12"/>
  <c r="Y27" i="12"/>
  <c r="Z27" i="12"/>
  <c r="F28" i="12"/>
  <c r="S28" i="12"/>
  <c r="V28" i="12"/>
  <c r="W28" i="12"/>
  <c r="X28" i="12"/>
  <c r="Y28" i="12"/>
  <c r="Z28" i="12"/>
  <c r="F29" i="12"/>
  <c r="S29" i="12"/>
  <c r="V29" i="12"/>
  <c r="W29" i="12"/>
  <c r="X29" i="12"/>
  <c r="Y29" i="12"/>
  <c r="Z29" i="12"/>
  <c r="F30" i="12"/>
  <c r="S30" i="12"/>
  <c r="U30" i="12"/>
  <c r="V30" i="12"/>
  <c r="W30" i="12"/>
  <c r="X30" i="12"/>
  <c r="Y30" i="12"/>
  <c r="F31" i="12"/>
  <c r="S31" i="12"/>
  <c r="U31" i="12"/>
  <c r="V31" i="12"/>
  <c r="W31" i="12"/>
  <c r="X31" i="12"/>
  <c r="F32" i="12"/>
  <c r="S32" i="12"/>
  <c r="U32" i="12"/>
  <c r="V32" i="12"/>
  <c r="W32" i="12"/>
  <c r="X32" i="12"/>
  <c r="Y32" i="12"/>
  <c r="F33" i="12"/>
  <c r="S33" i="12"/>
  <c r="U33" i="12"/>
  <c r="V33" i="12"/>
  <c r="W33" i="12"/>
  <c r="X33" i="12"/>
  <c r="Y33" i="12"/>
  <c r="F34" i="12"/>
  <c r="S34" i="12"/>
  <c r="T34" i="12"/>
  <c r="V34" i="12"/>
  <c r="W34" i="12"/>
  <c r="X34" i="12"/>
  <c r="Y34" i="12"/>
  <c r="Z34" i="12"/>
  <c r="F35" i="12"/>
  <c r="J35" i="12"/>
  <c r="S35" i="12"/>
  <c r="T35" i="12"/>
  <c r="U35" i="12"/>
  <c r="V35" i="12"/>
  <c r="W35" i="12"/>
  <c r="X35" i="12"/>
  <c r="Y35" i="12"/>
  <c r="Z35" i="12"/>
  <c r="F36" i="12"/>
  <c r="S36" i="12"/>
  <c r="U36" i="12"/>
  <c r="V36" i="12"/>
  <c r="W36" i="12"/>
  <c r="X36" i="12"/>
  <c r="Y36" i="12"/>
  <c r="F37" i="12"/>
  <c r="S37" i="12"/>
  <c r="U37" i="12"/>
  <c r="V37" i="12"/>
  <c r="W37" i="12"/>
  <c r="X37" i="12"/>
  <c r="F38" i="12"/>
  <c r="S38" i="12"/>
  <c r="U38" i="12"/>
  <c r="V38" i="12"/>
  <c r="W38" i="12"/>
  <c r="Y38" i="12"/>
  <c r="Z38" i="12"/>
  <c r="F39" i="12"/>
  <c r="J39" i="12"/>
  <c r="S39" i="12"/>
  <c r="T39" i="12"/>
  <c r="U39" i="12"/>
  <c r="V39" i="12"/>
  <c r="W39" i="12"/>
  <c r="X39" i="12"/>
  <c r="Y39" i="12"/>
  <c r="Z39" i="12"/>
  <c r="F40" i="12"/>
  <c r="J40" i="12"/>
  <c r="S40" i="12"/>
  <c r="T40" i="12"/>
  <c r="U40" i="12"/>
  <c r="V40" i="12"/>
  <c r="W40" i="12"/>
  <c r="X40" i="12"/>
  <c r="Y40" i="12"/>
  <c r="Z40" i="12"/>
  <c r="F41" i="12"/>
  <c r="J41" i="12"/>
  <c r="S41" i="12"/>
  <c r="T41" i="12"/>
  <c r="U41" i="12"/>
  <c r="V41" i="12"/>
  <c r="W41" i="12"/>
  <c r="X41" i="12"/>
  <c r="Y41" i="12"/>
  <c r="Z41" i="12"/>
  <c r="F42" i="12"/>
  <c r="S42" i="12"/>
  <c r="F43" i="12"/>
  <c r="J43" i="12"/>
  <c r="S43" i="12"/>
  <c r="T43" i="12"/>
  <c r="U43" i="12"/>
  <c r="V43" i="12"/>
  <c r="W43" i="12"/>
  <c r="X43" i="12"/>
  <c r="Y43" i="12"/>
  <c r="Z43" i="12"/>
  <c r="F50" i="12"/>
  <c r="S50" i="12"/>
  <c r="F51" i="12"/>
  <c r="J51" i="12"/>
  <c r="S51" i="12"/>
  <c r="T51" i="12"/>
  <c r="U51" i="12"/>
  <c r="V51" i="12"/>
  <c r="W51" i="12"/>
  <c r="X51" i="12"/>
  <c r="Z51" i="12"/>
  <c r="F52" i="12"/>
  <c r="J52" i="12"/>
  <c r="S52" i="12"/>
  <c r="T52" i="12"/>
  <c r="U52" i="12"/>
  <c r="V52" i="12"/>
  <c r="W52" i="12"/>
  <c r="X52" i="12"/>
  <c r="Z52" i="12"/>
  <c r="F53" i="12"/>
  <c r="J53" i="12"/>
  <c r="S53" i="12"/>
  <c r="T53" i="12"/>
  <c r="U53" i="12"/>
  <c r="V53" i="12"/>
  <c r="W53" i="12"/>
  <c r="X53" i="12"/>
  <c r="Z53" i="12"/>
  <c r="H2" i="157"/>
  <c r="K9" i="157"/>
  <c r="M9" i="157"/>
  <c r="O9" i="157"/>
  <c r="K14" i="157"/>
  <c r="M14" i="157"/>
  <c r="O14" i="157"/>
  <c r="J17" i="157"/>
  <c r="M17" i="157"/>
  <c r="O17" i="157"/>
  <c r="D19" i="157"/>
  <c r="H19" i="157"/>
  <c r="N19" i="157" s="1"/>
  <c r="L19" i="157"/>
  <c r="P19" i="157"/>
  <c r="D20" i="157"/>
  <c r="H20" i="157"/>
  <c r="N20" i="157" s="1"/>
  <c r="L20" i="157"/>
  <c r="P20" i="157"/>
  <c r="D21" i="157"/>
  <c r="H21" i="157"/>
  <c r="N21" i="157" s="1"/>
  <c r="L21" i="157"/>
  <c r="P21" i="157"/>
  <c r="D22" i="157"/>
  <c r="H22" i="157"/>
  <c r="N22" i="157" s="1"/>
  <c r="L22" i="157"/>
  <c r="P22" i="157"/>
  <c r="D23" i="157"/>
  <c r="H23" i="157"/>
  <c r="N23" i="157" s="1"/>
  <c r="L23" i="157"/>
  <c r="P23" i="157"/>
  <c r="D25" i="157"/>
  <c r="D26" i="157"/>
  <c r="L26" i="157"/>
  <c r="N26" i="157"/>
  <c r="P26" i="157"/>
  <c r="H45" i="157"/>
  <c r="I45" i="157"/>
  <c r="J45" i="157"/>
  <c r="N45" i="157" s="1"/>
  <c r="V45" i="157"/>
  <c r="Y45" i="157"/>
  <c r="S46" i="157"/>
  <c r="V46" i="157"/>
  <c r="Y46" i="157"/>
  <c r="S47" i="157"/>
  <c r="V47" i="157"/>
  <c r="Y47" i="157"/>
  <c r="S48" i="157"/>
  <c r="V48" i="157"/>
  <c r="Y48" i="157"/>
  <c r="S49" i="157"/>
  <c r="V49" i="157"/>
  <c r="Y49" i="157"/>
  <c r="S50" i="157"/>
  <c r="V50" i="157"/>
  <c r="Y50" i="157"/>
  <c r="S53" i="157"/>
  <c r="V53" i="157"/>
  <c r="Y53" i="157"/>
  <c r="S54" i="157"/>
  <c r="V54" i="157"/>
  <c r="Y54" i="157"/>
  <c r="S55" i="157"/>
  <c r="V55" i="157"/>
  <c r="Y55" i="157"/>
  <c r="H62" i="157"/>
  <c r="K62" i="157"/>
  <c r="M62" i="157"/>
  <c r="O62" i="157"/>
  <c r="L63" i="157"/>
  <c r="M26" i="158" s="1"/>
  <c r="Z21" i="4" s="1"/>
  <c r="N63" i="157"/>
  <c r="N26" i="158" s="1"/>
  <c r="AA21" i="4" s="1"/>
  <c r="P63" i="157"/>
  <c r="O26" i="158" s="1"/>
  <c r="AB21" i="4" s="1"/>
  <c r="V63" i="157"/>
  <c r="D68" i="157"/>
  <c r="G68" i="157"/>
  <c r="O2" i="158"/>
  <c r="F3" i="158"/>
  <c r="G3" i="158"/>
  <c r="M6" i="158"/>
  <c r="Z5" i="4" s="1"/>
  <c r="N6" i="158"/>
  <c r="AA5" i="4" s="1"/>
  <c r="O6" i="158"/>
  <c r="AB5" i="4" s="1"/>
  <c r="N41" i="158"/>
  <c r="AA36" i="4" s="1"/>
  <c r="H2" i="47"/>
  <c r="K9" i="47"/>
  <c r="L9" i="47" s="1"/>
  <c r="M8" i="48" s="1"/>
  <c r="AG7" i="4" s="1"/>
  <c r="M9" i="47"/>
  <c r="N9" i="47" s="1"/>
  <c r="O9" i="47"/>
  <c r="K14" i="47"/>
  <c r="M14" i="47"/>
  <c r="O14" i="47"/>
  <c r="J17" i="47"/>
  <c r="M17" i="47"/>
  <c r="O17" i="47"/>
  <c r="D20" i="47"/>
  <c r="H20" i="47"/>
  <c r="L20" i="47"/>
  <c r="N20" i="47"/>
  <c r="P20" i="47"/>
  <c r="D21" i="47"/>
  <c r="H21" i="47"/>
  <c r="L21" i="47"/>
  <c r="N21" i="47"/>
  <c r="P21" i="47"/>
  <c r="D22" i="47"/>
  <c r="H22" i="47"/>
  <c r="L22" i="47"/>
  <c r="N22" i="47"/>
  <c r="P22" i="47"/>
  <c r="D23" i="47"/>
  <c r="H23" i="47"/>
  <c r="L23" i="47"/>
  <c r="N23" i="47"/>
  <c r="P23" i="47"/>
  <c r="D25" i="47"/>
  <c r="D26" i="47"/>
  <c r="L26" i="47"/>
  <c r="N26" i="47"/>
  <c r="P26" i="47"/>
  <c r="M33" i="47"/>
  <c r="S45" i="47"/>
  <c r="V45" i="47"/>
  <c r="Y45" i="47"/>
  <c r="S46" i="47"/>
  <c r="V46" i="47"/>
  <c r="Y46" i="47"/>
  <c r="S47" i="47"/>
  <c r="V47" i="47"/>
  <c r="Y47" i="47"/>
  <c r="S48" i="47"/>
  <c r="V48" i="47"/>
  <c r="Y48" i="47"/>
  <c r="S49" i="47"/>
  <c r="V49" i="47"/>
  <c r="Y49" i="47"/>
  <c r="H52" i="47"/>
  <c r="I52" i="47"/>
  <c r="X52" i="47" s="1"/>
  <c r="J52" i="47"/>
  <c r="W52" i="47" s="1"/>
  <c r="S52" i="47"/>
  <c r="V52" i="47"/>
  <c r="Y52" i="47"/>
  <c r="D53" i="47"/>
  <c r="H53" i="47"/>
  <c r="I53" i="47"/>
  <c r="U53" i="47" s="1"/>
  <c r="J53" i="47"/>
  <c r="N53" i="47" s="1"/>
  <c r="S53" i="47"/>
  <c r="V53" i="47"/>
  <c r="Y53" i="47"/>
  <c r="D54" i="47"/>
  <c r="H54" i="47"/>
  <c r="I54" i="47"/>
  <c r="X54" i="47" s="1"/>
  <c r="J54" i="47"/>
  <c r="P54" i="47" s="1"/>
  <c r="S54" i="47"/>
  <c r="V54" i="47"/>
  <c r="Y54" i="47"/>
  <c r="D55" i="47"/>
  <c r="H55" i="47"/>
  <c r="I55" i="47"/>
  <c r="X55" i="47" s="1"/>
  <c r="J55" i="47"/>
  <c r="S55" i="47"/>
  <c r="V55" i="47"/>
  <c r="Y55" i="47"/>
  <c r="H62" i="47"/>
  <c r="K62" i="47"/>
  <c r="M62" i="47"/>
  <c r="O62" i="47"/>
  <c r="L63" i="47"/>
  <c r="N63" i="47"/>
  <c r="N26" i="48"/>
  <c r="P63" i="47"/>
  <c r="O26" i="48" s="1"/>
  <c r="AI21" i="4" s="1"/>
  <c r="V63" i="47"/>
  <c r="D68" i="47"/>
  <c r="O2" i="48"/>
  <c r="F3" i="48"/>
  <c r="G3" i="48"/>
  <c r="M6" i="48"/>
  <c r="N6" i="48"/>
  <c r="O6" i="48"/>
  <c r="N7" i="48"/>
  <c r="M26" i="48"/>
  <c r="N41" i="48"/>
  <c r="AH36" i="4" s="1"/>
  <c r="H2" i="115"/>
  <c r="K9" i="115"/>
  <c r="L9" i="115" s="1"/>
  <c r="M9" i="115"/>
  <c r="N9" i="115" s="1"/>
  <c r="O9" i="115"/>
  <c r="P9" i="115" s="1"/>
  <c r="K14" i="115"/>
  <c r="M14" i="115"/>
  <c r="O14" i="115"/>
  <c r="M17" i="115"/>
  <c r="O17" i="115"/>
  <c r="D19" i="115"/>
  <c r="H19" i="115"/>
  <c r="L19" i="115"/>
  <c r="N19" i="115"/>
  <c r="P19" i="115"/>
  <c r="D20" i="115"/>
  <c r="H20" i="115"/>
  <c r="L20" i="115"/>
  <c r="N20" i="115"/>
  <c r="P20" i="115"/>
  <c r="D21" i="115"/>
  <c r="H21" i="115"/>
  <c r="L21" i="115"/>
  <c r="N21" i="115"/>
  <c r="P21" i="115"/>
  <c r="D22" i="115"/>
  <c r="H22" i="115"/>
  <c r="L22" i="115"/>
  <c r="N22" i="115"/>
  <c r="P22" i="115"/>
  <c r="D23" i="115"/>
  <c r="H23" i="115"/>
  <c r="L23" i="115"/>
  <c r="N23" i="115"/>
  <c r="P23" i="115"/>
  <c r="D25" i="115"/>
  <c r="D26" i="115"/>
  <c r="L26" i="115"/>
  <c r="N26" i="115"/>
  <c r="P26" i="115"/>
  <c r="K35" i="115"/>
  <c r="S45" i="115"/>
  <c r="V45" i="115"/>
  <c r="Y45" i="115"/>
  <c r="S46" i="115"/>
  <c r="V46" i="115"/>
  <c r="Y46" i="115"/>
  <c r="S47" i="115"/>
  <c r="V47" i="115"/>
  <c r="Y47" i="115"/>
  <c r="S48" i="115"/>
  <c r="V48" i="115"/>
  <c r="Y48" i="115"/>
  <c r="S49" i="115"/>
  <c r="V49" i="115"/>
  <c r="Y49" i="115"/>
  <c r="S50" i="115"/>
  <c r="V50" i="115"/>
  <c r="Y50" i="115"/>
  <c r="D53" i="115"/>
  <c r="H53" i="115"/>
  <c r="I53" i="115"/>
  <c r="R53" i="115" s="1"/>
  <c r="J53" i="115"/>
  <c r="Z53" i="115" s="1"/>
  <c r="S53" i="115"/>
  <c r="V53" i="115"/>
  <c r="Y53" i="115"/>
  <c r="D54" i="115"/>
  <c r="H54" i="115"/>
  <c r="I54" i="115"/>
  <c r="J54" i="115"/>
  <c r="T54" i="115" s="1"/>
  <c r="S54" i="115"/>
  <c r="V54" i="115"/>
  <c r="Y54" i="115"/>
  <c r="D55" i="115"/>
  <c r="H55" i="115"/>
  <c r="I55" i="115"/>
  <c r="U55" i="115" s="1"/>
  <c r="J55" i="115"/>
  <c r="S55" i="115"/>
  <c r="V55" i="115"/>
  <c r="Y55" i="115"/>
  <c r="H62" i="115"/>
  <c r="L63" i="115"/>
  <c r="M26" i="116" s="1"/>
  <c r="CB21" i="4" s="1"/>
  <c r="N63" i="115"/>
  <c r="P63" i="115"/>
  <c r="O26" i="116" s="1"/>
  <c r="CD21" i="4" s="1"/>
  <c r="V63" i="115"/>
  <c r="D68" i="115"/>
  <c r="O2" i="116"/>
  <c r="F3" i="116"/>
  <c r="G3" i="116"/>
  <c r="M6" i="116"/>
  <c r="CB5" i="4" s="1"/>
  <c r="N6" i="116"/>
  <c r="CC5" i="4" s="1"/>
  <c r="O6" i="116"/>
  <c r="CD5" i="4" s="1"/>
  <c r="N7" i="116"/>
  <c r="CC6" i="4" s="1"/>
  <c r="K19" i="116"/>
  <c r="N26" i="116"/>
  <c r="CC21" i="4" s="1"/>
  <c r="N41" i="116"/>
  <c r="CC36" i="4" s="1"/>
  <c r="H2" i="151"/>
  <c r="K9" i="151"/>
  <c r="L9" i="151" s="1"/>
  <c r="M8" i="152" s="1"/>
  <c r="M9" i="151"/>
  <c r="N9" i="151" s="1"/>
  <c r="N8" i="152" s="1"/>
  <c r="O9" i="151"/>
  <c r="P9" i="151" s="1"/>
  <c r="O8" i="152" s="1"/>
  <c r="L10" i="151"/>
  <c r="M36" i="152"/>
  <c r="N10" i="151"/>
  <c r="N36" i="152"/>
  <c r="P10" i="151"/>
  <c r="O36" i="152" s="1"/>
  <c r="K14" i="151"/>
  <c r="M14" i="151"/>
  <c r="O14" i="151"/>
  <c r="M17" i="151"/>
  <c r="O17" i="151"/>
  <c r="D19" i="151"/>
  <c r="H19" i="151"/>
  <c r="L19" i="151"/>
  <c r="N19" i="151"/>
  <c r="P19" i="151"/>
  <c r="D20" i="151"/>
  <c r="H20" i="151"/>
  <c r="L20" i="151"/>
  <c r="N20" i="151"/>
  <c r="P20" i="151"/>
  <c r="D21" i="151"/>
  <c r="H21" i="151"/>
  <c r="L21" i="151"/>
  <c r="N21" i="151"/>
  <c r="P21" i="151"/>
  <c r="D22" i="151"/>
  <c r="H22" i="151"/>
  <c r="L22" i="151"/>
  <c r="N22" i="151"/>
  <c r="P22" i="151"/>
  <c r="D23" i="151"/>
  <c r="H23" i="151"/>
  <c r="L23" i="151"/>
  <c r="N23" i="151"/>
  <c r="P23" i="151"/>
  <c r="D25" i="151"/>
  <c r="D26" i="151"/>
  <c r="L26" i="151"/>
  <c r="N26" i="151"/>
  <c r="P26" i="151"/>
  <c r="S45" i="151"/>
  <c r="V45" i="151"/>
  <c r="Y45" i="151"/>
  <c r="S46" i="151"/>
  <c r="V46" i="151"/>
  <c r="Y46" i="151"/>
  <c r="S47" i="151"/>
  <c r="V47" i="151"/>
  <c r="Y47" i="151"/>
  <c r="S48" i="151"/>
  <c r="V48" i="151"/>
  <c r="Y48" i="151"/>
  <c r="S49" i="151"/>
  <c r="V49" i="151"/>
  <c r="Y49" i="151"/>
  <c r="S50" i="151"/>
  <c r="V50" i="151"/>
  <c r="Y50" i="151"/>
  <c r="H51" i="151"/>
  <c r="I51" i="151"/>
  <c r="X51" i="151" s="1"/>
  <c r="J51" i="151"/>
  <c r="S51" i="151"/>
  <c r="V51" i="151"/>
  <c r="Y51" i="151"/>
  <c r="H52" i="151"/>
  <c r="I52" i="151"/>
  <c r="U52" i="151" s="1"/>
  <c r="J52" i="151"/>
  <c r="L52" i="151" s="1"/>
  <c r="S52" i="151"/>
  <c r="V52" i="151"/>
  <c r="Y52" i="151"/>
  <c r="D53" i="151"/>
  <c r="H53" i="151"/>
  <c r="I53" i="151"/>
  <c r="J53" i="151"/>
  <c r="L53" i="151" s="1"/>
  <c r="S53" i="151"/>
  <c r="V53" i="151"/>
  <c r="Y53" i="151"/>
  <c r="D54" i="151"/>
  <c r="H54" i="151"/>
  <c r="I54" i="151"/>
  <c r="J54" i="151"/>
  <c r="S54" i="151"/>
  <c r="V54" i="151"/>
  <c r="Y54" i="151"/>
  <c r="D55" i="151"/>
  <c r="H55" i="151"/>
  <c r="I55" i="151"/>
  <c r="J55" i="151"/>
  <c r="W55" i="151" s="1"/>
  <c r="S55" i="151"/>
  <c r="V55" i="151"/>
  <c r="Y55" i="151"/>
  <c r="H62" i="151"/>
  <c r="L63" i="151"/>
  <c r="M26" i="152"/>
  <c r="N63" i="151"/>
  <c r="N26" i="152" s="1"/>
  <c r="P63" i="151"/>
  <c r="O26" i="152" s="1"/>
  <c r="V63" i="151"/>
  <c r="D68" i="151"/>
  <c r="N68" i="151"/>
  <c r="N67" i="151" s="1"/>
  <c r="N23" i="152" s="1"/>
  <c r="O2" i="152"/>
  <c r="F3" i="152"/>
  <c r="G3" i="152"/>
  <c r="M6" i="152"/>
  <c r="N6" i="152"/>
  <c r="O6" i="152"/>
  <c r="C38" i="152"/>
  <c r="C39" i="152" s="1"/>
  <c r="C40" i="152" s="1"/>
  <c r="C41" i="152" s="1"/>
  <c r="C42" i="152" s="1"/>
  <c r="C43" i="152" s="1"/>
  <c r="C45" i="152" s="1"/>
  <c r="C46" i="152" s="1"/>
  <c r="C47" i="152" s="1"/>
  <c r="C48" i="152" s="1"/>
  <c r="C49" i="152" s="1"/>
  <c r="C51" i="152" s="1"/>
  <c r="K19" i="152"/>
  <c r="N41" i="152"/>
  <c r="H2" i="153"/>
  <c r="K9" i="153"/>
  <c r="M9" i="153"/>
  <c r="O9" i="153"/>
  <c r="L10" i="153"/>
  <c r="M36" i="154" s="1"/>
  <c r="N10" i="153"/>
  <c r="N36" i="154" s="1"/>
  <c r="P10" i="153"/>
  <c r="O36" i="154" s="1"/>
  <c r="K14" i="153"/>
  <c r="M14" i="153"/>
  <c r="O14" i="153"/>
  <c r="M17" i="153"/>
  <c r="O17" i="153"/>
  <c r="D19" i="153"/>
  <c r="H19" i="153"/>
  <c r="L19" i="153"/>
  <c r="N19" i="153"/>
  <c r="P19" i="153"/>
  <c r="D20" i="153"/>
  <c r="H20" i="153"/>
  <c r="L20" i="153"/>
  <c r="N20" i="153"/>
  <c r="P20" i="153"/>
  <c r="D21" i="153"/>
  <c r="H21" i="153"/>
  <c r="L21" i="153"/>
  <c r="N21" i="153"/>
  <c r="P21" i="153"/>
  <c r="D22" i="153"/>
  <c r="H22" i="153"/>
  <c r="L22" i="153"/>
  <c r="N22" i="153"/>
  <c r="P22" i="153"/>
  <c r="D23" i="153"/>
  <c r="H23" i="153"/>
  <c r="L23" i="153"/>
  <c r="N23" i="153"/>
  <c r="P23" i="153"/>
  <c r="D25" i="153"/>
  <c r="D26" i="153"/>
  <c r="L26" i="153"/>
  <c r="N26" i="153"/>
  <c r="P26" i="153"/>
  <c r="S45" i="153"/>
  <c r="V45" i="153"/>
  <c r="Y45" i="153"/>
  <c r="S46" i="153"/>
  <c r="V46" i="153"/>
  <c r="Y46" i="153"/>
  <c r="S47" i="153"/>
  <c r="V47" i="153"/>
  <c r="Y47" i="153"/>
  <c r="S48" i="153"/>
  <c r="V48" i="153"/>
  <c r="Y48" i="153"/>
  <c r="S49" i="153"/>
  <c r="V49" i="153"/>
  <c r="Y49" i="153"/>
  <c r="S50" i="153"/>
  <c r="V50" i="153"/>
  <c r="Y50" i="153"/>
  <c r="H51" i="153"/>
  <c r="I51" i="153"/>
  <c r="J51" i="153"/>
  <c r="S51" i="153"/>
  <c r="V51" i="153"/>
  <c r="Y51" i="153"/>
  <c r="H52" i="153"/>
  <c r="I52" i="153"/>
  <c r="X52" i="153" s="1"/>
  <c r="J52" i="153"/>
  <c r="T52" i="153" s="1"/>
  <c r="S52" i="153"/>
  <c r="V52" i="153"/>
  <c r="Y52" i="153"/>
  <c r="D53" i="153"/>
  <c r="H53" i="153"/>
  <c r="I53" i="153"/>
  <c r="J53" i="153"/>
  <c r="P53" i="153" s="1"/>
  <c r="S53" i="153"/>
  <c r="V53" i="153"/>
  <c r="Y53" i="153"/>
  <c r="D54" i="153"/>
  <c r="H54" i="153"/>
  <c r="I54" i="153"/>
  <c r="J54" i="153"/>
  <c r="S54" i="153"/>
  <c r="V54" i="153"/>
  <c r="Y54" i="153"/>
  <c r="D55" i="153"/>
  <c r="H55" i="153"/>
  <c r="I55" i="153"/>
  <c r="J55" i="153"/>
  <c r="Z55" i="153" s="1"/>
  <c r="S55" i="153"/>
  <c r="V55" i="153"/>
  <c r="Y55" i="153"/>
  <c r="H62" i="153"/>
  <c r="L63" i="153"/>
  <c r="M26" i="154" s="1"/>
  <c r="N63" i="153"/>
  <c r="N26" i="154" s="1"/>
  <c r="P63" i="153"/>
  <c r="O26" i="154" s="1"/>
  <c r="V63" i="153"/>
  <c r="D68" i="153"/>
  <c r="L68" i="153"/>
  <c r="L67" i="153" s="1"/>
  <c r="M23" i="154" s="1"/>
  <c r="O2" i="154"/>
  <c r="F3" i="154"/>
  <c r="G3" i="154"/>
  <c r="M6" i="154"/>
  <c r="N6" i="154"/>
  <c r="O6" i="154"/>
  <c r="K19" i="154"/>
  <c r="C20" i="154"/>
  <c r="C21" i="154" s="1"/>
  <c r="C22" i="154" s="1"/>
  <c r="C23" i="154" s="1"/>
  <c r="C24" i="154" s="1"/>
  <c r="C25" i="154" s="1"/>
  <c r="C26" i="154" s="1"/>
  <c r="C27" i="154" s="1"/>
  <c r="C28" i="154" s="1"/>
  <c r="C29" i="154" s="1"/>
  <c r="C30" i="154" s="1"/>
  <c r="C31" i="154" s="1"/>
  <c r="C32" i="154" s="1"/>
  <c r="C33" i="154" s="1"/>
  <c r="C35" i="154" s="1"/>
  <c r="C36" i="154" s="1"/>
  <c r="C37" i="154" s="1"/>
  <c r="C38" i="154" s="1"/>
  <c r="C39" i="154" s="1"/>
  <c r="C40" i="154" s="1"/>
  <c r="C41" i="154" s="1"/>
  <c r="C42" i="154" s="1"/>
  <c r="C43" i="154" s="1"/>
  <c r="C45" i="154" s="1"/>
  <c r="C46" i="154" s="1"/>
  <c r="C47" i="154" s="1"/>
  <c r="C48" i="154" s="1"/>
  <c r="C49" i="154" s="1"/>
  <c r="N41" i="154"/>
  <c r="H2" i="117"/>
  <c r="K9" i="117"/>
  <c r="K11" i="117"/>
  <c r="M9" i="117"/>
  <c r="N9" i="117" s="1"/>
  <c r="O9" i="117"/>
  <c r="P9" i="117" s="1"/>
  <c r="K14" i="117"/>
  <c r="M14" i="117"/>
  <c r="O14" i="117"/>
  <c r="M17" i="117"/>
  <c r="O17" i="117"/>
  <c r="D19" i="117"/>
  <c r="H19" i="117"/>
  <c r="L19" i="117"/>
  <c r="N19" i="117"/>
  <c r="P19" i="117"/>
  <c r="D20" i="117"/>
  <c r="H20" i="117"/>
  <c r="L20" i="117"/>
  <c r="N20" i="117"/>
  <c r="P20" i="117"/>
  <c r="D21" i="117"/>
  <c r="H21" i="117"/>
  <c r="L21" i="117"/>
  <c r="N21" i="117"/>
  <c r="P21" i="117"/>
  <c r="D22" i="117"/>
  <c r="H22" i="117"/>
  <c r="L22" i="117"/>
  <c r="N22" i="117"/>
  <c r="P22" i="117"/>
  <c r="D23" i="117"/>
  <c r="H23" i="117"/>
  <c r="L23" i="117"/>
  <c r="N23" i="117"/>
  <c r="P23" i="117"/>
  <c r="D25" i="117"/>
  <c r="D26" i="117"/>
  <c r="L26" i="117"/>
  <c r="N26" i="117"/>
  <c r="P26" i="117"/>
  <c r="S45" i="117"/>
  <c r="V45" i="117"/>
  <c r="Y45" i="117"/>
  <c r="S46" i="117"/>
  <c r="V46" i="117"/>
  <c r="Y46" i="117"/>
  <c r="S47" i="117"/>
  <c r="V47" i="117"/>
  <c r="Y47" i="117"/>
  <c r="S48" i="117"/>
  <c r="V48" i="117"/>
  <c r="Y48" i="117"/>
  <c r="S49" i="117"/>
  <c r="V49" i="117"/>
  <c r="Y49" i="117"/>
  <c r="S50" i="117"/>
  <c r="V50" i="117"/>
  <c r="Y50" i="117"/>
  <c r="D53" i="117"/>
  <c r="H53" i="117"/>
  <c r="I53" i="117"/>
  <c r="X53" i="117" s="1"/>
  <c r="J53" i="117"/>
  <c r="W53" i="117" s="1"/>
  <c r="S53" i="117"/>
  <c r="V53" i="117"/>
  <c r="Y53" i="117"/>
  <c r="D54" i="117"/>
  <c r="H54" i="117"/>
  <c r="I54" i="117"/>
  <c r="J54" i="117"/>
  <c r="W54" i="117" s="1"/>
  <c r="S54" i="117"/>
  <c r="V54" i="117"/>
  <c r="Y54" i="117"/>
  <c r="D55" i="117"/>
  <c r="H55" i="117"/>
  <c r="I55" i="117"/>
  <c r="X55" i="117" s="1"/>
  <c r="J55" i="117"/>
  <c r="Z55" i="117" s="1"/>
  <c r="S55" i="117"/>
  <c r="V55" i="117"/>
  <c r="Y55" i="117"/>
  <c r="H62" i="117"/>
  <c r="L63" i="117"/>
  <c r="M26" i="118"/>
  <c r="N63" i="117"/>
  <c r="N26" i="118" s="1"/>
  <c r="P63" i="117"/>
  <c r="O26" i="118" s="1"/>
  <c r="V63" i="117"/>
  <c r="D68" i="117"/>
  <c r="O2" i="118"/>
  <c r="F3" i="118"/>
  <c r="G3" i="118"/>
  <c r="M6" i="118"/>
  <c r="N6" i="118"/>
  <c r="O6" i="118"/>
  <c r="N41" i="118"/>
  <c r="C27" i="178"/>
  <c r="D27" i="178"/>
  <c r="E27" i="178"/>
  <c r="F27" i="178"/>
  <c r="G27" i="178"/>
  <c r="H27" i="178"/>
  <c r="I27" i="178"/>
  <c r="J27" i="178"/>
  <c r="K27" i="178"/>
  <c r="M5" i="51"/>
  <c r="N5" i="52" s="1"/>
  <c r="N5" i="51"/>
  <c r="O5" i="52" s="1"/>
  <c r="O5" i="51"/>
  <c r="P5" i="52" s="1"/>
  <c r="P5" i="51"/>
  <c r="Q5" i="52" s="1"/>
  <c r="Q5" i="51"/>
  <c r="R5" i="52" s="1"/>
  <c r="M6" i="51"/>
  <c r="M14" i="51" s="1"/>
  <c r="M15" i="51" s="1"/>
  <c r="N6" i="51"/>
  <c r="O6" i="51"/>
  <c r="O14" i="51" s="1"/>
  <c r="P6" i="51"/>
  <c r="P14" i="51" s="1"/>
  <c r="Q6" i="51"/>
  <c r="R6" i="52" s="1"/>
  <c r="R7" i="51"/>
  <c r="I7" i="51" s="1"/>
  <c r="M13" i="51"/>
  <c r="N13" i="51"/>
  <c r="O13" i="51"/>
  <c r="P13" i="51"/>
  <c r="Q13" i="51"/>
  <c r="M21" i="51"/>
  <c r="N21" i="51"/>
  <c r="O21" i="51"/>
  <c r="P21" i="51"/>
  <c r="Q21" i="51"/>
  <c r="J24" i="51"/>
  <c r="D29" i="51"/>
  <c r="D31" i="51"/>
  <c r="J46" i="51"/>
  <c r="J47" i="51"/>
  <c r="J48" i="51"/>
  <c r="J49" i="51"/>
  <c r="J50" i="51"/>
  <c r="J52" i="51"/>
  <c r="T52" i="51"/>
  <c r="U52" i="51"/>
  <c r="V52" i="51"/>
  <c r="W52" i="51"/>
  <c r="X52" i="51"/>
  <c r="Z52" i="51"/>
  <c r="AA52" i="51"/>
  <c r="AB52" i="51"/>
  <c r="AC52" i="51"/>
  <c r="AD52" i="51"/>
  <c r="J53" i="51"/>
  <c r="T53" i="51"/>
  <c r="U53" i="51"/>
  <c r="V53" i="51"/>
  <c r="W53" i="51"/>
  <c r="X53" i="51"/>
  <c r="Z53" i="51"/>
  <c r="AA53" i="51"/>
  <c r="AB53" i="51"/>
  <c r="AC53" i="51"/>
  <c r="AD53" i="51"/>
  <c r="J54" i="51"/>
  <c r="T54" i="51"/>
  <c r="U54" i="51"/>
  <c r="V54" i="51"/>
  <c r="W54" i="51"/>
  <c r="X54" i="51"/>
  <c r="Z54" i="51"/>
  <c r="AA54" i="51"/>
  <c r="AB54" i="51"/>
  <c r="AC54" i="51"/>
  <c r="AD54" i="51"/>
  <c r="J55" i="51"/>
  <c r="T55" i="51"/>
  <c r="U55" i="51"/>
  <c r="V55" i="51"/>
  <c r="W55" i="51"/>
  <c r="X55" i="51"/>
  <c r="Z55" i="51"/>
  <c r="AA55" i="51"/>
  <c r="AB55" i="51"/>
  <c r="AC55" i="51"/>
  <c r="AD55" i="51"/>
  <c r="J56" i="51"/>
  <c r="T56" i="51"/>
  <c r="U56" i="51"/>
  <c r="V56" i="51"/>
  <c r="W56" i="51"/>
  <c r="X56" i="51"/>
  <c r="Z56" i="51"/>
  <c r="AA56" i="51"/>
  <c r="AB56" i="51"/>
  <c r="AC56" i="51"/>
  <c r="AD56" i="51"/>
  <c r="J61" i="51"/>
  <c r="G63" i="51"/>
  <c r="J63" i="51"/>
  <c r="K63" i="51"/>
  <c r="T63" i="51"/>
  <c r="U63" i="51"/>
  <c r="V63" i="51"/>
  <c r="W63" i="51"/>
  <c r="X63" i="51"/>
  <c r="M64" i="51"/>
  <c r="N26" i="52" s="1"/>
  <c r="N64" i="51"/>
  <c r="O26" i="52" s="1"/>
  <c r="O64" i="51"/>
  <c r="P26" i="52" s="1"/>
  <c r="P64" i="51"/>
  <c r="Q26" i="52" s="1"/>
  <c r="Q64" i="51"/>
  <c r="R26" i="52"/>
  <c r="K66" i="51"/>
  <c r="L64" i="51"/>
  <c r="M26" i="52" s="1"/>
  <c r="D69" i="51"/>
  <c r="H69" i="51"/>
  <c r="M69" i="51"/>
  <c r="N69" i="51"/>
  <c r="O69" i="51"/>
  <c r="P69" i="51"/>
  <c r="Q69" i="51"/>
  <c r="D70" i="51"/>
  <c r="H70" i="51"/>
  <c r="M70" i="51"/>
  <c r="N70" i="51"/>
  <c r="O70" i="51"/>
  <c r="P70" i="51"/>
  <c r="Q70" i="51"/>
  <c r="R2" i="52"/>
  <c r="F3" i="52"/>
  <c r="I3" i="52"/>
  <c r="M6" i="52"/>
  <c r="M11" i="52"/>
  <c r="M58" i="52" s="1"/>
  <c r="Q48" i="4" s="1"/>
  <c r="N11" i="52"/>
  <c r="N58" i="52" s="1"/>
  <c r="O11" i="52"/>
  <c r="O58" i="52" s="1"/>
  <c r="P11" i="52"/>
  <c r="P58" i="52" s="1"/>
  <c r="Q11" i="52"/>
  <c r="Q58" i="52" s="1"/>
  <c r="R11" i="52"/>
  <c r="R58" i="52" s="1"/>
  <c r="Q36" i="4"/>
  <c r="N5" i="16"/>
  <c r="O5" i="16"/>
  <c r="Q5" i="16"/>
  <c r="R5" i="16"/>
  <c r="M6" i="15"/>
  <c r="N6" i="16"/>
  <c r="N6" i="15"/>
  <c r="O6" i="15"/>
  <c r="O14" i="15" s="1"/>
  <c r="P7" i="16" s="1"/>
  <c r="P6" i="15"/>
  <c r="Q6" i="15"/>
  <c r="Q14" i="15" s="1"/>
  <c r="R7" i="15"/>
  <c r="I7" i="15" s="1"/>
  <c r="M13" i="15"/>
  <c r="N13" i="15"/>
  <c r="O13" i="15"/>
  <c r="P13" i="15"/>
  <c r="Q13" i="15"/>
  <c r="Q15" i="15"/>
  <c r="N37" i="16"/>
  <c r="O37" i="16"/>
  <c r="P37" i="16"/>
  <c r="Q18" i="15"/>
  <c r="R10" i="16" s="1"/>
  <c r="R56" i="16" s="1"/>
  <c r="M21" i="15"/>
  <c r="N21" i="15"/>
  <c r="O21" i="15"/>
  <c r="P21" i="15"/>
  <c r="Q21" i="15"/>
  <c r="J24" i="15"/>
  <c r="D28" i="15"/>
  <c r="D29" i="15"/>
  <c r="D31" i="15"/>
  <c r="J46" i="15"/>
  <c r="X46" i="15"/>
  <c r="AD46" i="15"/>
  <c r="J47" i="15"/>
  <c r="X47" i="15"/>
  <c r="AD47" i="15"/>
  <c r="J48" i="15"/>
  <c r="X48" i="15"/>
  <c r="AD48" i="15"/>
  <c r="T51" i="15"/>
  <c r="U51" i="15"/>
  <c r="V51" i="15"/>
  <c r="W51" i="15"/>
  <c r="X51" i="15"/>
  <c r="Z51" i="15"/>
  <c r="AA51" i="15"/>
  <c r="AB51" i="15"/>
  <c r="AC51" i="15"/>
  <c r="AD51" i="15"/>
  <c r="T52" i="15"/>
  <c r="U52" i="15"/>
  <c r="V52" i="15"/>
  <c r="W52" i="15"/>
  <c r="X52" i="15"/>
  <c r="Z52" i="15"/>
  <c r="AA52" i="15"/>
  <c r="AB52" i="15"/>
  <c r="AC52" i="15"/>
  <c r="AD52" i="15"/>
  <c r="T53" i="15"/>
  <c r="U53" i="15"/>
  <c r="V53" i="15"/>
  <c r="W53" i="15"/>
  <c r="X53" i="15"/>
  <c r="Z53" i="15"/>
  <c r="AA53" i="15"/>
  <c r="AB53" i="15"/>
  <c r="AC53" i="15"/>
  <c r="AD53" i="15"/>
  <c r="T54" i="15"/>
  <c r="U54" i="15"/>
  <c r="V54" i="15"/>
  <c r="W54" i="15"/>
  <c r="X54" i="15"/>
  <c r="Z54" i="15"/>
  <c r="AA54" i="15"/>
  <c r="AB54" i="15"/>
  <c r="AC54" i="15"/>
  <c r="AD54" i="15"/>
  <c r="T55" i="15"/>
  <c r="U55" i="15"/>
  <c r="V55" i="15"/>
  <c r="W55" i="15"/>
  <c r="X55" i="15"/>
  <c r="Z55" i="15"/>
  <c r="AA55" i="15"/>
  <c r="AB55" i="15"/>
  <c r="AC55" i="15"/>
  <c r="AD55" i="15"/>
  <c r="T56" i="15"/>
  <c r="U56" i="15"/>
  <c r="V56" i="15"/>
  <c r="W56" i="15"/>
  <c r="X56" i="15"/>
  <c r="Z56" i="15"/>
  <c r="AA56" i="15"/>
  <c r="AB56" i="15"/>
  <c r="AC56" i="15"/>
  <c r="AD56" i="15"/>
  <c r="J61" i="15"/>
  <c r="X61" i="15"/>
  <c r="T62" i="15"/>
  <c r="U62" i="15"/>
  <c r="V62" i="15"/>
  <c r="W62" i="15"/>
  <c r="X62" i="15"/>
  <c r="G63" i="15"/>
  <c r="J63" i="15"/>
  <c r="K63" i="15"/>
  <c r="T63" i="15"/>
  <c r="U63" i="15"/>
  <c r="V63" i="15"/>
  <c r="W63" i="15"/>
  <c r="X63" i="15"/>
  <c r="M64" i="15"/>
  <c r="N26" i="16" s="1"/>
  <c r="N64" i="15"/>
  <c r="O26" i="16" s="1"/>
  <c r="O64" i="15"/>
  <c r="P26" i="16" s="1"/>
  <c r="P64" i="15"/>
  <c r="Q26" i="16" s="1"/>
  <c r="Q64" i="15"/>
  <c r="R26" i="16" s="1"/>
  <c r="K66" i="15"/>
  <c r="L64" i="15"/>
  <c r="M26" i="16" s="1"/>
  <c r="F21" i="4" s="1"/>
  <c r="D69" i="15"/>
  <c r="H69" i="15"/>
  <c r="M69" i="15"/>
  <c r="N69" i="15"/>
  <c r="O69" i="15"/>
  <c r="P69" i="15"/>
  <c r="Q69" i="15"/>
  <c r="D70" i="15"/>
  <c r="H70" i="15"/>
  <c r="M70" i="15"/>
  <c r="N70" i="15"/>
  <c r="O70" i="15"/>
  <c r="P70" i="15"/>
  <c r="Q70" i="15"/>
  <c r="R2" i="16"/>
  <c r="F3" i="16"/>
  <c r="I3" i="16"/>
  <c r="P5" i="16"/>
  <c r="M6" i="16"/>
  <c r="M11" i="16"/>
  <c r="M58" i="16" s="1"/>
  <c r="N11" i="16"/>
  <c r="N58" i="16" s="1"/>
  <c r="O11" i="16"/>
  <c r="O58" i="16" s="1"/>
  <c r="P11" i="16"/>
  <c r="P58" i="16" s="1"/>
  <c r="Q11" i="16"/>
  <c r="Q58" i="16" s="1"/>
  <c r="R11" i="16"/>
  <c r="R58" i="16" s="1"/>
  <c r="C20" i="16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6" i="16" s="1"/>
  <c r="C37" i="16" s="1"/>
  <c r="C38" i="16" s="1"/>
  <c r="C39" i="16" s="1"/>
  <c r="C40" i="16" s="1"/>
  <c r="C41" i="16" s="1"/>
  <c r="C42" i="16" s="1"/>
  <c r="C43" i="16" s="1"/>
  <c r="C44" i="16" s="1"/>
  <c r="C45" i="16" s="1"/>
  <c r="C47" i="16" s="1"/>
  <c r="C48" i="16" s="1"/>
  <c r="O5" i="18"/>
  <c r="P5" i="18"/>
  <c r="Q5" i="18"/>
  <c r="R5" i="18"/>
  <c r="M6" i="17"/>
  <c r="M14" i="17" s="1"/>
  <c r="M15" i="17" s="1"/>
  <c r="N14" i="17"/>
  <c r="N15" i="17" s="1"/>
  <c r="O8" i="18" s="1"/>
  <c r="O6" i="17"/>
  <c r="P6" i="18" s="1"/>
  <c r="P6" i="17"/>
  <c r="P14" i="17" s="1"/>
  <c r="Q6" i="17"/>
  <c r="Q14" i="17" s="1"/>
  <c r="R7" i="17"/>
  <c r="I7" i="17" s="1"/>
  <c r="M13" i="17"/>
  <c r="N13" i="17"/>
  <c r="O13" i="17"/>
  <c r="P13" i="17"/>
  <c r="Q13" i="17"/>
  <c r="P15" i="17"/>
  <c r="Q8" i="18" s="1"/>
  <c r="Q29" i="18" s="1"/>
  <c r="Q15" i="17"/>
  <c r="Q49" i="17" s="1"/>
  <c r="P18" i="17"/>
  <c r="P50" i="17" s="1"/>
  <c r="Q18" i="17"/>
  <c r="Q50" i="17" s="1"/>
  <c r="X50" i="17" s="1"/>
  <c r="M21" i="17"/>
  <c r="N21" i="17"/>
  <c r="O21" i="17"/>
  <c r="P21" i="17"/>
  <c r="Q21" i="17"/>
  <c r="J24" i="17"/>
  <c r="D28" i="17"/>
  <c r="D29" i="17"/>
  <c r="D31" i="17"/>
  <c r="J46" i="17"/>
  <c r="W46" i="17"/>
  <c r="X46" i="17"/>
  <c r="AC46" i="17"/>
  <c r="AD46" i="17"/>
  <c r="J47" i="17"/>
  <c r="W47" i="17"/>
  <c r="X47" i="17"/>
  <c r="AC47" i="17"/>
  <c r="AD47" i="17"/>
  <c r="J48" i="17"/>
  <c r="W48" i="17"/>
  <c r="X48" i="17"/>
  <c r="AC48" i="17"/>
  <c r="AD48" i="17"/>
  <c r="U49" i="17"/>
  <c r="V49" i="17"/>
  <c r="AA49" i="17"/>
  <c r="AB49" i="17"/>
  <c r="U51" i="17"/>
  <c r="V51" i="17"/>
  <c r="W51" i="17"/>
  <c r="X51" i="17"/>
  <c r="AA51" i="17"/>
  <c r="AB51" i="17"/>
  <c r="AC51" i="17"/>
  <c r="AD51" i="17"/>
  <c r="J52" i="17"/>
  <c r="T52" i="17"/>
  <c r="U52" i="17"/>
  <c r="V52" i="17"/>
  <c r="W52" i="17"/>
  <c r="X52" i="17"/>
  <c r="Z52" i="17"/>
  <c r="AA52" i="17"/>
  <c r="AB52" i="17"/>
  <c r="AC52" i="17"/>
  <c r="AD52" i="17"/>
  <c r="J53" i="17"/>
  <c r="T53" i="17"/>
  <c r="U53" i="17"/>
  <c r="V53" i="17"/>
  <c r="W53" i="17"/>
  <c r="X53" i="17"/>
  <c r="Z53" i="17"/>
  <c r="AA53" i="17"/>
  <c r="AB53" i="17"/>
  <c r="AC53" i="17"/>
  <c r="AD53" i="17"/>
  <c r="J54" i="17"/>
  <c r="T54" i="17"/>
  <c r="U54" i="17"/>
  <c r="V54" i="17"/>
  <c r="W54" i="17"/>
  <c r="X54" i="17"/>
  <c r="Z54" i="17"/>
  <c r="AA54" i="17"/>
  <c r="AB54" i="17"/>
  <c r="AC54" i="17"/>
  <c r="AD54" i="17"/>
  <c r="J55" i="17"/>
  <c r="T55" i="17"/>
  <c r="U55" i="17"/>
  <c r="V55" i="17"/>
  <c r="W55" i="17"/>
  <c r="X55" i="17"/>
  <c r="Z55" i="17"/>
  <c r="AA55" i="17"/>
  <c r="AB55" i="17"/>
  <c r="AC55" i="17"/>
  <c r="AD55" i="17"/>
  <c r="J56" i="17"/>
  <c r="T56" i="17"/>
  <c r="U56" i="17"/>
  <c r="V56" i="17"/>
  <c r="W56" i="17"/>
  <c r="X56" i="17"/>
  <c r="Z56" i="17"/>
  <c r="AA56" i="17"/>
  <c r="AB56" i="17"/>
  <c r="AC56" i="17"/>
  <c r="AD56" i="17"/>
  <c r="J61" i="17"/>
  <c r="T61" i="17"/>
  <c r="U61" i="17"/>
  <c r="V61" i="17"/>
  <c r="W61" i="17"/>
  <c r="X61" i="17"/>
  <c r="T62" i="17"/>
  <c r="U62" i="17"/>
  <c r="V62" i="17"/>
  <c r="W62" i="17"/>
  <c r="X62" i="17"/>
  <c r="G63" i="17"/>
  <c r="J63" i="17"/>
  <c r="K63" i="17"/>
  <c r="T63" i="17"/>
  <c r="U63" i="17"/>
  <c r="V63" i="17"/>
  <c r="W63" i="17"/>
  <c r="X63" i="17"/>
  <c r="M64" i="17"/>
  <c r="N26" i="18" s="1"/>
  <c r="N64" i="17"/>
  <c r="O26" i="18" s="1"/>
  <c r="O64" i="17"/>
  <c r="P26" i="18" s="1"/>
  <c r="P64" i="17"/>
  <c r="Q26" i="18" s="1"/>
  <c r="Q64" i="17"/>
  <c r="R26" i="18" s="1"/>
  <c r="K66" i="17"/>
  <c r="L64" i="17" s="1"/>
  <c r="M26" i="18" s="1"/>
  <c r="E21" i="4" s="1"/>
  <c r="D69" i="17"/>
  <c r="H69" i="17"/>
  <c r="M69" i="17"/>
  <c r="N69" i="17"/>
  <c r="O69" i="17"/>
  <c r="P69" i="17"/>
  <c r="Q69" i="17"/>
  <c r="D70" i="17"/>
  <c r="H70" i="17"/>
  <c r="M70" i="17"/>
  <c r="N70" i="17"/>
  <c r="O70" i="17"/>
  <c r="P70" i="17"/>
  <c r="Q70" i="17"/>
  <c r="R2" i="18"/>
  <c r="F3" i="18"/>
  <c r="I3" i="18"/>
  <c r="N5" i="18"/>
  <c r="M6" i="18"/>
  <c r="M11" i="18"/>
  <c r="M58" i="18" s="1"/>
  <c r="N11" i="18"/>
  <c r="N58" i="18" s="1"/>
  <c r="O11" i="18"/>
  <c r="O58" i="18" s="1"/>
  <c r="P11" i="18"/>
  <c r="P58" i="18" s="1"/>
  <c r="Q11" i="18"/>
  <c r="Q58" i="18" s="1"/>
  <c r="R11" i="18"/>
  <c r="R58" i="18" s="1"/>
  <c r="E36" i="4"/>
  <c r="M5" i="19"/>
  <c r="N5" i="20"/>
  <c r="N5" i="19"/>
  <c r="O5" i="20" s="1"/>
  <c r="O5" i="19"/>
  <c r="P5" i="20" s="1"/>
  <c r="P5" i="19"/>
  <c r="Q5" i="20" s="1"/>
  <c r="Q5" i="19"/>
  <c r="R5" i="20"/>
  <c r="M6" i="19"/>
  <c r="M14" i="19" s="1"/>
  <c r="N6" i="19"/>
  <c r="O6" i="19"/>
  <c r="O14" i="19"/>
  <c r="P7" i="20" s="1"/>
  <c r="P6" i="19"/>
  <c r="Q6" i="19"/>
  <c r="R6" i="20" s="1"/>
  <c r="R7" i="19"/>
  <c r="I7" i="19"/>
  <c r="M13" i="19"/>
  <c r="N13" i="19"/>
  <c r="O13" i="19"/>
  <c r="P13" i="19"/>
  <c r="Q13" i="19"/>
  <c r="Q14" i="19"/>
  <c r="Q15" i="19" s="1"/>
  <c r="R8" i="20" s="1"/>
  <c r="P37" i="20"/>
  <c r="R37" i="20"/>
  <c r="M21" i="19"/>
  <c r="N21" i="19"/>
  <c r="O21" i="19"/>
  <c r="P21" i="19"/>
  <c r="Q21" i="19"/>
  <c r="J24" i="19"/>
  <c r="D28" i="19"/>
  <c r="D29" i="19"/>
  <c r="D31" i="19"/>
  <c r="J46" i="19"/>
  <c r="J47" i="19"/>
  <c r="J48" i="19"/>
  <c r="J51" i="19"/>
  <c r="T51" i="19"/>
  <c r="U51" i="19"/>
  <c r="V51" i="19"/>
  <c r="W51" i="19"/>
  <c r="X51" i="19"/>
  <c r="Z51" i="19"/>
  <c r="AA51" i="19"/>
  <c r="AB51" i="19"/>
  <c r="AC51" i="19"/>
  <c r="AD51" i="19"/>
  <c r="J52" i="19"/>
  <c r="T52" i="19"/>
  <c r="U52" i="19"/>
  <c r="V52" i="19"/>
  <c r="W52" i="19"/>
  <c r="X52" i="19"/>
  <c r="Z52" i="19"/>
  <c r="AA52" i="19"/>
  <c r="AB52" i="19"/>
  <c r="AC52" i="19"/>
  <c r="AD52" i="19"/>
  <c r="J53" i="19"/>
  <c r="T53" i="19"/>
  <c r="U53" i="19"/>
  <c r="V53" i="19"/>
  <c r="W53" i="19"/>
  <c r="X53" i="19"/>
  <c r="Z53" i="19"/>
  <c r="AA53" i="19"/>
  <c r="AB53" i="19"/>
  <c r="AC53" i="19"/>
  <c r="AD53" i="19"/>
  <c r="J54" i="19"/>
  <c r="T54" i="19"/>
  <c r="U54" i="19"/>
  <c r="V54" i="19"/>
  <c r="W54" i="19"/>
  <c r="X54" i="19"/>
  <c r="Z54" i="19"/>
  <c r="AA54" i="19"/>
  <c r="AB54" i="19"/>
  <c r="AC54" i="19"/>
  <c r="AD54" i="19"/>
  <c r="J55" i="19"/>
  <c r="T55" i="19"/>
  <c r="U55" i="19"/>
  <c r="V55" i="19"/>
  <c r="W55" i="19"/>
  <c r="X55" i="19"/>
  <c r="Z55" i="19"/>
  <c r="AA55" i="19"/>
  <c r="AB55" i="19"/>
  <c r="AC55" i="19"/>
  <c r="AD55" i="19"/>
  <c r="J56" i="19"/>
  <c r="T56" i="19"/>
  <c r="U56" i="19"/>
  <c r="V56" i="19"/>
  <c r="W56" i="19"/>
  <c r="X56" i="19"/>
  <c r="Z56" i="19"/>
  <c r="AA56" i="19"/>
  <c r="AB56" i="19"/>
  <c r="AC56" i="19"/>
  <c r="AD56" i="19"/>
  <c r="J61" i="19"/>
  <c r="T62" i="19"/>
  <c r="U62" i="19"/>
  <c r="V62" i="19"/>
  <c r="W62" i="19"/>
  <c r="X62" i="19"/>
  <c r="G63" i="19"/>
  <c r="J63" i="19"/>
  <c r="K63" i="19"/>
  <c r="T63" i="19"/>
  <c r="U63" i="19"/>
  <c r="V63" i="19"/>
  <c r="W63" i="19"/>
  <c r="X63" i="19"/>
  <c r="M64" i="19"/>
  <c r="N26" i="20" s="1"/>
  <c r="N64" i="19"/>
  <c r="O26" i="20" s="1"/>
  <c r="O64" i="19"/>
  <c r="P26" i="20" s="1"/>
  <c r="P64" i="19"/>
  <c r="Q26" i="20" s="1"/>
  <c r="Q64" i="19"/>
  <c r="R26" i="20" s="1"/>
  <c r="K66" i="19"/>
  <c r="L64" i="19" s="1"/>
  <c r="M26" i="20" s="1"/>
  <c r="G21" i="4" s="1"/>
  <c r="D69" i="19"/>
  <c r="H69" i="19"/>
  <c r="M69" i="19"/>
  <c r="N69" i="19"/>
  <c r="O69" i="19"/>
  <c r="P69" i="19"/>
  <c r="Q69" i="19"/>
  <c r="D70" i="19"/>
  <c r="H70" i="19"/>
  <c r="M70" i="19"/>
  <c r="N70" i="19"/>
  <c r="O70" i="19"/>
  <c r="P70" i="19"/>
  <c r="Q70" i="19"/>
  <c r="R2" i="20"/>
  <c r="F3" i="20"/>
  <c r="I3" i="20"/>
  <c r="M6" i="20"/>
  <c r="G5" i="4" s="1"/>
  <c r="M11" i="20"/>
  <c r="M58" i="20" s="1"/>
  <c r="N11" i="20"/>
  <c r="N58" i="20" s="1"/>
  <c r="O11" i="20"/>
  <c r="O58" i="20" s="1"/>
  <c r="P11" i="20"/>
  <c r="P58" i="20" s="1"/>
  <c r="Q11" i="20"/>
  <c r="Q58" i="20" s="1"/>
  <c r="R11" i="20"/>
  <c r="R58" i="20" s="1"/>
  <c r="H2" i="119"/>
  <c r="K9" i="119"/>
  <c r="L9" i="119" s="1"/>
  <c r="M9" i="119"/>
  <c r="N9" i="119" s="1"/>
  <c r="O9" i="119"/>
  <c r="K14" i="119"/>
  <c r="M14" i="119"/>
  <c r="O14" i="119"/>
  <c r="M17" i="119"/>
  <c r="O17" i="119"/>
  <c r="D19" i="119"/>
  <c r="H19" i="119"/>
  <c r="L19" i="119"/>
  <c r="N19" i="119"/>
  <c r="P19" i="119"/>
  <c r="D20" i="119"/>
  <c r="H20" i="119"/>
  <c r="L20" i="119"/>
  <c r="N20" i="119"/>
  <c r="P20" i="119"/>
  <c r="D21" i="119"/>
  <c r="H21" i="119"/>
  <c r="L21" i="119"/>
  <c r="N21" i="119"/>
  <c r="P21" i="119"/>
  <c r="D22" i="119"/>
  <c r="H22" i="119"/>
  <c r="L22" i="119"/>
  <c r="N22" i="119"/>
  <c r="P22" i="119"/>
  <c r="D23" i="119"/>
  <c r="H23" i="119"/>
  <c r="L23" i="119"/>
  <c r="N23" i="119"/>
  <c r="P23" i="119"/>
  <c r="D25" i="119"/>
  <c r="D26" i="119"/>
  <c r="L26" i="119"/>
  <c r="N26" i="119"/>
  <c r="P26" i="119"/>
  <c r="S45" i="119"/>
  <c r="V45" i="119"/>
  <c r="Y45" i="119"/>
  <c r="S46" i="119"/>
  <c r="V46" i="119"/>
  <c r="Y46" i="119"/>
  <c r="S47" i="119"/>
  <c r="V47" i="119"/>
  <c r="Y47" i="119"/>
  <c r="S48" i="119"/>
  <c r="V48" i="119"/>
  <c r="Y48" i="119"/>
  <c r="S49" i="119"/>
  <c r="V49" i="119"/>
  <c r="Y49" i="119"/>
  <c r="S50" i="119"/>
  <c r="V50" i="119"/>
  <c r="Y50" i="119"/>
  <c r="S51" i="119"/>
  <c r="V51" i="119"/>
  <c r="Y51" i="119"/>
  <c r="D54" i="119"/>
  <c r="H54" i="119"/>
  <c r="I54" i="119"/>
  <c r="J54" i="119"/>
  <c r="W54" i="119" s="1"/>
  <c r="S54" i="119"/>
  <c r="V54" i="119"/>
  <c r="Y54" i="119"/>
  <c r="D55" i="119"/>
  <c r="H55" i="119"/>
  <c r="I55" i="119"/>
  <c r="X55" i="119" s="1"/>
  <c r="J55" i="119"/>
  <c r="S55" i="119"/>
  <c r="V55" i="119"/>
  <c r="Y55" i="119"/>
  <c r="H62" i="119"/>
  <c r="L63" i="119"/>
  <c r="M26" i="120" s="1"/>
  <c r="N63" i="119"/>
  <c r="N26" i="120" s="1"/>
  <c r="P63" i="119"/>
  <c r="O26" i="120" s="1"/>
  <c r="V63" i="119"/>
  <c r="D68" i="119"/>
  <c r="O2" i="120"/>
  <c r="F3" i="120"/>
  <c r="G3" i="120"/>
  <c r="M6" i="120"/>
  <c r="N6" i="120"/>
  <c r="O6" i="120"/>
  <c r="N41" i="120"/>
  <c r="H2" i="149"/>
  <c r="K9" i="149"/>
  <c r="L9" i="149" s="1"/>
  <c r="M8" i="150" s="1"/>
  <c r="M9" i="149"/>
  <c r="O9" i="149"/>
  <c r="O36" i="149" s="1"/>
  <c r="L10" i="149"/>
  <c r="M36" i="150" s="1"/>
  <c r="N10" i="149"/>
  <c r="N36" i="150" s="1"/>
  <c r="P10" i="149"/>
  <c r="O36" i="150" s="1"/>
  <c r="K14" i="149"/>
  <c r="M14" i="149"/>
  <c r="O14" i="149"/>
  <c r="M17" i="149"/>
  <c r="O17" i="149"/>
  <c r="D19" i="149"/>
  <c r="H19" i="149"/>
  <c r="L19" i="149" s="1"/>
  <c r="D20" i="149"/>
  <c r="H20" i="149"/>
  <c r="L20" i="149"/>
  <c r="N20" i="149"/>
  <c r="P20" i="149"/>
  <c r="D21" i="149"/>
  <c r="H21" i="149"/>
  <c r="L21" i="149"/>
  <c r="N21" i="149"/>
  <c r="P21" i="149"/>
  <c r="D22" i="149"/>
  <c r="H22" i="149"/>
  <c r="L22" i="149"/>
  <c r="N22" i="149"/>
  <c r="P22" i="149"/>
  <c r="D23" i="149"/>
  <c r="H23" i="149"/>
  <c r="L23" i="149"/>
  <c r="N23" i="149"/>
  <c r="P23" i="149"/>
  <c r="D25" i="149"/>
  <c r="D26" i="149"/>
  <c r="L26" i="149"/>
  <c r="N26" i="149"/>
  <c r="P26" i="149"/>
  <c r="S45" i="149"/>
  <c r="V45" i="149"/>
  <c r="Y45" i="149"/>
  <c r="S46" i="149"/>
  <c r="V46" i="149"/>
  <c r="Y46" i="149"/>
  <c r="S47" i="149"/>
  <c r="V47" i="149"/>
  <c r="Y47" i="149"/>
  <c r="S48" i="149"/>
  <c r="V48" i="149"/>
  <c r="Y48" i="149"/>
  <c r="S49" i="149"/>
  <c r="V49" i="149"/>
  <c r="Y49" i="149"/>
  <c r="S50" i="149"/>
  <c r="V50" i="149"/>
  <c r="Y50" i="149"/>
  <c r="S51" i="149"/>
  <c r="V51" i="149"/>
  <c r="Y51" i="149"/>
  <c r="H52" i="149"/>
  <c r="I52" i="149"/>
  <c r="R52" i="149" s="1"/>
  <c r="J52" i="149"/>
  <c r="P52" i="149" s="1"/>
  <c r="S52" i="149"/>
  <c r="V52" i="149"/>
  <c r="Y52" i="149"/>
  <c r="H53" i="149"/>
  <c r="I53" i="149"/>
  <c r="J53" i="149"/>
  <c r="S53" i="149"/>
  <c r="V53" i="149"/>
  <c r="Y53" i="149"/>
  <c r="H54" i="149"/>
  <c r="I54" i="149"/>
  <c r="J54" i="149"/>
  <c r="W54" i="149" s="1"/>
  <c r="S54" i="149"/>
  <c r="V54" i="149"/>
  <c r="Y54" i="149"/>
  <c r="H55" i="149"/>
  <c r="I55" i="149"/>
  <c r="U55" i="149" s="1"/>
  <c r="J55" i="149"/>
  <c r="S55" i="149"/>
  <c r="V55" i="149"/>
  <c r="Y55" i="149"/>
  <c r="L61" i="149"/>
  <c r="N61" i="149"/>
  <c r="P61" i="149"/>
  <c r="H62" i="149"/>
  <c r="L63" i="149"/>
  <c r="M26" i="150"/>
  <c r="N63" i="149"/>
  <c r="N26" i="150"/>
  <c r="P63" i="149"/>
  <c r="O26" i="150"/>
  <c r="V63" i="149"/>
  <c r="D68" i="149"/>
  <c r="G68" i="149"/>
  <c r="L68" i="149"/>
  <c r="L67" i="149" s="1"/>
  <c r="M23" i="150" s="1"/>
  <c r="O2" i="150"/>
  <c r="F3" i="150"/>
  <c r="G3" i="150"/>
  <c r="M6" i="150"/>
  <c r="M73" i="150" s="1"/>
  <c r="N6" i="150"/>
  <c r="N73" i="150"/>
  <c r="O6" i="150"/>
  <c r="O73" i="150" s="1"/>
  <c r="K19" i="150"/>
  <c r="C21" i="150"/>
  <c r="C22" i="150" s="1"/>
  <c r="C23" i="150" s="1"/>
  <c r="C24" i="150" s="1"/>
  <c r="C25" i="150" s="1"/>
  <c r="C26" i="150" s="1"/>
  <c r="C27" i="150" s="1"/>
  <c r="C28" i="150" s="1"/>
  <c r="C29" i="150" s="1"/>
  <c r="C30" i="150" s="1"/>
  <c r="C31" i="150" s="1"/>
  <c r="C32" i="150" s="1"/>
  <c r="C33" i="150" s="1"/>
  <c r="C35" i="150" s="1"/>
  <c r="C36" i="150" s="1"/>
  <c r="C37" i="150" s="1"/>
  <c r="C38" i="150" s="1"/>
  <c r="C39" i="150" s="1"/>
  <c r="C40" i="150" s="1"/>
  <c r="C41" i="150" s="1"/>
  <c r="C42" i="150" s="1"/>
  <c r="C43" i="150" s="1"/>
  <c r="C45" i="150" s="1"/>
  <c r="C46" i="150" s="1"/>
  <c r="C47" i="150" s="1"/>
  <c r="C48" i="150" s="1"/>
  <c r="C49" i="150" s="1"/>
  <c r="N41" i="150"/>
  <c r="H2" i="105"/>
  <c r="K9" i="105"/>
  <c r="M9" i="105"/>
  <c r="O9" i="105"/>
  <c r="K14" i="105"/>
  <c r="M14" i="105"/>
  <c r="O14" i="105"/>
  <c r="M17" i="105"/>
  <c r="O17" i="105"/>
  <c r="D19" i="105"/>
  <c r="H19" i="105"/>
  <c r="L19" i="105"/>
  <c r="N19" i="105"/>
  <c r="P19" i="105"/>
  <c r="D20" i="105"/>
  <c r="H20" i="105"/>
  <c r="L20" i="105"/>
  <c r="N20" i="105"/>
  <c r="P20" i="105"/>
  <c r="D21" i="105"/>
  <c r="H21" i="105"/>
  <c r="L21" i="105"/>
  <c r="N21" i="105"/>
  <c r="P21" i="105"/>
  <c r="D22" i="105"/>
  <c r="H22" i="105"/>
  <c r="L22" i="105"/>
  <c r="N22" i="105"/>
  <c r="P22" i="105"/>
  <c r="D23" i="105"/>
  <c r="H23" i="105"/>
  <c r="L23" i="105"/>
  <c r="N23" i="105"/>
  <c r="P23" i="105"/>
  <c r="D25" i="105"/>
  <c r="D26" i="105"/>
  <c r="L26" i="105"/>
  <c r="N26" i="105"/>
  <c r="P26" i="105"/>
  <c r="S45" i="105"/>
  <c r="V45" i="105"/>
  <c r="Y45" i="105"/>
  <c r="S46" i="105"/>
  <c r="V46" i="105"/>
  <c r="Y46" i="105"/>
  <c r="S47" i="105"/>
  <c r="V47" i="105"/>
  <c r="Y47" i="105"/>
  <c r="S48" i="105"/>
  <c r="V48" i="105"/>
  <c r="Y48" i="105"/>
  <c r="S51" i="105"/>
  <c r="V51" i="105"/>
  <c r="Y51" i="105"/>
  <c r="S52" i="105"/>
  <c r="V52" i="105"/>
  <c r="Y52" i="105"/>
  <c r="S53" i="105"/>
  <c r="V53" i="105"/>
  <c r="Y53" i="105"/>
  <c r="S54" i="105"/>
  <c r="V54" i="105"/>
  <c r="Y54" i="105"/>
  <c r="D55" i="105"/>
  <c r="H55" i="105"/>
  <c r="I55" i="105"/>
  <c r="J55" i="105"/>
  <c r="Z55" i="105" s="1"/>
  <c r="S55" i="105"/>
  <c r="V55" i="105"/>
  <c r="Y55" i="105"/>
  <c r="H62" i="105"/>
  <c r="L63" i="105"/>
  <c r="N63" i="105"/>
  <c r="N26" i="106" s="1"/>
  <c r="BN21" i="4" s="1"/>
  <c r="P63" i="105"/>
  <c r="O26" i="106" s="1"/>
  <c r="BO21" i="4" s="1"/>
  <c r="V63" i="105"/>
  <c r="D68" i="105"/>
  <c r="O2" i="106"/>
  <c r="F3" i="106"/>
  <c r="G3" i="106"/>
  <c r="M6" i="106"/>
  <c r="N6" i="106"/>
  <c r="O6" i="106"/>
  <c r="K19" i="106"/>
  <c r="M26" i="106"/>
  <c r="BM21" i="4" s="1"/>
  <c r="H2" i="113"/>
  <c r="K9" i="113"/>
  <c r="K11" i="113" s="1"/>
  <c r="K15" i="113" s="1"/>
  <c r="M9" i="113"/>
  <c r="N7" i="114" s="1"/>
  <c r="BQ6" i="4" s="1"/>
  <c r="O9" i="113"/>
  <c r="O11" i="113" s="1"/>
  <c r="K14" i="113"/>
  <c r="K16" i="113" s="1"/>
  <c r="M13" i="114" s="1"/>
  <c r="BP12" i="4" s="1"/>
  <c r="M14" i="113"/>
  <c r="O14" i="113"/>
  <c r="M17" i="113"/>
  <c r="O17" i="113"/>
  <c r="D19" i="113"/>
  <c r="H19" i="113"/>
  <c r="N19" i="113"/>
  <c r="D20" i="113"/>
  <c r="H20" i="113"/>
  <c r="L20" i="113"/>
  <c r="N20" i="113"/>
  <c r="P20" i="113"/>
  <c r="D21" i="113"/>
  <c r="H21" i="113"/>
  <c r="L21" i="113"/>
  <c r="N21" i="113"/>
  <c r="P21" i="113"/>
  <c r="D22" i="113"/>
  <c r="H22" i="113"/>
  <c r="L22" i="113"/>
  <c r="N22" i="113"/>
  <c r="P22" i="113"/>
  <c r="D23" i="113"/>
  <c r="H23" i="113"/>
  <c r="L23" i="113"/>
  <c r="N23" i="113"/>
  <c r="P23" i="113"/>
  <c r="D25" i="113"/>
  <c r="D26" i="113"/>
  <c r="L26" i="113"/>
  <c r="N26" i="113"/>
  <c r="P26" i="113"/>
  <c r="K34" i="113"/>
  <c r="S45" i="113"/>
  <c r="V45" i="113"/>
  <c r="Y45" i="113"/>
  <c r="S46" i="113"/>
  <c r="V46" i="113"/>
  <c r="Y46" i="113"/>
  <c r="S47" i="113"/>
  <c r="V47" i="113"/>
  <c r="Y47" i="113"/>
  <c r="S48" i="113"/>
  <c r="V48" i="113"/>
  <c r="Y48" i="113"/>
  <c r="S49" i="113"/>
  <c r="V49" i="113"/>
  <c r="Y49" i="113"/>
  <c r="S50" i="113"/>
  <c r="V50" i="113"/>
  <c r="Y50" i="113"/>
  <c r="S51" i="113"/>
  <c r="V51" i="113"/>
  <c r="Y51" i="113"/>
  <c r="I54" i="113"/>
  <c r="R54" i="113" s="1"/>
  <c r="J54" i="113"/>
  <c r="S54" i="113"/>
  <c r="V54" i="113"/>
  <c r="Y54" i="113"/>
  <c r="H55" i="113"/>
  <c r="I55" i="113"/>
  <c r="R55" i="113" s="1"/>
  <c r="J55" i="113"/>
  <c r="Z55" i="113" s="1"/>
  <c r="S55" i="113"/>
  <c r="V55" i="113"/>
  <c r="Y55" i="113"/>
  <c r="L61" i="113"/>
  <c r="N61" i="113"/>
  <c r="P61" i="113"/>
  <c r="H62" i="113"/>
  <c r="L63" i="113"/>
  <c r="M26" i="114" s="1"/>
  <c r="BP21" i="4" s="1"/>
  <c r="N63" i="113"/>
  <c r="N26" i="114"/>
  <c r="BQ21" i="4" s="1"/>
  <c r="P63" i="113"/>
  <c r="O26" i="114" s="1"/>
  <c r="V63" i="113"/>
  <c r="D68" i="113"/>
  <c r="G68" i="113"/>
  <c r="O2" i="114"/>
  <c r="F3" i="114"/>
  <c r="G3" i="114"/>
  <c r="M6" i="114"/>
  <c r="M73" i="114" s="1"/>
  <c r="N6" i="114"/>
  <c r="N73" i="114" s="1"/>
  <c r="O6" i="114"/>
  <c r="O73" i="114" s="1"/>
  <c r="K19" i="114"/>
  <c r="N41" i="114"/>
  <c r="BQ36" i="4" s="1"/>
  <c r="M5" i="163"/>
  <c r="N5" i="164"/>
  <c r="N5" i="163"/>
  <c r="O5" i="163"/>
  <c r="P5" i="164" s="1"/>
  <c r="P5" i="163"/>
  <c r="Q5" i="164" s="1"/>
  <c r="Q5" i="163"/>
  <c r="R5" i="164"/>
  <c r="M6" i="163"/>
  <c r="N6" i="164" s="1"/>
  <c r="N6" i="163"/>
  <c r="O6" i="163"/>
  <c r="P6" i="164" s="1"/>
  <c r="P6" i="163"/>
  <c r="P14" i="163" s="1"/>
  <c r="P17" i="163" s="1"/>
  <c r="Q6" i="163"/>
  <c r="R7" i="163"/>
  <c r="I7" i="163"/>
  <c r="M13" i="163"/>
  <c r="N13" i="163"/>
  <c r="O13" i="163"/>
  <c r="P13" i="163"/>
  <c r="Q13" i="163"/>
  <c r="P15" i="163"/>
  <c r="Q15" i="163"/>
  <c r="R8" i="164" s="1"/>
  <c r="R29" i="164" s="1"/>
  <c r="P18" i="163"/>
  <c r="Q10" i="164" s="1"/>
  <c r="Q56" i="164" s="1"/>
  <c r="Q18" i="163"/>
  <c r="R10" i="164" s="1"/>
  <c r="R56" i="164" s="1"/>
  <c r="P19" i="163"/>
  <c r="Q19" i="163"/>
  <c r="R11" i="164" s="1"/>
  <c r="R58" i="164" s="1"/>
  <c r="M21" i="163"/>
  <c r="N21" i="163"/>
  <c r="O21" i="163"/>
  <c r="P21" i="163"/>
  <c r="Q21" i="163"/>
  <c r="J24" i="163"/>
  <c r="D28" i="163"/>
  <c r="D29" i="163"/>
  <c r="D31" i="163"/>
  <c r="J46" i="163"/>
  <c r="W46" i="163"/>
  <c r="X46" i="163"/>
  <c r="AC46" i="163"/>
  <c r="AD46" i="163"/>
  <c r="J47" i="163"/>
  <c r="W47" i="163"/>
  <c r="X47" i="163"/>
  <c r="AC47" i="163"/>
  <c r="AD47" i="163"/>
  <c r="J48" i="163"/>
  <c r="V48" i="163"/>
  <c r="W48" i="163"/>
  <c r="X48" i="163"/>
  <c r="AB48" i="163"/>
  <c r="AC48" i="163"/>
  <c r="AD48" i="163"/>
  <c r="J49" i="163"/>
  <c r="W49" i="163"/>
  <c r="X49" i="163"/>
  <c r="AC49" i="163"/>
  <c r="AD49" i="163"/>
  <c r="J50" i="163"/>
  <c r="V50" i="163"/>
  <c r="W50" i="163"/>
  <c r="X50" i="163"/>
  <c r="AB50" i="163"/>
  <c r="AC50" i="163"/>
  <c r="AD50" i="163"/>
  <c r="J51" i="163"/>
  <c r="W51" i="163"/>
  <c r="X51" i="163"/>
  <c r="AC51" i="163"/>
  <c r="AD51" i="163"/>
  <c r="J54" i="163"/>
  <c r="T54" i="163"/>
  <c r="U54" i="163"/>
  <c r="V54" i="163"/>
  <c r="W54" i="163"/>
  <c r="X54" i="163"/>
  <c r="Z54" i="163"/>
  <c r="AA54" i="163"/>
  <c r="AB54" i="163"/>
  <c r="AC54" i="163"/>
  <c r="AD54" i="163"/>
  <c r="J55" i="163"/>
  <c r="T55" i="163"/>
  <c r="U55" i="163"/>
  <c r="V55" i="163"/>
  <c r="W55" i="163"/>
  <c r="X55" i="163"/>
  <c r="Z55" i="163"/>
  <c r="AA55" i="163"/>
  <c r="AB55" i="163"/>
  <c r="AC55" i="163"/>
  <c r="AD55" i="163"/>
  <c r="J56" i="163"/>
  <c r="T56" i="163"/>
  <c r="U56" i="163"/>
  <c r="V56" i="163"/>
  <c r="W56" i="163"/>
  <c r="X56" i="163"/>
  <c r="Z56" i="163"/>
  <c r="AA56" i="163"/>
  <c r="AB56" i="163"/>
  <c r="AC56" i="163"/>
  <c r="AD56" i="163"/>
  <c r="P61" i="163"/>
  <c r="J61" i="163" s="1"/>
  <c r="X61" i="163"/>
  <c r="W62" i="163"/>
  <c r="X62" i="163"/>
  <c r="G63" i="163"/>
  <c r="M64" i="163"/>
  <c r="N26" i="164" s="1"/>
  <c r="N64" i="163"/>
  <c r="O64" i="163"/>
  <c r="P26" i="164" s="1"/>
  <c r="P64" i="163"/>
  <c r="Q26" i="164" s="1"/>
  <c r="Q64" i="163"/>
  <c r="R26" i="164"/>
  <c r="K66" i="163"/>
  <c r="L64" i="163"/>
  <c r="M26" i="164" s="1"/>
  <c r="BL21" i="4" s="1"/>
  <c r="D69" i="163"/>
  <c r="H69" i="163"/>
  <c r="P69" i="163"/>
  <c r="Q69" i="163"/>
  <c r="D70" i="163"/>
  <c r="H70" i="163"/>
  <c r="M70" i="163"/>
  <c r="N70" i="163"/>
  <c r="O70" i="163"/>
  <c r="P70" i="163"/>
  <c r="Q70" i="163"/>
  <c r="M5" i="159"/>
  <c r="N5" i="160" s="1"/>
  <c r="N5" i="159"/>
  <c r="O5" i="159"/>
  <c r="P5" i="160" s="1"/>
  <c r="P5" i="159"/>
  <c r="Q5" i="160" s="1"/>
  <c r="Q5" i="159"/>
  <c r="R5" i="160"/>
  <c r="M6" i="159"/>
  <c r="N6" i="159"/>
  <c r="O6" i="159"/>
  <c r="P6" i="159"/>
  <c r="P14" i="159"/>
  <c r="Q6" i="159"/>
  <c r="Q14" i="159" s="1"/>
  <c r="R7" i="159"/>
  <c r="I7" i="159" s="1"/>
  <c r="M13" i="159"/>
  <c r="N13" i="159"/>
  <c r="O13" i="159"/>
  <c r="P13" i="159"/>
  <c r="Q13" i="159"/>
  <c r="O14" i="159"/>
  <c r="O15" i="159" s="1"/>
  <c r="P15" i="159"/>
  <c r="Q8" i="160" s="1"/>
  <c r="Q29" i="160" s="1"/>
  <c r="Q15" i="159"/>
  <c r="R8" i="160" s="1"/>
  <c r="R29" i="160" s="1"/>
  <c r="P18" i="159"/>
  <c r="Q10" i="160" s="1"/>
  <c r="Q56" i="160"/>
  <c r="Q18" i="159"/>
  <c r="R10" i="160" s="1"/>
  <c r="R56" i="160" s="1"/>
  <c r="P19" i="159"/>
  <c r="Q11" i="160" s="1"/>
  <c r="Q58" i="160" s="1"/>
  <c r="Q19" i="159"/>
  <c r="R11" i="160" s="1"/>
  <c r="R58" i="160" s="1"/>
  <c r="M21" i="159"/>
  <c r="N21" i="159"/>
  <c r="O21" i="159"/>
  <c r="P21" i="159"/>
  <c r="Q21" i="159"/>
  <c r="J24" i="159"/>
  <c r="D28" i="159"/>
  <c r="D29" i="159"/>
  <c r="D31" i="159"/>
  <c r="J46" i="159"/>
  <c r="W46" i="159"/>
  <c r="X46" i="159"/>
  <c r="AC46" i="159"/>
  <c r="AD46" i="159"/>
  <c r="J47" i="159"/>
  <c r="W47" i="159"/>
  <c r="X47" i="159"/>
  <c r="AC47" i="159"/>
  <c r="AD47" i="159"/>
  <c r="J48" i="159"/>
  <c r="V48" i="159"/>
  <c r="W48" i="159"/>
  <c r="X48" i="159"/>
  <c r="AB48" i="159"/>
  <c r="AC48" i="159"/>
  <c r="AD48" i="159"/>
  <c r="D49" i="159"/>
  <c r="G49" i="159"/>
  <c r="H49" i="159"/>
  <c r="K49" i="159" s="1"/>
  <c r="I49" i="159"/>
  <c r="J49" i="159"/>
  <c r="T49" i="159"/>
  <c r="U49" i="159"/>
  <c r="V49" i="159"/>
  <c r="W49" i="159"/>
  <c r="X49" i="159"/>
  <c r="Z49" i="159"/>
  <c r="AA49" i="159"/>
  <c r="AB49" i="159"/>
  <c r="AC49" i="159"/>
  <c r="AD49" i="159"/>
  <c r="D50" i="159"/>
  <c r="G50" i="159"/>
  <c r="H50" i="159"/>
  <c r="K50" i="159" s="1"/>
  <c r="I50" i="159"/>
  <c r="L50" i="159" s="1"/>
  <c r="J50" i="159"/>
  <c r="T50" i="159"/>
  <c r="U50" i="159"/>
  <c r="V50" i="159"/>
  <c r="W50" i="159"/>
  <c r="X50" i="159"/>
  <c r="Z50" i="159"/>
  <c r="AA50" i="159"/>
  <c r="AB50" i="159"/>
  <c r="AC50" i="159"/>
  <c r="AD50" i="159"/>
  <c r="D51" i="159"/>
  <c r="G51" i="159"/>
  <c r="H51" i="159"/>
  <c r="I51" i="159"/>
  <c r="J51" i="159"/>
  <c r="T51" i="159"/>
  <c r="U51" i="159"/>
  <c r="V51" i="159"/>
  <c r="W51" i="159"/>
  <c r="X51" i="159"/>
  <c r="Z51" i="159"/>
  <c r="AA51" i="159"/>
  <c r="AB51" i="159"/>
  <c r="AC51" i="159"/>
  <c r="AD51" i="159"/>
  <c r="D52" i="159"/>
  <c r="G52" i="159"/>
  <c r="H52" i="159"/>
  <c r="I52" i="159"/>
  <c r="J52" i="159"/>
  <c r="T52" i="159"/>
  <c r="U52" i="159"/>
  <c r="V52" i="159"/>
  <c r="W52" i="159"/>
  <c r="X52" i="159"/>
  <c r="Z52" i="159"/>
  <c r="AA52" i="159"/>
  <c r="AB52" i="159"/>
  <c r="AC52" i="159"/>
  <c r="AD52" i="159"/>
  <c r="D53" i="159"/>
  <c r="G53" i="159"/>
  <c r="H53" i="159"/>
  <c r="K53" i="159" s="1"/>
  <c r="I53" i="159"/>
  <c r="J53" i="159"/>
  <c r="T53" i="159"/>
  <c r="U53" i="159"/>
  <c r="V53" i="159"/>
  <c r="W53" i="159"/>
  <c r="X53" i="159"/>
  <c r="Z53" i="159"/>
  <c r="AA53" i="159"/>
  <c r="AB53" i="159"/>
  <c r="AC53" i="159"/>
  <c r="AD53" i="159"/>
  <c r="D54" i="159"/>
  <c r="G54" i="159"/>
  <c r="H54" i="159"/>
  <c r="K54" i="159" s="1"/>
  <c r="I54" i="159"/>
  <c r="L54" i="159" s="1"/>
  <c r="J54" i="159"/>
  <c r="T54" i="159"/>
  <c r="U54" i="159"/>
  <c r="V54" i="159"/>
  <c r="W54" i="159"/>
  <c r="X54" i="159"/>
  <c r="Z54" i="159"/>
  <c r="AA54" i="159"/>
  <c r="AB54" i="159"/>
  <c r="AC54" i="159"/>
  <c r="AD54" i="159"/>
  <c r="D55" i="159"/>
  <c r="G55" i="159"/>
  <c r="H55" i="159"/>
  <c r="I55" i="159"/>
  <c r="J55" i="159"/>
  <c r="T55" i="159"/>
  <c r="U55" i="159"/>
  <c r="V55" i="159"/>
  <c r="W55" i="159"/>
  <c r="X55" i="159"/>
  <c r="Z55" i="159"/>
  <c r="AA55" i="159"/>
  <c r="AB55" i="159"/>
  <c r="AC55" i="159"/>
  <c r="AD55" i="159"/>
  <c r="D56" i="159"/>
  <c r="G56" i="159"/>
  <c r="H56" i="159"/>
  <c r="I56" i="159"/>
  <c r="J56" i="159"/>
  <c r="T56" i="159"/>
  <c r="U56" i="159"/>
  <c r="V56" i="159"/>
  <c r="W56" i="159"/>
  <c r="X56" i="159"/>
  <c r="Z56" i="159"/>
  <c r="AA56" i="159"/>
  <c r="AB56" i="159"/>
  <c r="AC56" i="159"/>
  <c r="AD56" i="159"/>
  <c r="J61" i="159"/>
  <c r="W61" i="159"/>
  <c r="X61" i="159"/>
  <c r="T62" i="159"/>
  <c r="U62" i="159"/>
  <c r="V62" i="159"/>
  <c r="W62" i="159"/>
  <c r="X62" i="159"/>
  <c r="G63" i="159"/>
  <c r="M64" i="159"/>
  <c r="N26" i="160" s="1"/>
  <c r="N64" i="159"/>
  <c r="O26" i="160" s="1"/>
  <c r="O64" i="159"/>
  <c r="P64" i="159"/>
  <c r="Q26" i="160" s="1"/>
  <c r="Q64" i="159"/>
  <c r="R26" i="160" s="1"/>
  <c r="K66" i="159"/>
  <c r="L64" i="159"/>
  <c r="M26" i="160" s="1"/>
  <c r="BK21" i="4" s="1"/>
  <c r="D69" i="159"/>
  <c r="H69" i="159"/>
  <c r="M69" i="159"/>
  <c r="N69" i="159"/>
  <c r="O69" i="159"/>
  <c r="P69" i="159"/>
  <c r="Q69" i="159"/>
  <c r="D70" i="159"/>
  <c r="H70" i="159"/>
  <c r="M70" i="159"/>
  <c r="N70" i="159"/>
  <c r="O70" i="159"/>
  <c r="P70" i="159"/>
  <c r="Q70" i="159"/>
  <c r="R2" i="57"/>
  <c r="F3" i="57"/>
  <c r="I3" i="57"/>
  <c r="M6" i="57"/>
  <c r="H5" i="4" s="1"/>
  <c r="H36" i="4"/>
  <c r="M5" i="81"/>
  <c r="N5" i="82"/>
  <c r="N5" i="81"/>
  <c r="O5" i="82" s="1"/>
  <c r="O5" i="81"/>
  <c r="P5" i="82" s="1"/>
  <c r="P5" i="81"/>
  <c r="Q5" i="82" s="1"/>
  <c r="Q5" i="81"/>
  <c r="R5" i="82" s="1"/>
  <c r="M6" i="81"/>
  <c r="M52" i="81" s="1"/>
  <c r="J52" i="81" s="1"/>
  <c r="N6" i="81"/>
  <c r="N52" i="81" s="1"/>
  <c r="O6" i="81"/>
  <c r="O52" i="81" s="1"/>
  <c r="P6" i="81"/>
  <c r="P14" i="81" s="1"/>
  <c r="Q6" i="81"/>
  <c r="R6" i="82" s="1"/>
  <c r="R7" i="81"/>
  <c r="I7" i="81" s="1"/>
  <c r="M13" i="81"/>
  <c r="N13" i="81"/>
  <c r="O13" i="81"/>
  <c r="P13" i="81"/>
  <c r="Q13" i="81"/>
  <c r="Q14" i="81"/>
  <c r="P15" i="81"/>
  <c r="Q8" i="82" s="1"/>
  <c r="Q29" i="82" s="1"/>
  <c r="Q15" i="81"/>
  <c r="R8" i="82" s="1"/>
  <c r="R29" i="82" s="1"/>
  <c r="P18" i="81"/>
  <c r="Q10" i="82" s="1"/>
  <c r="Q56" i="82" s="1"/>
  <c r="Q18" i="81"/>
  <c r="R10" i="82" s="1"/>
  <c r="R56" i="82" s="1"/>
  <c r="P19" i="81"/>
  <c r="Q11" i="82" s="1"/>
  <c r="Q58" i="82" s="1"/>
  <c r="Q19" i="81"/>
  <c r="R11" i="82" s="1"/>
  <c r="R58" i="82" s="1"/>
  <c r="M21" i="81"/>
  <c r="N21" i="81"/>
  <c r="O21" i="81"/>
  <c r="P21" i="81"/>
  <c r="Q21" i="81"/>
  <c r="J24" i="81"/>
  <c r="D28" i="81"/>
  <c r="D29" i="81"/>
  <c r="D31" i="81"/>
  <c r="J46" i="81"/>
  <c r="W46" i="81"/>
  <c r="X46" i="81"/>
  <c r="AC46" i="81"/>
  <c r="AD46" i="81"/>
  <c r="J47" i="81"/>
  <c r="W47" i="81"/>
  <c r="X47" i="81"/>
  <c r="AC47" i="81"/>
  <c r="AD47" i="81"/>
  <c r="J48" i="81"/>
  <c r="W48" i="81"/>
  <c r="X48" i="81"/>
  <c r="AC48" i="81"/>
  <c r="AD48" i="81"/>
  <c r="J49" i="81"/>
  <c r="W49" i="81"/>
  <c r="X49" i="81"/>
  <c r="AC49" i="81"/>
  <c r="AD49" i="81"/>
  <c r="J50" i="81"/>
  <c r="W50" i="81"/>
  <c r="X50" i="81"/>
  <c r="AC50" i="81"/>
  <c r="AD50" i="81"/>
  <c r="J51" i="81"/>
  <c r="W51" i="81"/>
  <c r="X51" i="81"/>
  <c r="AC51" i="81"/>
  <c r="AD51" i="81"/>
  <c r="W52" i="81"/>
  <c r="X52" i="81"/>
  <c r="AC52" i="81"/>
  <c r="AD52" i="81"/>
  <c r="J53" i="81"/>
  <c r="T53" i="81"/>
  <c r="U53" i="81"/>
  <c r="V53" i="81"/>
  <c r="W53" i="81"/>
  <c r="X53" i="81"/>
  <c r="Z53" i="81"/>
  <c r="AA53" i="81"/>
  <c r="AB53" i="81"/>
  <c r="AC53" i="81"/>
  <c r="AD53" i="81"/>
  <c r="J54" i="81"/>
  <c r="T54" i="81"/>
  <c r="U54" i="81"/>
  <c r="V54" i="81"/>
  <c r="W54" i="81"/>
  <c r="X54" i="81"/>
  <c r="Z54" i="81"/>
  <c r="AA54" i="81"/>
  <c r="AB54" i="81"/>
  <c r="AC54" i="81"/>
  <c r="AD54" i="81"/>
  <c r="J55" i="81"/>
  <c r="T55" i="81"/>
  <c r="U55" i="81"/>
  <c r="V55" i="81"/>
  <c r="W55" i="81"/>
  <c r="X55" i="81"/>
  <c r="Z55" i="81"/>
  <c r="AA55" i="81"/>
  <c r="AB55" i="81"/>
  <c r="AC55" i="81"/>
  <c r="AD55" i="81"/>
  <c r="J56" i="81"/>
  <c r="T56" i="81"/>
  <c r="U56" i="81"/>
  <c r="V56" i="81"/>
  <c r="W56" i="81"/>
  <c r="X56" i="81"/>
  <c r="Z56" i="81"/>
  <c r="AA56" i="81"/>
  <c r="AB56" i="81"/>
  <c r="AC56" i="81"/>
  <c r="AD56" i="81"/>
  <c r="J61" i="81"/>
  <c r="W61" i="81"/>
  <c r="X61" i="81"/>
  <c r="G63" i="81"/>
  <c r="J63" i="81"/>
  <c r="K63" i="81"/>
  <c r="T63" i="81"/>
  <c r="U63" i="81"/>
  <c r="V63" i="81"/>
  <c r="W63" i="81"/>
  <c r="X63" i="81"/>
  <c r="M64" i="81"/>
  <c r="N26" i="82" s="1"/>
  <c r="N64" i="81"/>
  <c r="O26" i="82"/>
  <c r="O64" i="81"/>
  <c r="P26" i="82" s="1"/>
  <c r="P64" i="81"/>
  <c r="Q26" i="82" s="1"/>
  <c r="Q64" i="81"/>
  <c r="R26" i="82" s="1"/>
  <c r="K66" i="81"/>
  <c r="L64" i="81"/>
  <c r="M26" i="82" s="1"/>
  <c r="N21" i="4" s="1"/>
  <c r="D69" i="81"/>
  <c r="H69" i="81"/>
  <c r="M69" i="81"/>
  <c r="N69" i="81"/>
  <c r="O69" i="81"/>
  <c r="P69" i="81"/>
  <c r="Q69" i="81"/>
  <c r="D70" i="81"/>
  <c r="H70" i="81"/>
  <c r="M70" i="81"/>
  <c r="N70" i="81"/>
  <c r="O70" i="81"/>
  <c r="P70" i="81"/>
  <c r="Q70" i="81"/>
  <c r="R2" i="82"/>
  <c r="F3" i="82"/>
  <c r="I3" i="82"/>
  <c r="M6" i="82"/>
  <c r="C20" i="82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7" i="82" s="1"/>
  <c r="C48" i="82" s="1"/>
  <c r="R2" i="164"/>
  <c r="F3" i="164"/>
  <c r="I3" i="164"/>
  <c r="O5" i="164"/>
  <c r="M6" i="164"/>
  <c r="R6" i="164"/>
  <c r="Q8" i="164"/>
  <c r="Q29" i="164" s="1"/>
  <c r="Q11" i="164"/>
  <c r="Q58" i="164" s="1"/>
  <c r="C20" i="164"/>
  <c r="C21" i="164" s="1"/>
  <c r="C22" i="164" s="1"/>
  <c r="C23" i="164" s="1"/>
  <c r="C24" i="164" s="1"/>
  <c r="C25" i="164" s="1"/>
  <c r="C26" i="164" s="1"/>
  <c r="C27" i="164" s="1"/>
  <c r="C28" i="164" s="1"/>
  <c r="C29" i="164" s="1"/>
  <c r="C30" i="164" s="1"/>
  <c r="C31" i="164" s="1"/>
  <c r="C32" i="164" s="1"/>
  <c r="C33" i="164" s="1"/>
  <c r="C34" i="164" s="1"/>
  <c r="C36" i="164" s="1"/>
  <c r="C37" i="164" s="1"/>
  <c r="C38" i="164" s="1"/>
  <c r="C39" i="164" s="1"/>
  <c r="C40" i="164" s="1"/>
  <c r="C41" i="164" s="1"/>
  <c r="C42" i="164" s="1"/>
  <c r="C43" i="164" s="1"/>
  <c r="C44" i="164" s="1"/>
  <c r="C45" i="164" s="1"/>
  <c r="C47" i="164" s="1"/>
  <c r="C48" i="164" s="1"/>
  <c r="O26" i="164"/>
  <c r="M43" i="164"/>
  <c r="BL36" i="4" s="1"/>
  <c r="R2" i="160"/>
  <c r="F3" i="160"/>
  <c r="I3" i="160"/>
  <c r="O5" i="160"/>
  <c r="M6" i="160"/>
  <c r="BK5" i="4" s="1"/>
  <c r="P6" i="160"/>
  <c r="C21" i="160"/>
  <c r="C22" i="160"/>
  <c r="C23" i="160" s="1"/>
  <c r="C24" i="160" s="1"/>
  <c r="C25" i="160" s="1"/>
  <c r="C26" i="160" s="1"/>
  <c r="C27" i="160" s="1"/>
  <c r="C28" i="160" s="1"/>
  <c r="C29" i="160" s="1"/>
  <c r="C30" i="160" s="1"/>
  <c r="C31" i="160" s="1"/>
  <c r="C32" i="160" s="1"/>
  <c r="C33" i="160" s="1"/>
  <c r="C34" i="160" s="1"/>
  <c r="C36" i="160" s="1"/>
  <c r="C37" i="160" s="1"/>
  <c r="C38" i="160" s="1"/>
  <c r="C39" i="160" s="1"/>
  <c r="C40" i="160" s="1"/>
  <c r="C41" i="160" s="1"/>
  <c r="C42" i="160" s="1"/>
  <c r="C43" i="160" s="1"/>
  <c r="C44" i="160" s="1"/>
  <c r="C45" i="160" s="1"/>
  <c r="C47" i="160" s="1"/>
  <c r="C48" i="160" s="1"/>
  <c r="P26" i="160"/>
  <c r="M43" i="160"/>
  <c r="M5" i="103"/>
  <c r="N5" i="104"/>
  <c r="N5" i="103"/>
  <c r="O5" i="104"/>
  <c r="O5" i="103"/>
  <c r="P5" i="104"/>
  <c r="P5" i="103"/>
  <c r="Q5" i="104" s="1"/>
  <c r="Q5" i="103"/>
  <c r="R5" i="104" s="1"/>
  <c r="M6" i="103"/>
  <c r="N6" i="104" s="1"/>
  <c r="N6" i="103"/>
  <c r="O6" i="103"/>
  <c r="O14" i="103" s="1"/>
  <c r="P6" i="103"/>
  <c r="P14" i="103" s="1"/>
  <c r="Q7" i="104" s="1"/>
  <c r="Q6" i="103"/>
  <c r="Q14" i="103" s="1"/>
  <c r="R7" i="104" s="1"/>
  <c r="R7" i="103"/>
  <c r="I7" i="103" s="1"/>
  <c r="M13" i="103"/>
  <c r="N13" i="103"/>
  <c r="O13" i="103"/>
  <c r="P13" i="103"/>
  <c r="Q13" i="103"/>
  <c r="P15" i="103"/>
  <c r="P16" i="103" s="1"/>
  <c r="Q15" i="103"/>
  <c r="R8" i="104" s="1"/>
  <c r="R29" i="104" s="1"/>
  <c r="P18" i="103"/>
  <c r="Q10" i="104" s="1"/>
  <c r="Q18" i="103"/>
  <c r="R10" i="104"/>
  <c r="R56" i="104" s="1"/>
  <c r="Q19" i="103"/>
  <c r="R11" i="104" s="1"/>
  <c r="R58" i="104" s="1"/>
  <c r="M21" i="103"/>
  <c r="N21" i="103"/>
  <c r="O21" i="103"/>
  <c r="P21" i="103"/>
  <c r="Q21" i="103"/>
  <c r="J24" i="103"/>
  <c r="D28" i="103"/>
  <c r="D29" i="103"/>
  <c r="D31" i="103"/>
  <c r="J46" i="103"/>
  <c r="X46" i="103"/>
  <c r="AD46" i="103"/>
  <c r="J47" i="103"/>
  <c r="X47" i="103"/>
  <c r="AD47" i="103"/>
  <c r="J48" i="103"/>
  <c r="X48" i="103"/>
  <c r="AD48" i="103"/>
  <c r="J49" i="103"/>
  <c r="X49" i="103"/>
  <c r="AD49" i="103"/>
  <c r="J50" i="103"/>
  <c r="X50" i="103"/>
  <c r="AD50" i="103"/>
  <c r="J51" i="103"/>
  <c r="X51" i="103"/>
  <c r="AD51" i="103"/>
  <c r="X52" i="103"/>
  <c r="AD52" i="103"/>
  <c r="X53" i="103"/>
  <c r="AD53" i="103"/>
  <c r="J54" i="103"/>
  <c r="T54" i="103"/>
  <c r="U54" i="103"/>
  <c r="V54" i="103"/>
  <c r="W54" i="103"/>
  <c r="X54" i="103"/>
  <c r="Z54" i="103"/>
  <c r="AA54" i="103"/>
  <c r="AB54" i="103"/>
  <c r="AC54" i="103"/>
  <c r="AD54" i="103"/>
  <c r="J55" i="103"/>
  <c r="T55" i="103"/>
  <c r="U55" i="103"/>
  <c r="V55" i="103"/>
  <c r="W55" i="103"/>
  <c r="X55" i="103"/>
  <c r="Z55" i="103"/>
  <c r="AA55" i="103"/>
  <c r="AB55" i="103"/>
  <c r="AC55" i="103"/>
  <c r="AD55" i="103"/>
  <c r="J56" i="103"/>
  <c r="T56" i="103"/>
  <c r="U56" i="103"/>
  <c r="V56" i="103"/>
  <c r="W56" i="103"/>
  <c r="X56" i="103"/>
  <c r="Z56" i="103"/>
  <c r="AA56" i="103"/>
  <c r="AB56" i="103"/>
  <c r="AC56" i="103"/>
  <c r="AD56" i="103"/>
  <c r="J61" i="103"/>
  <c r="X61" i="103"/>
  <c r="T62" i="103"/>
  <c r="U62" i="103"/>
  <c r="V62" i="103"/>
  <c r="W62" i="103"/>
  <c r="X62" i="103"/>
  <c r="G63" i="103"/>
  <c r="J63" i="103"/>
  <c r="K63" i="103"/>
  <c r="T63" i="103"/>
  <c r="U63" i="103"/>
  <c r="V63" i="103"/>
  <c r="W63" i="103"/>
  <c r="X63" i="103"/>
  <c r="M64" i="103"/>
  <c r="N26" i="104" s="1"/>
  <c r="N64" i="103"/>
  <c r="O26" i="104" s="1"/>
  <c r="O64" i="103"/>
  <c r="P26" i="104" s="1"/>
  <c r="P64" i="103"/>
  <c r="Q26" i="104" s="1"/>
  <c r="Q64" i="103"/>
  <c r="R26" i="104" s="1"/>
  <c r="K66" i="103"/>
  <c r="L64" i="103" s="1"/>
  <c r="M26" i="104" s="1"/>
  <c r="I21" i="4" s="1"/>
  <c r="D69" i="103"/>
  <c r="H69" i="103"/>
  <c r="D70" i="103"/>
  <c r="H70" i="103"/>
  <c r="M70" i="103"/>
  <c r="N70" i="103"/>
  <c r="O70" i="103"/>
  <c r="P70" i="103"/>
  <c r="Q70" i="103"/>
  <c r="R2" i="104"/>
  <c r="F3" i="104"/>
  <c r="I3" i="104"/>
  <c r="M6" i="104"/>
  <c r="C21" i="104"/>
  <c r="C22" i="104" s="1"/>
  <c r="C23" i="104" s="1"/>
  <c r="C24" i="104" s="1"/>
  <c r="C25" i="104" s="1"/>
  <c r="C26" i="104" s="1"/>
  <c r="C27" i="104" s="1"/>
  <c r="C28" i="104" s="1"/>
  <c r="C29" i="104" s="1"/>
  <c r="C30" i="104" s="1"/>
  <c r="C31" i="104" s="1"/>
  <c r="C32" i="104" s="1"/>
  <c r="C33" i="104" s="1"/>
  <c r="C34" i="104" s="1"/>
  <c r="C36" i="104" s="1"/>
  <c r="C37" i="104" s="1"/>
  <c r="C38" i="104" s="1"/>
  <c r="C39" i="104" s="1"/>
  <c r="C40" i="104" s="1"/>
  <c r="C41" i="104" s="1"/>
  <c r="C42" i="104" s="1"/>
  <c r="C43" i="104" s="1"/>
  <c r="C44" i="104" s="1"/>
  <c r="C45" i="104" s="1"/>
  <c r="C47" i="104" s="1"/>
  <c r="C48" i="104" s="1"/>
  <c r="I36" i="4"/>
  <c r="M5" i="21"/>
  <c r="N5" i="22" s="1"/>
  <c r="N5" i="21"/>
  <c r="O5" i="22" s="1"/>
  <c r="O5" i="21"/>
  <c r="P5" i="22" s="1"/>
  <c r="P5" i="21"/>
  <c r="Q5" i="22" s="1"/>
  <c r="Q5" i="21"/>
  <c r="R5" i="22" s="1"/>
  <c r="M6" i="21"/>
  <c r="N6" i="21"/>
  <c r="N14" i="21" s="1"/>
  <c r="O6" i="21"/>
  <c r="P6" i="22" s="1"/>
  <c r="P6" i="21"/>
  <c r="P14" i="21" s="1"/>
  <c r="Q6" i="21"/>
  <c r="Q14" i="21" s="1"/>
  <c r="R7" i="21"/>
  <c r="I7" i="21" s="1"/>
  <c r="M13" i="21"/>
  <c r="N13" i="21"/>
  <c r="O13" i="21"/>
  <c r="P13" i="21"/>
  <c r="Q13" i="21"/>
  <c r="P15" i="21"/>
  <c r="Q8" i="22" s="1"/>
  <c r="Q29" i="22" s="1"/>
  <c r="Q15" i="21"/>
  <c r="R8" i="22" s="1"/>
  <c r="R29" i="22" s="1"/>
  <c r="P18" i="21"/>
  <c r="Q10" i="22" s="1"/>
  <c r="Q56" i="22" s="1"/>
  <c r="Q18" i="21"/>
  <c r="R10" i="22" s="1"/>
  <c r="R56" i="22" s="1"/>
  <c r="P19" i="21"/>
  <c r="Q11" i="22" s="1"/>
  <c r="Q58" i="22" s="1"/>
  <c r="Q19" i="21"/>
  <c r="R11" i="22" s="1"/>
  <c r="R58" i="22" s="1"/>
  <c r="M21" i="21"/>
  <c r="N21" i="21"/>
  <c r="O21" i="21"/>
  <c r="P21" i="21"/>
  <c r="Q21" i="21"/>
  <c r="J24" i="21"/>
  <c r="D28" i="21"/>
  <c r="D29" i="21"/>
  <c r="D31" i="21"/>
  <c r="J46" i="21"/>
  <c r="W46" i="21"/>
  <c r="X46" i="21"/>
  <c r="AC46" i="21"/>
  <c r="AD46" i="21"/>
  <c r="J47" i="21"/>
  <c r="W47" i="21"/>
  <c r="X47" i="21"/>
  <c r="AC47" i="21"/>
  <c r="AD47" i="21"/>
  <c r="J48" i="21"/>
  <c r="W48" i="21"/>
  <c r="X48" i="21"/>
  <c r="AC48" i="21"/>
  <c r="AD48" i="21"/>
  <c r="J49" i="21"/>
  <c r="W49" i="21"/>
  <c r="X49" i="21"/>
  <c r="AC49" i="21"/>
  <c r="AD49" i="21"/>
  <c r="J50" i="21"/>
  <c r="W50" i="21"/>
  <c r="X50" i="21"/>
  <c r="AC50" i="21"/>
  <c r="AD50" i="21"/>
  <c r="J51" i="21"/>
  <c r="W51" i="21"/>
  <c r="X51" i="21"/>
  <c r="AC51" i="21"/>
  <c r="AD51" i="21"/>
  <c r="J52" i="21"/>
  <c r="T52" i="21"/>
  <c r="U52" i="21"/>
  <c r="V52" i="21"/>
  <c r="W52" i="21"/>
  <c r="X52" i="21"/>
  <c r="Z52" i="21"/>
  <c r="AA52" i="21"/>
  <c r="AB52" i="21"/>
  <c r="AC52" i="21"/>
  <c r="AD52" i="21"/>
  <c r="J53" i="21"/>
  <c r="T53" i="21"/>
  <c r="U53" i="21"/>
  <c r="V53" i="21"/>
  <c r="W53" i="21"/>
  <c r="X53" i="21"/>
  <c r="Z53" i="21"/>
  <c r="AA53" i="21"/>
  <c r="AB53" i="21"/>
  <c r="AC53" i="21"/>
  <c r="AD53" i="21"/>
  <c r="J54" i="21"/>
  <c r="T54" i="21"/>
  <c r="U54" i="21"/>
  <c r="V54" i="21"/>
  <c r="W54" i="21"/>
  <c r="X54" i="21"/>
  <c r="Z54" i="21"/>
  <c r="AA54" i="21"/>
  <c r="AB54" i="21"/>
  <c r="AC54" i="21"/>
  <c r="AD54" i="21"/>
  <c r="J55" i="21"/>
  <c r="T55" i="21"/>
  <c r="U55" i="21"/>
  <c r="V55" i="21"/>
  <c r="W55" i="21"/>
  <c r="X55" i="21"/>
  <c r="Z55" i="21"/>
  <c r="AA55" i="21"/>
  <c r="AB55" i="21"/>
  <c r="AC55" i="21"/>
  <c r="AD55" i="21"/>
  <c r="J56" i="21"/>
  <c r="T56" i="21"/>
  <c r="U56" i="21"/>
  <c r="V56" i="21"/>
  <c r="W56" i="21"/>
  <c r="X56" i="21"/>
  <c r="Z56" i="21"/>
  <c r="AA56" i="21"/>
  <c r="AB56" i="21"/>
  <c r="AC56" i="21"/>
  <c r="AD56" i="21"/>
  <c r="J61" i="21"/>
  <c r="W61" i="21"/>
  <c r="X61" i="21"/>
  <c r="W62" i="21"/>
  <c r="X62" i="21"/>
  <c r="G63" i="21"/>
  <c r="J63" i="21"/>
  <c r="K63" i="21"/>
  <c r="T63" i="21"/>
  <c r="U63" i="21"/>
  <c r="V63" i="21"/>
  <c r="W63" i="21"/>
  <c r="X63" i="21"/>
  <c r="M64" i="21"/>
  <c r="N26" i="22" s="1"/>
  <c r="N64" i="21"/>
  <c r="O26" i="22" s="1"/>
  <c r="O64" i="21"/>
  <c r="P26" i="22" s="1"/>
  <c r="P64" i="21"/>
  <c r="Q26" i="22" s="1"/>
  <c r="Q64" i="21"/>
  <c r="R26" i="22" s="1"/>
  <c r="K66" i="21"/>
  <c r="L64" i="21" s="1"/>
  <c r="M26" i="22" s="1"/>
  <c r="K21" i="4" s="1"/>
  <c r="D69" i="21"/>
  <c r="H69" i="21"/>
  <c r="D70" i="21"/>
  <c r="H70" i="21"/>
  <c r="M70" i="21"/>
  <c r="N70" i="21"/>
  <c r="O70" i="21"/>
  <c r="P70" i="21"/>
  <c r="Q70" i="21"/>
  <c r="R2" i="22"/>
  <c r="F3" i="22"/>
  <c r="I3" i="22"/>
  <c r="M6" i="22"/>
  <c r="K5" i="4" s="1"/>
  <c r="C20" i="22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7" i="22" s="1"/>
  <c r="C48" i="22" s="1"/>
  <c r="M5" i="56"/>
  <c r="N5" i="57"/>
  <c r="N5" i="56"/>
  <c r="O5" i="57"/>
  <c r="O5" i="56"/>
  <c r="P5" i="57"/>
  <c r="P5" i="56"/>
  <c r="Q5" i="57" s="1"/>
  <c r="Q5" i="56"/>
  <c r="R5" i="57" s="1"/>
  <c r="M6" i="56"/>
  <c r="K9" i="56" s="1"/>
  <c r="N6" i="56"/>
  <c r="O6" i="57" s="1"/>
  <c r="O6" i="56"/>
  <c r="P6" i="57" s="1"/>
  <c r="P6" i="56"/>
  <c r="Q6" i="56"/>
  <c r="R7" i="56"/>
  <c r="I7" i="56" s="1"/>
  <c r="M13" i="56"/>
  <c r="N13" i="56"/>
  <c r="O13" i="56"/>
  <c r="P13" i="56"/>
  <c r="Q13" i="56"/>
  <c r="P15" i="56"/>
  <c r="Q15" i="56"/>
  <c r="R8" i="57" s="1"/>
  <c r="R29" i="57" s="1"/>
  <c r="P18" i="56"/>
  <c r="Q10" i="57" s="1"/>
  <c r="Q56" i="57" s="1"/>
  <c r="Q18" i="56"/>
  <c r="R10" i="57" s="1"/>
  <c r="R56" i="57" s="1"/>
  <c r="P19" i="56"/>
  <c r="Q11" i="57"/>
  <c r="Q58" i="57" s="1"/>
  <c r="Q19" i="56"/>
  <c r="R11" i="57" s="1"/>
  <c r="R58" i="57" s="1"/>
  <c r="M21" i="56"/>
  <c r="N21" i="56"/>
  <c r="O21" i="56"/>
  <c r="P21" i="56"/>
  <c r="Q21" i="56"/>
  <c r="J24" i="56"/>
  <c r="D28" i="56"/>
  <c r="D29" i="56"/>
  <c r="D31" i="56"/>
  <c r="J46" i="56"/>
  <c r="W46" i="56"/>
  <c r="X46" i="56"/>
  <c r="AC46" i="56"/>
  <c r="AD46" i="56"/>
  <c r="J47" i="56"/>
  <c r="W47" i="56"/>
  <c r="X47" i="56"/>
  <c r="AC47" i="56"/>
  <c r="AD47" i="56"/>
  <c r="J48" i="56"/>
  <c r="W48" i="56"/>
  <c r="X48" i="56"/>
  <c r="AC48" i="56"/>
  <c r="AD48" i="56"/>
  <c r="J49" i="56"/>
  <c r="W49" i="56"/>
  <c r="X49" i="56"/>
  <c r="AC49" i="56"/>
  <c r="AD49" i="56"/>
  <c r="J50" i="56"/>
  <c r="W50" i="56"/>
  <c r="X50" i="56"/>
  <c r="AC50" i="56"/>
  <c r="AD50" i="56"/>
  <c r="J51" i="56"/>
  <c r="W51" i="56"/>
  <c r="X51" i="56"/>
  <c r="AC51" i="56"/>
  <c r="AD51" i="56"/>
  <c r="J54" i="56"/>
  <c r="T54" i="56"/>
  <c r="U54" i="56"/>
  <c r="V54" i="56"/>
  <c r="W54" i="56"/>
  <c r="X54" i="56"/>
  <c r="Z54" i="56"/>
  <c r="AA54" i="56"/>
  <c r="AB54" i="56"/>
  <c r="AC54" i="56"/>
  <c r="AD54" i="56"/>
  <c r="J55" i="56"/>
  <c r="T55" i="56"/>
  <c r="U55" i="56"/>
  <c r="V55" i="56"/>
  <c r="W55" i="56"/>
  <c r="X55" i="56"/>
  <c r="Z55" i="56"/>
  <c r="AA55" i="56"/>
  <c r="AB55" i="56"/>
  <c r="AC55" i="56"/>
  <c r="AD55" i="56"/>
  <c r="J56" i="56"/>
  <c r="T56" i="56"/>
  <c r="U56" i="56"/>
  <c r="V56" i="56"/>
  <c r="W56" i="56"/>
  <c r="X56" i="56"/>
  <c r="Z56" i="56"/>
  <c r="AA56" i="56"/>
  <c r="AB56" i="56"/>
  <c r="AC56" i="56"/>
  <c r="AD56" i="56"/>
  <c r="W61" i="56"/>
  <c r="X61" i="56"/>
  <c r="T62" i="56"/>
  <c r="U62" i="56"/>
  <c r="V62" i="56"/>
  <c r="W62" i="56"/>
  <c r="X62" i="56"/>
  <c r="J63" i="56"/>
  <c r="K63" i="56"/>
  <c r="T63" i="56"/>
  <c r="U63" i="56"/>
  <c r="V63" i="56"/>
  <c r="W63" i="56"/>
  <c r="X63" i="56"/>
  <c r="M64" i="56"/>
  <c r="N26" i="57" s="1"/>
  <c r="N64" i="56"/>
  <c r="O26" i="57" s="1"/>
  <c r="O64" i="56"/>
  <c r="P26" i="57" s="1"/>
  <c r="P64" i="56"/>
  <c r="Q26" i="57" s="1"/>
  <c r="Q64" i="56"/>
  <c r="R26" i="57" s="1"/>
  <c r="K66" i="56"/>
  <c r="L64" i="56" s="1"/>
  <c r="M26" i="57" s="1"/>
  <c r="H21" i="4" s="1"/>
  <c r="D69" i="56"/>
  <c r="H69" i="56"/>
  <c r="D70" i="56"/>
  <c r="H70" i="56"/>
  <c r="M70" i="56"/>
  <c r="N70" i="56"/>
  <c r="O70" i="56"/>
  <c r="P70" i="56"/>
  <c r="Q70" i="56"/>
  <c r="M5" i="91"/>
  <c r="N5" i="92" s="1"/>
  <c r="N5" i="91"/>
  <c r="O5" i="92" s="1"/>
  <c r="O5" i="91"/>
  <c r="P5" i="92" s="1"/>
  <c r="P5" i="91"/>
  <c r="Q5" i="92" s="1"/>
  <c r="Q5" i="91"/>
  <c r="R5" i="92"/>
  <c r="M6" i="91"/>
  <c r="N6" i="92" s="1"/>
  <c r="N6" i="91"/>
  <c r="O6" i="92" s="1"/>
  <c r="O6" i="91"/>
  <c r="P6" i="92" s="1"/>
  <c r="P6" i="91"/>
  <c r="Q6" i="91"/>
  <c r="R7" i="91"/>
  <c r="I7" i="91"/>
  <c r="M13" i="91"/>
  <c r="N13" i="91"/>
  <c r="O13" i="91"/>
  <c r="P13" i="91"/>
  <c r="Q13" i="91"/>
  <c r="Q15" i="91"/>
  <c r="Q18" i="91"/>
  <c r="R10" i="92" s="1"/>
  <c r="R56" i="92"/>
  <c r="Q19" i="91"/>
  <c r="M21" i="91"/>
  <c r="N21" i="91"/>
  <c r="O21" i="91"/>
  <c r="P21" i="91"/>
  <c r="Q21" i="91"/>
  <c r="J24" i="91"/>
  <c r="D28" i="91"/>
  <c r="D29" i="91"/>
  <c r="D31" i="91"/>
  <c r="J46" i="91"/>
  <c r="X46" i="91"/>
  <c r="AD46" i="91"/>
  <c r="J47" i="91"/>
  <c r="X47" i="91"/>
  <c r="AD47" i="91"/>
  <c r="J48" i="91"/>
  <c r="V48" i="91"/>
  <c r="W48" i="91"/>
  <c r="X48" i="91"/>
  <c r="AB48" i="91"/>
  <c r="AC48" i="91"/>
  <c r="AD48" i="91"/>
  <c r="J49" i="91"/>
  <c r="X49" i="91"/>
  <c r="AD49" i="91"/>
  <c r="J50" i="91"/>
  <c r="V50" i="91"/>
  <c r="W50" i="91"/>
  <c r="X50" i="91"/>
  <c r="AB50" i="91"/>
  <c r="AC50" i="91"/>
  <c r="AD50" i="91"/>
  <c r="J51" i="91"/>
  <c r="X51" i="91"/>
  <c r="AD51" i="91"/>
  <c r="J54" i="91"/>
  <c r="T54" i="91"/>
  <c r="U54" i="91"/>
  <c r="V54" i="91"/>
  <c r="W54" i="91"/>
  <c r="X54" i="91"/>
  <c r="Z54" i="91"/>
  <c r="AA54" i="91"/>
  <c r="AB54" i="91"/>
  <c r="AC54" i="91"/>
  <c r="AD54" i="91"/>
  <c r="J55" i="91"/>
  <c r="T55" i="91"/>
  <c r="U55" i="91"/>
  <c r="V55" i="91"/>
  <c r="W55" i="91"/>
  <c r="X55" i="91"/>
  <c r="Z55" i="91"/>
  <c r="AA55" i="91"/>
  <c r="AB55" i="91"/>
  <c r="AC55" i="91"/>
  <c r="AD55" i="91"/>
  <c r="J56" i="91"/>
  <c r="T56" i="91"/>
  <c r="U56" i="91"/>
  <c r="V56" i="91"/>
  <c r="W56" i="91"/>
  <c r="X56" i="91"/>
  <c r="Z56" i="91"/>
  <c r="AA56" i="91"/>
  <c r="AB56" i="91"/>
  <c r="AC56" i="91"/>
  <c r="AD56" i="91"/>
  <c r="J61" i="91"/>
  <c r="X61" i="91"/>
  <c r="X62" i="91"/>
  <c r="G63" i="91"/>
  <c r="M64" i="91"/>
  <c r="N26" i="92" s="1"/>
  <c r="N64" i="91"/>
  <c r="O64" i="91"/>
  <c r="P26" i="92" s="1"/>
  <c r="P64" i="91"/>
  <c r="Q26" i="92" s="1"/>
  <c r="Q64" i="91"/>
  <c r="R26" i="92" s="1"/>
  <c r="K66" i="91"/>
  <c r="L64" i="91" s="1"/>
  <c r="M26" i="92" s="1"/>
  <c r="D69" i="91"/>
  <c r="H69" i="91"/>
  <c r="Q69" i="91"/>
  <c r="D70" i="91"/>
  <c r="H70" i="91"/>
  <c r="M70" i="91"/>
  <c r="N70" i="91"/>
  <c r="O70" i="91"/>
  <c r="P70" i="91"/>
  <c r="Q70" i="91"/>
  <c r="M5" i="65"/>
  <c r="N5" i="66" s="1"/>
  <c r="N5" i="65"/>
  <c r="O5" i="66" s="1"/>
  <c r="O5" i="65"/>
  <c r="P5" i="66" s="1"/>
  <c r="P5" i="65"/>
  <c r="Q5" i="66" s="1"/>
  <c r="Q5" i="65"/>
  <c r="R5" i="66" s="1"/>
  <c r="M6" i="65"/>
  <c r="N6" i="65"/>
  <c r="N14" i="65"/>
  <c r="O7" i="66" s="1"/>
  <c r="O6" i="65"/>
  <c r="P6" i="66" s="1"/>
  <c r="P6" i="65"/>
  <c r="P14" i="65" s="1"/>
  <c r="Q6" i="65"/>
  <c r="Q14" i="65" s="1"/>
  <c r="R7" i="65"/>
  <c r="I7" i="65" s="1"/>
  <c r="M13" i="65"/>
  <c r="N13" i="65"/>
  <c r="O13" i="65"/>
  <c r="P13" i="65"/>
  <c r="Q13" i="65"/>
  <c r="Q15" i="65"/>
  <c r="R8" i="66"/>
  <c r="R29" i="66" s="1"/>
  <c r="Q18" i="65"/>
  <c r="R10" i="66" s="1"/>
  <c r="R56" i="66" s="1"/>
  <c r="Q19" i="65"/>
  <c r="R11" i="66"/>
  <c r="R58" i="66" s="1"/>
  <c r="M21" i="65"/>
  <c r="N21" i="65"/>
  <c r="O21" i="65"/>
  <c r="P21" i="65"/>
  <c r="Q21" i="65"/>
  <c r="J24" i="65"/>
  <c r="D28" i="65"/>
  <c r="D29" i="65"/>
  <c r="D31" i="65"/>
  <c r="J46" i="65"/>
  <c r="X46" i="65"/>
  <c r="AD46" i="65"/>
  <c r="J47" i="65"/>
  <c r="X47" i="65"/>
  <c r="AD47" i="65"/>
  <c r="J48" i="65"/>
  <c r="V48" i="65"/>
  <c r="W48" i="65"/>
  <c r="X48" i="65"/>
  <c r="AB48" i="65"/>
  <c r="AC48" i="65"/>
  <c r="AD48" i="65"/>
  <c r="D49" i="65"/>
  <c r="G49" i="65"/>
  <c r="H49" i="65"/>
  <c r="I49" i="65"/>
  <c r="J49" i="65"/>
  <c r="T49" i="65"/>
  <c r="U49" i="65"/>
  <c r="V49" i="65"/>
  <c r="W49" i="65"/>
  <c r="X49" i="65"/>
  <c r="Z49" i="65"/>
  <c r="AA49" i="65"/>
  <c r="AB49" i="65"/>
  <c r="AC49" i="65"/>
  <c r="AD49" i="65"/>
  <c r="D50" i="65"/>
  <c r="G50" i="65"/>
  <c r="H50" i="65"/>
  <c r="K50" i="65" s="1"/>
  <c r="I50" i="65"/>
  <c r="L50" i="65" s="1"/>
  <c r="J50" i="65"/>
  <c r="T50" i="65"/>
  <c r="U50" i="65"/>
  <c r="V50" i="65"/>
  <c r="W50" i="65"/>
  <c r="X50" i="65"/>
  <c r="Z50" i="65"/>
  <c r="AA50" i="65"/>
  <c r="AB50" i="65"/>
  <c r="AC50" i="65"/>
  <c r="AD50" i="65"/>
  <c r="D51" i="65"/>
  <c r="G51" i="65"/>
  <c r="H51" i="65"/>
  <c r="I51" i="65"/>
  <c r="J51" i="65"/>
  <c r="T51" i="65"/>
  <c r="U51" i="65"/>
  <c r="V51" i="65"/>
  <c r="W51" i="65"/>
  <c r="X51" i="65"/>
  <c r="Z51" i="65"/>
  <c r="AA51" i="65"/>
  <c r="AB51" i="65"/>
  <c r="AC51" i="65"/>
  <c r="AD51" i="65"/>
  <c r="D52" i="65"/>
  <c r="G52" i="65"/>
  <c r="H52" i="65"/>
  <c r="I52" i="65"/>
  <c r="J52" i="65"/>
  <c r="T52" i="65"/>
  <c r="U52" i="65"/>
  <c r="V52" i="65"/>
  <c r="W52" i="65"/>
  <c r="X52" i="65"/>
  <c r="Z52" i="65"/>
  <c r="AA52" i="65"/>
  <c r="AB52" i="65"/>
  <c r="AC52" i="65"/>
  <c r="AD52" i="65"/>
  <c r="D53" i="65"/>
  <c r="G53" i="65"/>
  <c r="H53" i="65"/>
  <c r="I53" i="65"/>
  <c r="J53" i="65"/>
  <c r="T53" i="65"/>
  <c r="U53" i="65"/>
  <c r="V53" i="65"/>
  <c r="W53" i="65"/>
  <c r="X53" i="65"/>
  <c r="Z53" i="65"/>
  <c r="AA53" i="65"/>
  <c r="AB53" i="65"/>
  <c r="AC53" i="65"/>
  <c r="AD53" i="65"/>
  <c r="D54" i="65"/>
  <c r="G54" i="65"/>
  <c r="H54" i="65"/>
  <c r="I54" i="65"/>
  <c r="J54" i="65"/>
  <c r="T54" i="65"/>
  <c r="U54" i="65"/>
  <c r="V54" i="65"/>
  <c r="W54" i="65"/>
  <c r="X54" i="65"/>
  <c r="Z54" i="65"/>
  <c r="AA54" i="65"/>
  <c r="AB54" i="65"/>
  <c r="AC54" i="65"/>
  <c r="AD54" i="65"/>
  <c r="D55" i="65"/>
  <c r="G55" i="65"/>
  <c r="H55" i="65"/>
  <c r="K55" i="65" s="1"/>
  <c r="I55" i="65"/>
  <c r="J55" i="65"/>
  <c r="T55" i="65"/>
  <c r="U55" i="65"/>
  <c r="V55" i="65"/>
  <c r="W55" i="65"/>
  <c r="X55" i="65"/>
  <c r="Z55" i="65"/>
  <c r="AA55" i="65"/>
  <c r="AB55" i="65"/>
  <c r="AC55" i="65"/>
  <c r="AD55" i="65"/>
  <c r="D56" i="65"/>
  <c r="G56" i="65"/>
  <c r="H56" i="65"/>
  <c r="I56" i="65"/>
  <c r="J56" i="65"/>
  <c r="T56" i="65"/>
  <c r="U56" i="65"/>
  <c r="V56" i="65"/>
  <c r="W56" i="65"/>
  <c r="X56" i="65"/>
  <c r="Z56" i="65"/>
  <c r="AA56" i="65"/>
  <c r="AB56" i="65"/>
  <c r="AC56" i="65"/>
  <c r="AD56" i="65"/>
  <c r="J61" i="65"/>
  <c r="X61" i="65"/>
  <c r="T62" i="65"/>
  <c r="U62" i="65"/>
  <c r="V62" i="65"/>
  <c r="W62" i="65"/>
  <c r="X62" i="65"/>
  <c r="G63" i="65"/>
  <c r="M64" i="65"/>
  <c r="N64" i="65"/>
  <c r="O26" i="66" s="1"/>
  <c r="O64" i="65"/>
  <c r="P26" i="66" s="1"/>
  <c r="P64" i="65"/>
  <c r="Q26" i="66" s="1"/>
  <c r="Q64" i="65"/>
  <c r="R26" i="66" s="1"/>
  <c r="K66" i="65"/>
  <c r="L64" i="65" s="1"/>
  <c r="M26" i="66" s="1"/>
  <c r="D69" i="65"/>
  <c r="H69" i="65"/>
  <c r="M69" i="65"/>
  <c r="N69" i="65"/>
  <c r="O69" i="65"/>
  <c r="P69" i="65"/>
  <c r="Q69" i="65"/>
  <c r="D70" i="65"/>
  <c r="H70" i="65"/>
  <c r="M70" i="65"/>
  <c r="N70" i="65"/>
  <c r="O70" i="65"/>
  <c r="P70" i="65"/>
  <c r="Q70" i="65"/>
  <c r="R2" i="92"/>
  <c r="F3" i="92"/>
  <c r="I3" i="92"/>
  <c r="O26" i="92"/>
  <c r="M43" i="92"/>
  <c r="R2" i="66"/>
  <c r="F3" i="66"/>
  <c r="I3" i="66"/>
  <c r="M6" i="66"/>
  <c r="N26" i="66"/>
  <c r="M43" i="66"/>
  <c r="R43" i="66" s="1"/>
  <c r="M5" i="23"/>
  <c r="N5" i="24" s="1"/>
  <c r="N5" i="23"/>
  <c r="O5" i="24" s="1"/>
  <c r="O5" i="23"/>
  <c r="P5" i="24" s="1"/>
  <c r="P5" i="23"/>
  <c r="Q5" i="24" s="1"/>
  <c r="Q5" i="23"/>
  <c r="R5" i="24" s="1"/>
  <c r="M6" i="23"/>
  <c r="N6" i="23"/>
  <c r="O6" i="24" s="1"/>
  <c r="O6" i="23"/>
  <c r="O14" i="23" s="1"/>
  <c r="O15" i="23" s="1"/>
  <c r="P6" i="23"/>
  <c r="Q6" i="23"/>
  <c r="Q14" i="23" s="1"/>
  <c r="R7" i="23"/>
  <c r="I7" i="23" s="1"/>
  <c r="M13" i="23"/>
  <c r="N13" i="23"/>
  <c r="O13" i="23"/>
  <c r="P13" i="23"/>
  <c r="Q13" i="23"/>
  <c r="M21" i="23"/>
  <c r="N21" i="23"/>
  <c r="O21" i="23"/>
  <c r="P21" i="23"/>
  <c r="Q21" i="23"/>
  <c r="J24" i="23"/>
  <c r="D28" i="23"/>
  <c r="D29" i="23"/>
  <c r="D31" i="23"/>
  <c r="J46" i="23"/>
  <c r="J47" i="23"/>
  <c r="J48" i="23"/>
  <c r="W48" i="23"/>
  <c r="X48" i="23"/>
  <c r="AC48" i="23"/>
  <c r="AD48" i="23"/>
  <c r="J49" i="23"/>
  <c r="J50" i="23"/>
  <c r="W50" i="23"/>
  <c r="X50" i="23"/>
  <c r="AC50" i="23"/>
  <c r="AD50" i="23"/>
  <c r="J51" i="23"/>
  <c r="J54" i="23"/>
  <c r="T54" i="23"/>
  <c r="U54" i="23"/>
  <c r="V54" i="23"/>
  <c r="W54" i="23"/>
  <c r="X54" i="23"/>
  <c r="Z54" i="23"/>
  <c r="AA54" i="23"/>
  <c r="AB54" i="23"/>
  <c r="AC54" i="23"/>
  <c r="AD54" i="23"/>
  <c r="J55" i="23"/>
  <c r="T55" i="23"/>
  <c r="U55" i="23"/>
  <c r="V55" i="23"/>
  <c r="W55" i="23"/>
  <c r="X55" i="23"/>
  <c r="Z55" i="23"/>
  <c r="AA55" i="23"/>
  <c r="AB55" i="23"/>
  <c r="AC55" i="23"/>
  <c r="AD55" i="23"/>
  <c r="J56" i="23"/>
  <c r="T56" i="23"/>
  <c r="U56" i="23"/>
  <c r="V56" i="23"/>
  <c r="W56" i="23"/>
  <c r="X56" i="23"/>
  <c r="Z56" i="23"/>
  <c r="AA56" i="23"/>
  <c r="AB56" i="23"/>
  <c r="AC56" i="23"/>
  <c r="AD56" i="23"/>
  <c r="J61" i="23"/>
  <c r="T62" i="23"/>
  <c r="U62" i="23"/>
  <c r="V62" i="23"/>
  <c r="W62" i="23"/>
  <c r="X62" i="23"/>
  <c r="G63" i="23"/>
  <c r="J63" i="23"/>
  <c r="K63" i="23"/>
  <c r="T63" i="23"/>
  <c r="U63" i="23"/>
  <c r="V63" i="23"/>
  <c r="W63" i="23"/>
  <c r="X63" i="23"/>
  <c r="M64" i="23"/>
  <c r="N26" i="24" s="1"/>
  <c r="N64" i="23"/>
  <c r="O26" i="24" s="1"/>
  <c r="O64" i="23"/>
  <c r="P26" i="24" s="1"/>
  <c r="P64" i="23"/>
  <c r="Q26" i="24" s="1"/>
  <c r="Q64" i="23"/>
  <c r="R26" i="24" s="1"/>
  <c r="K66" i="23"/>
  <c r="L64" i="23" s="1"/>
  <c r="M26" i="24" s="1"/>
  <c r="J21" i="4" s="1"/>
  <c r="D69" i="23"/>
  <c r="H69" i="23"/>
  <c r="D70" i="23"/>
  <c r="H70" i="23"/>
  <c r="M70" i="23"/>
  <c r="N70" i="23"/>
  <c r="O70" i="23"/>
  <c r="P70" i="23"/>
  <c r="Q70" i="23"/>
  <c r="R2" i="24"/>
  <c r="F3" i="24"/>
  <c r="I3" i="24"/>
  <c r="M6" i="24"/>
  <c r="C20" i="24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7" i="24" s="1"/>
  <c r="C48" i="24" s="1"/>
  <c r="J36" i="4"/>
  <c r="M5" i="35"/>
  <c r="N5" i="36" s="1"/>
  <c r="N5" i="35"/>
  <c r="O5" i="36" s="1"/>
  <c r="O5" i="35"/>
  <c r="P5" i="36" s="1"/>
  <c r="P5" i="35"/>
  <c r="Q5" i="36" s="1"/>
  <c r="Q5" i="35"/>
  <c r="R5" i="36" s="1"/>
  <c r="M6" i="35"/>
  <c r="M14" i="35" s="1"/>
  <c r="M15" i="35" s="1"/>
  <c r="N6" i="35"/>
  <c r="O6" i="36"/>
  <c r="O6" i="35"/>
  <c r="O14" i="35" s="1"/>
  <c r="P6" i="35"/>
  <c r="P14" i="35" s="1"/>
  <c r="Q6" i="35"/>
  <c r="R6" i="36" s="1"/>
  <c r="R7" i="35"/>
  <c r="I7" i="35" s="1"/>
  <c r="M13" i="35"/>
  <c r="N13" i="35"/>
  <c r="O13" i="35"/>
  <c r="P13" i="35"/>
  <c r="Q13" i="35"/>
  <c r="M21" i="35"/>
  <c r="N21" i="35"/>
  <c r="O21" i="35"/>
  <c r="P21" i="35"/>
  <c r="Q21" i="35"/>
  <c r="J24" i="35"/>
  <c r="D29" i="35"/>
  <c r="D31" i="35"/>
  <c r="J46" i="35"/>
  <c r="J47" i="35"/>
  <c r="J48" i="35"/>
  <c r="J49" i="35"/>
  <c r="W49" i="35"/>
  <c r="X49" i="35"/>
  <c r="AC49" i="35"/>
  <c r="AD49" i="35"/>
  <c r="J50" i="35"/>
  <c r="W50" i="35"/>
  <c r="X50" i="35"/>
  <c r="AC50" i="35"/>
  <c r="AD50" i="35"/>
  <c r="J51" i="35"/>
  <c r="W51" i="35"/>
  <c r="X51" i="35"/>
  <c r="AC51" i="35"/>
  <c r="AD51" i="35"/>
  <c r="J52" i="35"/>
  <c r="W52" i="35"/>
  <c r="X52" i="35"/>
  <c r="AC52" i="35"/>
  <c r="AD52" i="35"/>
  <c r="J53" i="35"/>
  <c r="U53" i="35"/>
  <c r="W53" i="35"/>
  <c r="X53" i="35"/>
  <c r="AA53" i="35"/>
  <c r="AC53" i="35"/>
  <c r="AD53" i="35"/>
  <c r="J54" i="35"/>
  <c r="T54" i="35"/>
  <c r="U54" i="35"/>
  <c r="V54" i="35"/>
  <c r="X54" i="35"/>
  <c r="Z54" i="35"/>
  <c r="AA54" i="35"/>
  <c r="AB54" i="35"/>
  <c r="AD54" i="35"/>
  <c r="J55" i="35"/>
  <c r="T55" i="35"/>
  <c r="V55" i="35"/>
  <c r="W55" i="35"/>
  <c r="X55" i="35"/>
  <c r="Z55" i="35"/>
  <c r="AB55" i="35"/>
  <c r="AC55" i="35"/>
  <c r="AD55" i="35"/>
  <c r="J56" i="35"/>
  <c r="T56" i="35"/>
  <c r="U56" i="35"/>
  <c r="V56" i="35"/>
  <c r="W56" i="35"/>
  <c r="Z56" i="35"/>
  <c r="AA56" i="35"/>
  <c r="AB56" i="35"/>
  <c r="AC56" i="35"/>
  <c r="J61" i="35"/>
  <c r="T62" i="35"/>
  <c r="U62" i="35"/>
  <c r="V62" i="35"/>
  <c r="X62" i="35"/>
  <c r="G63" i="35"/>
  <c r="J63" i="35"/>
  <c r="K63" i="35"/>
  <c r="T63" i="35"/>
  <c r="U63" i="35"/>
  <c r="V63" i="35"/>
  <c r="W63" i="35"/>
  <c r="X63" i="35"/>
  <c r="M64" i="35"/>
  <c r="N26" i="36" s="1"/>
  <c r="N64" i="35"/>
  <c r="O26" i="36" s="1"/>
  <c r="O64" i="35"/>
  <c r="P26" i="36" s="1"/>
  <c r="P64" i="35"/>
  <c r="Q26" i="36" s="1"/>
  <c r="Q64" i="35"/>
  <c r="R26" i="36" s="1"/>
  <c r="K66" i="35"/>
  <c r="L64" i="35" s="1"/>
  <c r="M26" i="36" s="1"/>
  <c r="D69" i="35"/>
  <c r="H69" i="35"/>
  <c r="N69" i="35"/>
  <c r="P69" i="35"/>
  <c r="Q69" i="35"/>
  <c r="D70" i="35"/>
  <c r="H70" i="35"/>
  <c r="M70" i="35"/>
  <c r="N70" i="35"/>
  <c r="O70" i="35"/>
  <c r="P70" i="35"/>
  <c r="R2" i="36"/>
  <c r="F3" i="36"/>
  <c r="I3" i="36"/>
  <c r="M6" i="36"/>
  <c r="M43" i="36"/>
  <c r="H2" i="189"/>
  <c r="K9" i="189"/>
  <c r="L9" i="189" s="1"/>
  <c r="M8" i="190" s="1"/>
  <c r="M9" i="189"/>
  <c r="N9" i="189" s="1"/>
  <c r="N8" i="190" s="1"/>
  <c r="O9" i="189"/>
  <c r="P9" i="189" s="1"/>
  <c r="O8" i="190" s="1"/>
  <c r="K14" i="189"/>
  <c r="M14" i="189"/>
  <c r="O14" i="189"/>
  <c r="M17" i="189"/>
  <c r="O17" i="189"/>
  <c r="D19" i="189"/>
  <c r="H19" i="189"/>
  <c r="L19" i="189"/>
  <c r="N19" i="189"/>
  <c r="P19" i="189"/>
  <c r="D20" i="189"/>
  <c r="H20" i="189"/>
  <c r="L20" i="189"/>
  <c r="N20" i="189"/>
  <c r="P20" i="189"/>
  <c r="D21" i="189"/>
  <c r="H21" i="189"/>
  <c r="L21" i="189"/>
  <c r="N21" i="189"/>
  <c r="P21" i="189"/>
  <c r="D22" i="189"/>
  <c r="H22" i="189"/>
  <c r="L22" i="189"/>
  <c r="N22" i="189"/>
  <c r="P22" i="189"/>
  <c r="D23" i="189"/>
  <c r="H23" i="189"/>
  <c r="L23" i="189"/>
  <c r="N23" i="189"/>
  <c r="P23" i="189"/>
  <c r="D25" i="189"/>
  <c r="D26" i="189"/>
  <c r="L26" i="189"/>
  <c r="N26" i="189"/>
  <c r="P26" i="189"/>
  <c r="M36" i="189"/>
  <c r="S45" i="189"/>
  <c r="V45" i="189"/>
  <c r="Y45" i="189"/>
  <c r="S46" i="189"/>
  <c r="V46" i="189"/>
  <c r="Y46" i="189"/>
  <c r="S47" i="189"/>
  <c r="V47" i="189"/>
  <c r="Y47" i="189"/>
  <c r="S48" i="189"/>
  <c r="V48" i="189"/>
  <c r="Y48" i="189"/>
  <c r="S49" i="189"/>
  <c r="V49" i="189"/>
  <c r="Y49" i="189"/>
  <c r="H50" i="189"/>
  <c r="I50" i="189"/>
  <c r="R50" i="189" s="1"/>
  <c r="J50" i="189"/>
  <c r="L50" i="189" s="1"/>
  <c r="S50" i="189"/>
  <c r="V50" i="189"/>
  <c r="Y50" i="189"/>
  <c r="H51" i="189"/>
  <c r="I51" i="189"/>
  <c r="J51" i="189"/>
  <c r="N51" i="189" s="1"/>
  <c r="S51" i="189"/>
  <c r="V51" i="189"/>
  <c r="Y51" i="189"/>
  <c r="H52" i="189"/>
  <c r="I52" i="189"/>
  <c r="J52" i="189"/>
  <c r="Z52" i="189" s="1"/>
  <c r="S52" i="189"/>
  <c r="V52" i="189"/>
  <c r="Y52" i="189"/>
  <c r="D53" i="189"/>
  <c r="H53" i="189"/>
  <c r="I53" i="189"/>
  <c r="J53" i="189"/>
  <c r="N53" i="189" s="1"/>
  <c r="S53" i="189"/>
  <c r="V53" i="189"/>
  <c r="Y53" i="189"/>
  <c r="D54" i="189"/>
  <c r="H54" i="189"/>
  <c r="I54" i="189"/>
  <c r="U54" i="189" s="1"/>
  <c r="J54" i="189"/>
  <c r="Z54" i="189" s="1"/>
  <c r="S54" i="189"/>
  <c r="V54" i="189"/>
  <c r="Y54" i="189"/>
  <c r="D55" i="189"/>
  <c r="H55" i="189"/>
  <c r="I55" i="189"/>
  <c r="J55" i="189"/>
  <c r="S55" i="189"/>
  <c r="V55" i="189"/>
  <c r="Y55" i="189"/>
  <c r="H62" i="189"/>
  <c r="L63" i="189"/>
  <c r="M26" i="190"/>
  <c r="N63" i="189"/>
  <c r="N26" i="190"/>
  <c r="P63" i="189"/>
  <c r="O26" i="190"/>
  <c r="V63" i="189"/>
  <c r="D68" i="189"/>
  <c r="O2" i="190"/>
  <c r="F3" i="190"/>
  <c r="M6" i="190"/>
  <c r="N6" i="190"/>
  <c r="O6" i="190"/>
  <c r="C20" i="190"/>
  <c r="C21" i="190" s="1"/>
  <c r="C22" i="190" s="1"/>
  <c r="C23" i="190" s="1"/>
  <c r="C24" i="190" s="1"/>
  <c r="C25" i="190" s="1"/>
  <c r="C26" i="190" s="1"/>
  <c r="C27" i="190" s="1"/>
  <c r="C28" i="190" s="1"/>
  <c r="C29" i="190" s="1"/>
  <c r="C30" i="190" s="1"/>
  <c r="C31" i="190" s="1"/>
  <c r="C32" i="190" s="1"/>
  <c r="C33" i="190" s="1"/>
  <c r="C35" i="190" s="1"/>
  <c r="C36" i="190" s="1"/>
  <c r="C37" i="190" s="1"/>
  <c r="C38" i="190" s="1"/>
  <c r="C39" i="190" s="1"/>
  <c r="C40" i="190" s="1"/>
  <c r="C41" i="190" s="1"/>
  <c r="C42" i="190" s="1"/>
  <c r="C43" i="190" s="1"/>
  <c r="C45" i="190" s="1"/>
  <c r="C46" i="190" s="1"/>
  <c r="C47" i="190" s="1"/>
  <c r="C48" i="190" s="1"/>
  <c r="C49" i="190" s="1"/>
  <c r="N41" i="190"/>
  <c r="H2" i="187"/>
  <c r="K9" i="187"/>
  <c r="L9" i="187" s="1"/>
  <c r="M9" i="187"/>
  <c r="O9" i="187"/>
  <c r="P9" i="187" s="1"/>
  <c r="K14" i="187"/>
  <c r="M14" i="187"/>
  <c r="O14" i="187"/>
  <c r="M17" i="187"/>
  <c r="O17" i="187"/>
  <c r="D19" i="187"/>
  <c r="H19" i="187"/>
  <c r="L19" i="187"/>
  <c r="N19" i="187"/>
  <c r="P19" i="187"/>
  <c r="D20" i="187"/>
  <c r="H20" i="187"/>
  <c r="L20" i="187"/>
  <c r="N20" i="187"/>
  <c r="P20" i="187"/>
  <c r="D21" i="187"/>
  <c r="H21" i="187"/>
  <c r="L21" i="187"/>
  <c r="N21" i="187"/>
  <c r="P21" i="187"/>
  <c r="D22" i="187"/>
  <c r="H22" i="187"/>
  <c r="L22" i="187"/>
  <c r="N22" i="187"/>
  <c r="P22" i="187"/>
  <c r="D23" i="187"/>
  <c r="H23" i="187"/>
  <c r="L23" i="187"/>
  <c r="N23" i="187"/>
  <c r="P23" i="187"/>
  <c r="D25" i="187"/>
  <c r="D26" i="187"/>
  <c r="L26" i="187"/>
  <c r="N26" i="187"/>
  <c r="P26" i="187"/>
  <c r="S45" i="187"/>
  <c r="V45" i="187"/>
  <c r="Y45" i="187"/>
  <c r="S46" i="187"/>
  <c r="V46" i="187"/>
  <c r="Y46" i="187"/>
  <c r="S47" i="187"/>
  <c r="V47" i="187"/>
  <c r="Y47" i="187"/>
  <c r="S48" i="187"/>
  <c r="V48" i="187"/>
  <c r="Y48" i="187"/>
  <c r="S49" i="187"/>
  <c r="V49" i="187"/>
  <c r="Y49" i="187"/>
  <c r="S52" i="187"/>
  <c r="V52" i="187"/>
  <c r="Y52" i="187"/>
  <c r="D53" i="187"/>
  <c r="H53" i="187"/>
  <c r="I53" i="187"/>
  <c r="U53" i="187" s="1"/>
  <c r="J53" i="187"/>
  <c r="N53" i="187" s="1"/>
  <c r="S53" i="187"/>
  <c r="V53" i="187"/>
  <c r="Y53" i="187"/>
  <c r="D54" i="187"/>
  <c r="H54" i="187"/>
  <c r="I54" i="187"/>
  <c r="J54" i="187"/>
  <c r="T54" i="187" s="1"/>
  <c r="S54" i="187"/>
  <c r="V54" i="187"/>
  <c r="Y54" i="187"/>
  <c r="D55" i="187"/>
  <c r="H55" i="187"/>
  <c r="I55" i="187"/>
  <c r="J55" i="187"/>
  <c r="N55" i="187" s="1"/>
  <c r="S55" i="187"/>
  <c r="V55" i="187"/>
  <c r="Y55" i="187"/>
  <c r="H62" i="187"/>
  <c r="L63" i="187"/>
  <c r="M26" i="188" s="1"/>
  <c r="N63" i="187"/>
  <c r="N26" i="188" s="1"/>
  <c r="P63" i="187"/>
  <c r="O26" i="188" s="1"/>
  <c r="V63" i="187"/>
  <c r="D68" i="187"/>
  <c r="O2" i="188"/>
  <c r="F3" i="188"/>
  <c r="G3" i="188"/>
  <c r="M6" i="188"/>
  <c r="N6" i="188"/>
  <c r="O6" i="188"/>
  <c r="N41" i="188"/>
  <c r="M5" i="49"/>
  <c r="N5" i="50"/>
  <c r="N5" i="49"/>
  <c r="O5" i="49"/>
  <c r="P5" i="50" s="1"/>
  <c r="P5" i="49"/>
  <c r="Q5" i="50" s="1"/>
  <c r="Q5" i="49"/>
  <c r="R5" i="50" s="1"/>
  <c r="M6" i="49"/>
  <c r="N6" i="49"/>
  <c r="N14" i="49" s="1"/>
  <c r="O6" i="49"/>
  <c r="P6" i="50" s="1"/>
  <c r="P6" i="49"/>
  <c r="Q6" i="49"/>
  <c r="R6" i="50" s="1"/>
  <c r="R7" i="49"/>
  <c r="I7" i="49" s="1"/>
  <c r="M13" i="49"/>
  <c r="N13" i="49"/>
  <c r="O13" i="49"/>
  <c r="P13" i="49"/>
  <c r="Q13" i="49"/>
  <c r="O15" i="49"/>
  <c r="P8" i="50" s="1"/>
  <c r="P29" i="50" s="1"/>
  <c r="P15" i="49"/>
  <c r="Q15" i="49"/>
  <c r="O18" i="49"/>
  <c r="P10" i="50" s="1"/>
  <c r="P56" i="50" s="1"/>
  <c r="P18" i="49"/>
  <c r="Q10" i="50" s="1"/>
  <c r="Q56" i="50" s="1"/>
  <c r="Q18" i="49"/>
  <c r="R10" i="50"/>
  <c r="R56" i="50" s="1"/>
  <c r="O19" i="49"/>
  <c r="P11" i="50" s="1"/>
  <c r="P58" i="50" s="1"/>
  <c r="P19" i="49"/>
  <c r="Q11" i="50"/>
  <c r="Q58" i="50" s="1"/>
  <c r="Q19" i="49"/>
  <c r="R11" i="50" s="1"/>
  <c r="R58" i="50" s="1"/>
  <c r="M21" i="49"/>
  <c r="N21" i="49"/>
  <c r="O21" i="49"/>
  <c r="P21" i="49"/>
  <c r="P23" i="49" s="1"/>
  <c r="Q13" i="50" s="1"/>
  <c r="Q21" i="49"/>
  <c r="J24" i="49"/>
  <c r="D31" i="49"/>
  <c r="J46" i="49"/>
  <c r="V46" i="49"/>
  <c r="W46" i="49"/>
  <c r="X46" i="49"/>
  <c r="AB46" i="49"/>
  <c r="AC46" i="49"/>
  <c r="AD46" i="49"/>
  <c r="J47" i="49"/>
  <c r="V47" i="49"/>
  <c r="W47" i="49"/>
  <c r="X47" i="49"/>
  <c r="AB47" i="49"/>
  <c r="AC47" i="49"/>
  <c r="AD47" i="49"/>
  <c r="J48" i="49"/>
  <c r="V48" i="49"/>
  <c r="W48" i="49"/>
  <c r="X48" i="49"/>
  <c r="AB48" i="49"/>
  <c r="AC48" i="49"/>
  <c r="AD48" i="49"/>
  <c r="J49" i="49"/>
  <c r="V49" i="49"/>
  <c r="W49" i="49"/>
  <c r="X49" i="49"/>
  <c r="AB49" i="49"/>
  <c r="AC49" i="49"/>
  <c r="AD49" i="49"/>
  <c r="J50" i="49"/>
  <c r="V50" i="49"/>
  <c r="W50" i="49"/>
  <c r="X50" i="49"/>
  <c r="AB50" i="49"/>
  <c r="AC50" i="49"/>
  <c r="AD50" i="49"/>
  <c r="V51" i="49"/>
  <c r="AB51" i="49"/>
  <c r="J53" i="49"/>
  <c r="T53" i="49"/>
  <c r="U53" i="49"/>
  <c r="V53" i="49"/>
  <c r="W53" i="49"/>
  <c r="X53" i="49"/>
  <c r="Z53" i="49"/>
  <c r="AA53" i="49"/>
  <c r="AB53" i="49"/>
  <c r="AC53" i="49"/>
  <c r="AD53" i="49"/>
  <c r="J54" i="49"/>
  <c r="T54" i="49"/>
  <c r="U54" i="49"/>
  <c r="V54" i="49"/>
  <c r="W54" i="49"/>
  <c r="X54" i="49"/>
  <c r="Z54" i="49"/>
  <c r="AA54" i="49"/>
  <c r="AB54" i="49"/>
  <c r="AC54" i="49"/>
  <c r="AD54" i="49"/>
  <c r="J55" i="49"/>
  <c r="T55" i="49"/>
  <c r="U55" i="49"/>
  <c r="V55" i="49"/>
  <c r="W55" i="49"/>
  <c r="X55" i="49"/>
  <c r="Z55" i="49"/>
  <c r="AA55" i="49"/>
  <c r="AB55" i="49"/>
  <c r="AC55" i="49"/>
  <c r="AD55" i="49"/>
  <c r="J56" i="49"/>
  <c r="T56" i="49"/>
  <c r="U56" i="49"/>
  <c r="V56" i="49"/>
  <c r="W56" i="49"/>
  <c r="X56" i="49"/>
  <c r="Z56" i="49"/>
  <c r="AA56" i="49"/>
  <c r="AB56" i="49"/>
  <c r="AC56" i="49"/>
  <c r="AD56" i="49"/>
  <c r="T62" i="49"/>
  <c r="U62" i="49"/>
  <c r="V62" i="49"/>
  <c r="W62" i="49"/>
  <c r="X62" i="49"/>
  <c r="G63" i="49"/>
  <c r="J63" i="49"/>
  <c r="K63" i="49"/>
  <c r="T63" i="49"/>
  <c r="U63" i="49"/>
  <c r="V63" i="49"/>
  <c r="W63" i="49"/>
  <c r="X63" i="49"/>
  <c r="M64" i="49"/>
  <c r="N64" i="49"/>
  <c r="O26" i="50" s="1"/>
  <c r="O64" i="49"/>
  <c r="P26" i="50" s="1"/>
  <c r="P64" i="49"/>
  <c r="Q26" i="50" s="1"/>
  <c r="Q64" i="49"/>
  <c r="R26" i="50"/>
  <c r="K66" i="49"/>
  <c r="L64" i="49"/>
  <c r="M26" i="50" s="1"/>
  <c r="O21" i="4" s="1"/>
  <c r="D69" i="49"/>
  <c r="H69" i="49"/>
  <c r="M69" i="49"/>
  <c r="N69" i="49"/>
  <c r="O69" i="49"/>
  <c r="P69" i="49"/>
  <c r="Q69" i="49"/>
  <c r="D70" i="49"/>
  <c r="H70" i="49"/>
  <c r="M70" i="49"/>
  <c r="N70" i="49"/>
  <c r="O70" i="49"/>
  <c r="P70" i="49"/>
  <c r="Q70" i="49"/>
  <c r="R2" i="50"/>
  <c r="F3" i="50"/>
  <c r="I3" i="50"/>
  <c r="O5" i="50"/>
  <c r="M6" i="50"/>
  <c r="O5" i="4"/>
  <c r="C20" i="50"/>
  <c r="C21" i="50"/>
  <c r="C22" i="50" s="1"/>
  <c r="C23" i="50" s="1"/>
  <c r="C24" i="50" s="1"/>
  <c r="C25" i="50" s="1"/>
  <c r="C26" i="50" s="1"/>
  <c r="C27" i="50" s="1"/>
  <c r="C28" i="50" s="1"/>
  <c r="C29" i="50" s="1"/>
  <c r="C30" i="50" s="1"/>
  <c r="C31" i="50" s="1"/>
  <c r="C32" i="50" s="1"/>
  <c r="C33" i="50" s="1"/>
  <c r="C34" i="50" s="1"/>
  <c r="C36" i="50" s="1"/>
  <c r="C37" i="50" s="1"/>
  <c r="C38" i="50" s="1"/>
  <c r="C39" i="50" s="1"/>
  <c r="C40" i="50" s="1"/>
  <c r="C41" i="50" s="1"/>
  <c r="C42" i="50" s="1"/>
  <c r="C43" i="50" s="1"/>
  <c r="C44" i="50" s="1"/>
  <c r="C45" i="50" s="1"/>
  <c r="C47" i="50" s="1"/>
  <c r="C48" i="50" s="1"/>
  <c r="N26" i="50"/>
  <c r="M5" i="25"/>
  <c r="N5" i="26" s="1"/>
  <c r="N5" i="25"/>
  <c r="O5" i="26" s="1"/>
  <c r="O5" i="25"/>
  <c r="P5" i="26" s="1"/>
  <c r="P5" i="25"/>
  <c r="Q5" i="26" s="1"/>
  <c r="Q5" i="25"/>
  <c r="R5" i="26" s="1"/>
  <c r="M6" i="25"/>
  <c r="M14" i="25" s="1"/>
  <c r="M17" i="25" s="1"/>
  <c r="N6" i="25"/>
  <c r="O6" i="26" s="1"/>
  <c r="O6" i="25"/>
  <c r="P6" i="25"/>
  <c r="Q6" i="25"/>
  <c r="R7" i="25"/>
  <c r="I7" i="25" s="1"/>
  <c r="M13" i="25"/>
  <c r="N13" i="25"/>
  <c r="O13" i="25"/>
  <c r="P13" i="25"/>
  <c r="Q13" i="25"/>
  <c r="P15" i="25"/>
  <c r="P61" i="25" s="1"/>
  <c r="W61" i="25" s="1"/>
  <c r="Q15" i="25"/>
  <c r="Q52" i="25" s="1"/>
  <c r="P18" i="25"/>
  <c r="Q10" i="26" s="1"/>
  <c r="Q56" i="26" s="1"/>
  <c r="Q18" i="25"/>
  <c r="R10" i="26" s="1"/>
  <c r="R56" i="26" s="1"/>
  <c r="P19" i="25"/>
  <c r="Q11" i="26" s="1"/>
  <c r="Q58" i="26" s="1"/>
  <c r="Q19" i="25"/>
  <c r="R11" i="26" s="1"/>
  <c r="R58" i="26" s="1"/>
  <c r="M21" i="25"/>
  <c r="N21" i="25"/>
  <c r="O21" i="25"/>
  <c r="P21" i="25"/>
  <c r="Q21" i="25"/>
  <c r="J24" i="25"/>
  <c r="D29" i="25"/>
  <c r="D31" i="25"/>
  <c r="J46" i="25"/>
  <c r="W46" i="25"/>
  <c r="X46" i="25"/>
  <c r="AC46" i="25"/>
  <c r="AD46" i="25"/>
  <c r="J47" i="25"/>
  <c r="W47" i="25"/>
  <c r="X47" i="25"/>
  <c r="AC47" i="25"/>
  <c r="AD47" i="25"/>
  <c r="J48" i="25"/>
  <c r="W48" i="25"/>
  <c r="X48" i="25"/>
  <c r="AC48" i="25"/>
  <c r="AD48" i="25"/>
  <c r="J49" i="25"/>
  <c r="W49" i="25"/>
  <c r="X49" i="25"/>
  <c r="AC49" i="25"/>
  <c r="AD49" i="25"/>
  <c r="J50" i="25"/>
  <c r="W50" i="25"/>
  <c r="X50" i="25"/>
  <c r="AC50" i="25"/>
  <c r="AD50" i="25"/>
  <c r="V53" i="25"/>
  <c r="W53" i="25"/>
  <c r="X53" i="25"/>
  <c r="AB53" i="25"/>
  <c r="AC53" i="25"/>
  <c r="AD53" i="25"/>
  <c r="J54" i="25"/>
  <c r="T54" i="25"/>
  <c r="U54" i="25"/>
  <c r="V54" i="25"/>
  <c r="W54" i="25"/>
  <c r="X54" i="25"/>
  <c r="Z54" i="25"/>
  <c r="AA54" i="25"/>
  <c r="AB54" i="25"/>
  <c r="AC54" i="25"/>
  <c r="AD54" i="25"/>
  <c r="J55" i="25"/>
  <c r="T55" i="25"/>
  <c r="U55" i="25"/>
  <c r="V55" i="25"/>
  <c r="W55" i="25"/>
  <c r="X55" i="25"/>
  <c r="Z55" i="25"/>
  <c r="AA55" i="25"/>
  <c r="AB55" i="25"/>
  <c r="AC55" i="25"/>
  <c r="AD55" i="25"/>
  <c r="J56" i="25"/>
  <c r="T56" i="25"/>
  <c r="U56" i="25"/>
  <c r="V56" i="25"/>
  <c r="W56" i="25"/>
  <c r="X56" i="25"/>
  <c r="Z56" i="25"/>
  <c r="AA56" i="25"/>
  <c r="AB56" i="25"/>
  <c r="AC56" i="25"/>
  <c r="AD56" i="25"/>
  <c r="T62" i="25"/>
  <c r="U62" i="25"/>
  <c r="V62" i="25"/>
  <c r="W62" i="25"/>
  <c r="X62" i="25"/>
  <c r="G63" i="25"/>
  <c r="J63" i="25"/>
  <c r="K63" i="25"/>
  <c r="T63" i="25"/>
  <c r="U63" i="25"/>
  <c r="V63" i="25"/>
  <c r="W63" i="25"/>
  <c r="X63" i="25"/>
  <c r="M64" i="25"/>
  <c r="N26" i="26" s="1"/>
  <c r="N64" i="25"/>
  <c r="O26" i="26" s="1"/>
  <c r="O64" i="25"/>
  <c r="P26" i="26" s="1"/>
  <c r="P64" i="25"/>
  <c r="Q26" i="26" s="1"/>
  <c r="Q64" i="25"/>
  <c r="R26" i="26" s="1"/>
  <c r="K66" i="25"/>
  <c r="L64" i="25"/>
  <c r="M26" i="26" s="1"/>
  <c r="P21" i="4" s="1"/>
  <c r="D69" i="25"/>
  <c r="H69" i="25"/>
  <c r="M69" i="25"/>
  <c r="N69" i="25"/>
  <c r="O69" i="25"/>
  <c r="P69" i="25"/>
  <c r="Q69" i="25"/>
  <c r="D70" i="25"/>
  <c r="H70" i="25"/>
  <c r="M70" i="25"/>
  <c r="N70" i="25"/>
  <c r="O70" i="25"/>
  <c r="P70" i="25"/>
  <c r="Q70" i="25"/>
  <c r="R2" i="26"/>
  <c r="F3" i="26"/>
  <c r="I3" i="26"/>
  <c r="M6" i="26"/>
  <c r="I10" i="3"/>
  <c r="I261" i="3"/>
  <c r="H2" i="2"/>
  <c r="H2" i="89"/>
  <c r="K9" i="89"/>
  <c r="K33" i="89" s="1"/>
  <c r="M9" i="89"/>
  <c r="N9" i="89" s="1"/>
  <c r="N8" i="90" s="1"/>
  <c r="BI7" i="4" s="1"/>
  <c r="M33" i="89"/>
  <c r="O9" i="89"/>
  <c r="O33" i="89" s="1"/>
  <c r="K14" i="89"/>
  <c r="M14" i="89"/>
  <c r="O14" i="89"/>
  <c r="M17" i="89"/>
  <c r="O17" i="89"/>
  <c r="D19" i="89"/>
  <c r="I19" i="89"/>
  <c r="L19" i="89"/>
  <c r="N19" i="89"/>
  <c r="P19" i="89"/>
  <c r="N20" i="89"/>
  <c r="P20" i="89"/>
  <c r="P21" i="89"/>
  <c r="L21" i="89"/>
  <c r="L22" i="89"/>
  <c r="N22" i="89"/>
  <c r="D23" i="89"/>
  <c r="I23" i="89"/>
  <c r="L23" i="89"/>
  <c r="N23" i="89"/>
  <c r="P23" i="89"/>
  <c r="D25" i="89"/>
  <c r="D26" i="89"/>
  <c r="L26" i="89"/>
  <c r="N26" i="89"/>
  <c r="P26" i="89"/>
  <c r="K36" i="89"/>
  <c r="S45" i="89"/>
  <c r="V45" i="89"/>
  <c r="Y45" i="89"/>
  <c r="S46" i="89"/>
  <c r="V46" i="89"/>
  <c r="Y46" i="89"/>
  <c r="S47" i="89"/>
  <c r="V47" i="89"/>
  <c r="Y47" i="89"/>
  <c r="S48" i="89"/>
  <c r="V48" i="89"/>
  <c r="Y48" i="89"/>
  <c r="S49" i="89"/>
  <c r="V49" i="89"/>
  <c r="Y49" i="89"/>
  <c r="S50" i="89"/>
  <c r="V50" i="89"/>
  <c r="Y50" i="89"/>
  <c r="S51" i="89"/>
  <c r="V51" i="89"/>
  <c r="Y51" i="89"/>
  <c r="S52" i="89"/>
  <c r="V52" i="89"/>
  <c r="Y52" i="89"/>
  <c r="D55" i="89"/>
  <c r="H55" i="89"/>
  <c r="I55" i="89"/>
  <c r="J55" i="89"/>
  <c r="S55" i="89"/>
  <c r="V55" i="89"/>
  <c r="Y55" i="89"/>
  <c r="H62" i="89"/>
  <c r="L63" i="89"/>
  <c r="M26" i="90" s="1"/>
  <c r="BH21" i="4" s="1"/>
  <c r="N63" i="89"/>
  <c r="P63" i="89"/>
  <c r="O26" i="90" s="1"/>
  <c r="BJ21" i="4" s="1"/>
  <c r="V63" i="89"/>
  <c r="K66" i="89"/>
  <c r="L65" i="89" s="1"/>
  <c r="M22" i="90" s="1"/>
  <c r="M66" i="89"/>
  <c r="N65" i="89" s="1"/>
  <c r="N22" i="90" s="1"/>
  <c r="O66" i="89"/>
  <c r="P65" i="89" s="1"/>
  <c r="O22" i="90" s="1"/>
  <c r="D68" i="89"/>
  <c r="O2" i="90"/>
  <c r="F3" i="90"/>
  <c r="G3" i="90"/>
  <c r="M6" i="90"/>
  <c r="N6" i="90"/>
  <c r="BI5" i="4" s="1"/>
  <c r="O6" i="90"/>
  <c r="M7" i="90"/>
  <c r="N26" i="90"/>
  <c r="N41" i="90"/>
  <c r="BI36" i="4" s="1"/>
  <c r="H2" i="77"/>
  <c r="K9" i="77"/>
  <c r="M7" i="78" s="1"/>
  <c r="BE6" i="4" s="1"/>
  <c r="M9" i="77"/>
  <c r="M33" i="77" s="1"/>
  <c r="O9" i="77"/>
  <c r="O33" i="77" s="1"/>
  <c r="L10" i="77"/>
  <c r="M36" i="78" s="1"/>
  <c r="N10" i="77"/>
  <c r="N36" i="78" s="1"/>
  <c r="BF31" i="4" s="1"/>
  <c r="P10" i="77"/>
  <c r="O36" i="78" s="1"/>
  <c r="K14" i="77"/>
  <c r="M14" i="77"/>
  <c r="O14" i="77"/>
  <c r="M17" i="77"/>
  <c r="O17" i="77"/>
  <c r="D19" i="77"/>
  <c r="I19" i="77"/>
  <c r="L19" i="77"/>
  <c r="N19" i="77"/>
  <c r="P19" i="77"/>
  <c r="N20" i="77"/>
  <c r="P20" i="77"/>
  <c r="P21" i="77"/>
  <c r="L22" i="77"/>
  <c r="L23" i="77"/>
  <c r="N23" i="77"/>
  <c r="D25" i="77"/>
  <c r="D26" i="77"/>
  <c r="L26" i="77"/>
  <c r="N26" i="77"/>
  <c r="P26" i="77"/>
  <c r="S45" i="77"/>
  <c r="V45" i="77"/>
  <c r="Y45" i="77"/>
  <c r="S46" i="77"/>
  <c r="V46" i="77"/>
  <c r="Y46" i="77"/>
  <c r="S47" i="77"/>
  <c r="V47" i="77"/>
  <c r="Y47" i="77"/>
  <c r="S48" i="77"/>
  <c r="V48" i="77"/>
  <c r="Y48" i="77"/>
  <c r="S49" i="77"/>
  <c r="V49" i="77"/>
  <c r="Y49" i="77"/>
  <c r="H50" i="77"/>
  <c r="I50" i="77"/>
  <c r="R50" i="77" s="1"/>
  <c r="J50" i="77"/>
  <c r="N50" i="77" s="1"/>
  <c r="S50" i="77"/>
  <c r="V50" i="77"/>
  <c r="Y50" i="77"/>
  <c r="H51" i="77"/>
  <c r="I51" i="77"/>
  <c r="J51" i="77"/>
  <c r="L51" i="77" s="1"/>
  <c r="S51" i="77"/>
  <c r="V51" i="77"/>
  <c r="Y51" i="77"/>
  <c r="H52" i="77"/>
  <c r="I52" i="77"/>
  <c r="R52" i="77" s="1"/>
  <c r="J52" i="77"/>
  <c r="W52" i="77" s="1"/>
  <c r="S52" i="77"/>
  <c r="V52" i="77"/>
  <c r="Y52" i="77"/>
  <c r="D53" i="77"/>
  <c r="H53" i="77"/>
  <c r="I53" i="77"/>
  <c r="R53" i="77" s="1"/>
  <c r="J53" i="77"/>
  <c r="Z53" i="77" s="1"/>
  <c r="S53" i="77"/>
  <c r="V53" i="77"/>
  <c r="Y53" i="77"/>
  <c r="D54" i="77"/>
  <c r="H54" i="77"/>
  <c r="I54" i="77"/>
  <c r="U54" i="77" s="1"/>
  <c r="J54" i="77"/>
  <c r="P54" i="77" s="1"/>
  <c r="S54" i="77"/>
  <c r="V54" i="77"/>
  <c r="Y54" i="77"/>
  <c r="D55" i="77"/>
  <c r="H55" i="77"/>
  <c r="I55" i="77"/>
  <c r="J55" i="77"/>
  <c r="L55" i="77" s="1"/>
  <c r="S55" i="77"/>
  <c r="V55" i="77"/>
  <c r="Y55" i="77"/>
  <c r="H62" i="77"/>
  <c r="L63" i="77"/>
  <c r="M26" i="78" s="1"/>
  <c r="BE21" i="4" s="1"/>
  <c r="N63" i="77"/>
  <c r="N26" i="78"/>
  <c r="BF21" i="4" s="1"/>
  <c r="P63" i="77"/>
  <c r="O26" i="78" s="1"/>
  <c r="BG21" i="4" s="1"/>
  <c r="V63" i="77"/>
  <c r="K66" i="77"/>
  <c r="L65" i="77" s="1"/>
  <c r="M22" i="78" s="1"/>
  <c r="M66" i="77"/>
  <c r="N65" i="77" s="1"/>
  <c r="N22" i="78" s="1"/>
  <c r="O66" i="77"/>
  <c r="P65" i="77" s="1"/>
  <c r="O22" i="78" s="1"/>
  <c r="D68" i="77"/>
  <c r="O2" i="78"/>
  <c r="F3" i="78"/>
  <c r="G3" i="78"/>
  <c r="M6" i="78"/>
  <c r="N6" i="78"/>
  <c r="O6" i="78"/>
  <c r="C20" i="78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5" i="78" s="1"/>
  <c r="C36" i="78" s="1"/>
  <c r="C37" i="78" s="1"/>
  <c r="C38" i="78" s="1"/>
  <c r="C39" i="78" s="1"/>
  <c r="C40" i="78" s="1"/>
  <c r="C41" i="78" s="1"/>
  <c r="C42" i="78" s="1"/>
  <c r="C43" i="78" s="1"/>
  <c r="C45" i="78" s="1"/>
  <c r="C46" i="78" s="1"/>
  <c r="C47" i="78" s="1"/>
  <c r="C48" i="78" s="1"/>
  <c r="C49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4" i="78" s="1"/>
  <c r="C65" i="78" s="1"/>
  <c r="C66" i="78" s="1"/>
  <c r="C67" i="78" s="1"/>
  <c r="N41" i="78"/>
  <c r="BF36" i="4" s="1"/>
  <c r="H2" i="73"/>
  <c r="K9" i="73"/>
  <c r="K33" i="73" s="1"/>
  <c r="M9" i="73"/>
  <c r="N9" i="73" s="1"/>
  <c r="O9" i="73"/>
  <c r="K14" i="73"/>
  <c r="M14" i="73"/>
  <c r="O14" i="73"/>
  <c r="J17" i="73"/>
  <c r="M17" i="73"/>
  <c r="O17" i="73"/>
  <c r="D19" i="73"/>
  <c r="H19" i="73"/>
  <c r="L19" i="73"/>
  <c r="N19" i="73"/>
  <c r="P19" i="73"/>
  <c r="D20" i="73"/>
  <c r="H20" i="73"/>
  <c r="L20" i="73"/>
  <c r="N20" i="73"/>
  <c r="P20" i="73"/>
  <c r="D21" i="73"/>
  <c r="H21" i="73"/>
  <c r="L21" i="73"/>
  <c r="N21" i="73"/>
  <c r="P21" i="73"/>
  <c r="D22" i="73"/>
  <c r="H22" i="73"/>
  <c r="L22" i="73"/>
  <c r="N22" i="73"/>
  <c r="P22" i="73"/>
  <c r="D23" i="73"/>
  <c r="H23" i="73"/>
  <c r="L23" i="73"/>
  <c r="N23" i="73"/>
  <c r="P23" i="73"/>
  <c r="D25" i="73"/>
  <c r="D26" i="73"/>
  <c r="L26" i="73"/>
  <c r="N26" i="73"/>
  <c r="P26" i="73"/>
  <c r="S45" i="73"/>
  <c r="V45" i="73"/>
  <c r="Y45" i="73"/>
  <c r="S46" i="73"/>
  <c r="V46" i="73"/>
  <c r="Y46" i="73"/>
  <c r="S47" i="73"/>
  <c r="V47" i="73"/>
  <c r="Y47" i="73"/>
  <c r="S48" i="73"/>
  <c r="V48" i="73"/>
  <c r="Y48" i="73"/>
  <c r="S49" i="73"/>
  <c r="V49" i="73"/>
  <c r="Y49" i="73"/>
  <c r="S50" i="73"/>
  <c r="V50" i="73"/>
  <c r="Y50" i="73"/>
  <c r="S53" i="73"/>
  <c r="V53" i="73"/>
  <c r="Y53" i="73"/>
  <c r="S54" i="73"/>
  <c r="V54" i="73"/>
  <c r="Y54" i="73"/>
  <c r="S55" i="73"/>
  <c r="V55" i="73"/>
  <c r="Y55" i="73"/>
  <c r="H62" i="73"/>
  <c r="K62" i="73"/>
  <c r="M62" i="73"/>
  <c r="O62" i="73"/>
  <c r="L63" i="73"/>
  <c r="M26" i="74" s="1"/>
  <c r="AM21" i="4" s="1"/>
  <c r="N63" i="73"/>
  <c r="N26" i="74"/>
  <c r="AN21" i="4" s="1"/>
  <c r="P63" i="73"/>
  <c r="O26" i="74" s="1"/>
  <c r="AO21" i="4" s="1"/>
  <c r="V63" i="73"/>
  <c r="D68" i="73"/>
  <c r="G68" i="73"/>
  <c r="O2" i="74"/>
  <c r="F3" i="74"/>
  <c r="G3" i="74"/>
  <c r="M6" i="74"/>
  <c r="N6" i="74"/>
  <c r="E6" i="155" s="1"/>
  <c r="O6" i="74"/>
  <c r="C20" i="74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5" i="74" s="1"/>
  <c r="C36" i="74" s="1"/>
  <c r="C37" i="74" s="1"/>
  <c r="C38" i="74" s="1"/>
  <c r="C39" i="74" s="1"/>
  <c r="C40" i="74" s="1"/>
  <c r="C41" i="74" s="1"/>
  <c r="C42" i="74" s="1"/>
  <c r="C43" i="74" s="1"/>
  <c r="C45" i="74" s="1"/>
  <c r="C46" i="74" s="1"/>
  <c r="C47" i="74" s="1"/>
  <c r="C48" i="74" s="1"/>
  <c r="C49" i="74" s="1"/>
  <c r="N41" i="74"/>
  <c r="AN36" i="4" s="1"/>
  <c r="H2" i="83"/>
  <c r="K9" i="83"/>
  <c r="M9" i="83"/>
  <c r="M33" i="83" s="1"/>
  <c r="O9" i="83"/>
  <c r="O36" i="83" s="1"/>
  <c r="K14" i="83"/>
  <c r="M14" i="83"/>
  <c r="O14" i="83"/>
  <c r="J17" i="83"/>
  <c r="M17" i="83"/>
  <c r="O17" i="83"/>
  <c r="D19" i="83"/>
  <c r="H19" i="83"/>
  <c r="L19" i="83"/>
  <c r="N19" i="83"/>
  <c r="P19" i="83"/>
  <c r="D20" i="83"/>
  <c r="H20" i="83"/>
  <c r="L20" i="83"/>
  <c r="N20" i="83"/>
  <c r="P20" i="83"/>
  <c r="D21" i="83"/>
  <c r="H21" i="83"/>
  <c r="L21" i="83"/>
  <c r="N21" i="83"/>
  <c r="P21" i="83"/>
  <c r="D22" i="83"/>
  <c r="H22" i="83"/>
  <c r="L22" i="83"/>
  <c r="N22" i="83"/>
  <c r="P22" i="83"/>
  <c r="D23" i="83"/>
  <c r="H23" i="83"/>
  <c r="L23" i="83"/>
  <c r="N23" i="83"/>
  <c r="P23" i="83"/>
  <c r="D25" i="83"/>
  <c r="D26" i="83"/>
  <c r="L26" i="83"/>
  <c r="N26" i="83"/>
  <c r="P26" i="83"/>
  <c r="S45" i="83"/>
  <c r="V45" i="83"/>
  <c r="Y45" i="83"/>
  <c r="S46" i="83"/>
  <c r="V46" i="83"/>
  <c r="Y46" i="83"/>
  <c r="S47" i="83"/>
  <c r="V47" i="83"/>
  <c r="Y47" i="83"/>
  <c r="S48" i="83"/>
  <c r="V48" i="83"/>
  <c r="Y48" i="83"/>
  <c r="S49" i="83"/>
  <c r="V49" i="83"/>
  <c r="Y49" i="83"/>
  <c r="S50" i="83"/>
  <c r="V50" i="83"/>
  <c r="Y50" i="83"/>
  <c r="S52" i="83"/>
  <c r="V52" i="83"/>
  <c r="Y52" i="83"/>
  <c r="S53" i="83"/>
  <c r="V53" i="83"/>
  <c r="Y53" i="83"/>
  <c r="S54" i="83"/>
  <c r="V54" i="83"/>
  <c r="Y54" i="83"/>
  <c r="S55" i="83"/>
  <c r="V55" i="83"/>
  <c r="Y55" i="83"/>
  <c r="H62" i="83"/>
  <c r="K62" i="83"/>
  <c r="M62" i="83"/>
  <c r="O62" i="83"/>
  <c r="L63" i="83"/>
  <c r="M26" i="84" s="1"/>
  <c r="AP21" i="4" s="1"/>
  <c r="N63" i="83"/>
  <c r="N26" i="84" s="1"/>
  <c r="AQ21" i="4" s="1"/>
  <c r="P63" i="83"/>
  <c r="O26" i="84" s="1"/>
  <c r="AR21" i="4" s="1"/>
  <c r="V63" i="83"/>
  <c r="D68" i="83"/>
  <c r="G68" i="83"/>
  <c r="O2" i="84"/>
  <c r="F3" i="84"/>
  <c r="G3" i="84"/>
  <c r="M6" i="84"/>
  <c r="AP5" i="4" s="1"/>
  <c r="N6" i="84"/>
  <c r="AQ5" i="4" s="1"/>
  <c r="O6" i="84"/>
  <c r="AR5" i="4" s="1"/>
  <c r="N41" i="84"/>
  <c r="AQ36" i="4" s="1"/>
  <c r="H2" i="71"/>
  <c r="K9" i="71"/>
  <c r="K35" i="71" s="1"/>
  <c r="M9" i="71"/>
  <c r="O9" i="71"/>
  <c r="O11" i="71" s="1"/>
  <c r="K14" i="71"/>
  <c r="M14" i="71"/>
  <c r="O14" i="71"/>
  <c r="J17" i="71"/>
  <c r="M17" i="71"/>
  <c r="O17" i="71"/>
  <c r="D19" i="71"/>
  <c r="H19" i="71"/>
  <c r="L19" i="71"/>
  <c r="N19" i="71"/>
  <c r="P19" i="71"/>
  <c r="D20" i="71"/>
  <c r="H20" i="71"/>
  <c r="L20" i="71"/>
  <c r="N20" i="71"/>
  <c r="P20" i="71"/>
  <c r="D21" i="71"/>
  <c r="H21" i="71"/>
  <c r="L21" i="71"/>
  <c r="N21" i="71"/>
  <c r="P21" i="71"/>
  <c r="D22" i="71"/>
  <c r="H22" i="71"/>
  <c r="L22" i="71"/>
  <c r="N22" i="71"/>
  <c r="P22" i="71"/>
  <c r="D23" i="71"/>
  <c r="H23" i="71"/>
  <c r="L23" i="71"/>
  <c r="N23" i="71"/>
  <c r="P23" i="71"/>
  <c r="D25" i="71"/>
  <c r="D26" i="71"/>
  <c r="L26" i="71"/>
  <c r="N26" i="71"/>
  <c r="P26" i="71"/>
  <c r="K33" i="71"/>
  <c r="S45" i="71"/>
  <c r="V45" i="71"/>
  <c r="Y45" i="71"/>
  <c r="S46" i="71"/>
  <c r="V46" i="71"/>
  <c r="Y46" i="71"/>
  <c r="S47" i="71"/>
  <c r="V47" i="71"/>
  <c r="Y47" i="71"/>
  <c r="S48" i="71"/>
  <c r="V48" i="71"/>
  <c r="Y48" i="71"/>
  <c r="S49" i="71"/>
  <c r="V49" i="71"/>
  <c r="Y49" i="71"/>
  <c r="S50" i="71"/>
  <c r="V50" i="71"/>
  <c r="Y50" i="71"/>
  <c r="S53" i="71"/>
  <c r="V53" i="71"/>
  <c r="Y53" i="71"/>
  <c r="S54" i="71"/>
  <c r="V54" i="71"/>
  <c r="Y54" i="71"/>
  <c r="S55" i="71"/>
  <c r="V55" i="71"/>
  <c r="Y55" i="71"/>
  <c r="H62" i="71"/>
  <c r="K62" i="71"/>
  <c r="M62" i="71"/>
  <c r="O62" i="71"/>
  <c r="L63" i="71"/>
  <c r="M26" i="72" s="1"/>
  <c r="AJ21" i="4" s="1"/>
  <c r="N63" i="71"/>
  <c r="N26" i="72"/>
  <c r="AK21" i="4" s="1"/>
  <c r="P63" i="71"/>
  <c r="O26" i="72" s="1"/>
  <c r="AL21" i="4" s="1"/>
  <c r="V63" i="71"/>
  <c r="D68" i="71"/>
  <c r="G68" i="71"/>
  <c r="O2" i="72"/>
  <c r="F3" i="72"/>
  <c r="G3" i="72"/>
  <c r="M6" i="72"/>
  <c r="N6" i="72"/>
  <c r="O6" i="72"/>
  <c r="N41" i="72"/>
  <c r="AK36" i="4" s="1"/>
  <c r="N3" i="11"/>
  <c r="D4" i="11"/>
  <c r="N68" i="11"/>
  <c r="D69" i="11"/>
  <c r="H2" i="195"/>
  <c r="K9" i="195"/>
  <c r="M9" i="195"/>
  <c r="O9" i="195"/>
  <c r="P9" i="195" s="1"/>
  <c r="K13" i="195"/>
  <c r="K14" i="195" s="1"/>
  <c r="M13" i="195"/>
  <c r="M14" i="195" s="1"/>
  <c r="O13" i="195"/>
  <c r="O14" i="195" s="1"/>
  <c r="M17" i="195"/>
  <c r="O17" i="195"/>
  <c r="L19" i="195"/>
  <c r="N19" i="195"/>
  <c r="P19" i="195"/>
  <c r="L20" i="195"/>
  <c r="N20" i="195"/>
  <c r="P20" i="195"/>
  <c r="L21" i="195"/>
  <c r="N21" i="195"/>
  <c r="P21" i="195"/>
  <c r="L22" i="195"/>
  <c r="N22" i="195"/>
  <c r="P22" i="195"/>
  <c r="L23" i="195"/>
  <c r="N23" i="195"/>
  <c r="P23" i="195"/>
  <c r="D25" i="195"/>
  <c r="D26" i="195"/>
  <c r="L26" i="195"/>
  <c r="N26" i="195"/>
  <c r="P26" i="195"/>
  <c r="S45" i="195"/>
  <c r="V45" i="195"/>
  <c r="Y45" i="195"/>
  <c r="S46" i="195"/>
  <c r="V46" i="195"/>
  <c r="Y46" i="195"/>
  <c r="S47" i="195"/>
  <c r="V47" i="195"/>
  <c r="Y47" i="195"/>
  <c r="S48" i="195"/>
  <c r="V48" i="195"/>
  <c r="Y48" i="195"/>
  <c r="S49" i="195"/>
  <c r="V49" i="195"/>
  <c r="Y49" i="195"/>
  <c r="S50" i="195"/>
  <c r="V50" i="195"/>
  <c r="Y50" i="195"/>
  <c r="S51" i="195"/>
  <c r="V51" i="195"/>
  <c r="Y51" i="195"/>
  <c r="H54" i="195"/>
  <c r="I54" i="195"/>
  <c r="J54" i="195"/>
  <c r="S54" i="195"/>
  <c r="V54" i="195"/>
  <c r="Y54" i="195"/>
  <c r="H55" i="195"/>
  <c r="I55" i="195"/>
  <c r="U55" i="195" s="1"/>
  <c r="J55" i="195"/>
  <c r="W55" i="195" s="1"/>
  <c r="S55" i="195"/>
  <c r="V55" i="195"/>
  <c r="Y55" i="195"/>
  <c r="H62" i="195"/>
  <c r="L63" i="195"/>
  <c r="M26" i="196"/>
  <c r="N63" i="195"/>
  <c r="N26" i="196" s="1"/>
  <c r="P63" i="195"/>
  <c r="O26" i="196"/>
  <c r="V63" i="195"/>
  <c r="D68" i="195"/>
  <c r="G68" i="195"/>
  <c r="O2" i="196"/>
  <c r="F3" i="196"/>
  <c r="G3" i="196"/>
  <c r="M6" i="196"/>
  <c r="M73" i="196" s="1"/>
  <c r="N6" i="196"/>
  <c r="N73" i="196" s="1"/>
  <c r="O6" i="196"/>
  <c r="O73" i="196" s="1"/>
  <c r="H2" i="67"/>
  <c r="H3" i="67"/>
  <c r="G3" i="68" s="1"/>
  <c r="K9" i="67"/>
  <c r="M9" i="67"/>
  <c r="O9" i="67"/>
  <c r="O34" i="67" s="1"/>
  <c r="L10" i="67"/>
  <c r="M36" i="68" s="1"/>
  <c r="N10" i="67"/>
  <c r="N36" i="68" s="1"/>
  <c r="P10" i="67"/>
  <c r="O36" i="68" s="1"/>
  <c r="K14" i="67"/>
  <c r="M14" i="67"/>
  <c r="O14" i="67"/>
  <c r="M17" i="67"/>
  <c r="O17" i="67"/>
  <c r="D19" i="67"/>
  <c r="H19" i="67"/>
  <c r="L19" i="67"/>
  <c r="N19" i="67"/>
  <c r="P19" i="67"/>
  <c r="D20" i="67"/>
  <c r="H20" i="67"/>
  <c r="L20" i="67"/>
  <c r="N20" i="67"/>
  <c r="P20" i="67"/>
  <c r="D21" i="67"/>
  <c r="H21" i="67"/>
  <c r="L21" i="67"/>
  <c r="N21" i="67"/>
  <c r="P21" i="67"/>
  <c r="D22" i="67"/>
  <c r="H22" i="67"/>
  <c r="L22" i="67"/>
  <c r="N22" i="67"/>
  <c r="P22" i="67"/>
  <c r="D23" i="67"/>
  <c r="H23" i="67"/>
  <c r="L23" i="67"/>
  <c r="N23" i="67"/>
  <c r="P23" i="67"/>
  <c r="D25" i="67"/>
  <c r="D26" i="67"/>
  <c r="L26" i="67"/>
  <c r="N26" i="67"/>
  <c r="P26" i="67"/>
  <c r="S45" i="67"/>
  <c r="V45" i="67"/>
  <c r="Y45" i="67"/>
  <c r="S46" i="67"/>
  <c r="V46" i="67"/>
  <c r="Y46" i="67"/>
  <c r="S47" i="67"/>
  <c r="V47" i="67"/>
  <c r="Y47" i="67"/>
  <c r="S48" i="67"/>
  <c r="V48" i="67"/>
  <c r="Y48" i="67"/>
  <c r="S49" i="67"/>
  <c r="V49" i="67"/>
  <c r="Y49" i="67"/>
  <c r="S50" i="67"/>
  <c r="V50" i="67"/>
  <c r="Y50" i="67"/>
  <c r="H51" i="67"/>
  <c r="I51" i="67"/>
  <c r="J51" i="67"/>
  <c r="W51" i="67" s="1"/>
  <c r="S51" i="67"/>
  <c r="V51" i="67"/>
  <c r="Y51" i="67"/>
  <c r="H52" i="67"/>
  <c r="I52" i="67"/>
  <c r="J52" i="67"/>
  <c r="S52" i="67"/>
  <c r="V52" i="67"/>
  <c r="Y52" i="67"/>
  <c r="H53" i="67"/>
  <c r="I53" i="67"/>
  <c r="J53" i="67"/>
  <c r="S53" i="67"/>
  <c r="V53" i="67"/>
  <c r="Y53" i="67"/>
  <c r="H54" i="67"/>
  <c r="I54" i="67"/>
  <c r="X54" i="67" s="1"/>
  <c r="J54" i="67"/>
  <c r="W54" i="67" s="1"/>
  <c r="S54" i="67"/>
  <c r="V54" i="67"/>
  <c r="Y54" i="67"/>
  <c r="H55" i="67"/>
  <c r="I55" i="67"/>
  <c r="R55" i="67" s="1"/>
  <c r="J55" i="67"/>
  <c r="L55" i="67" s="1"/>
  <c r="S55" i="67"/>
  <c r="V55" i="67"/>
  <c r="Y55" i="67"/>
  <c r="L61" i="67"/>
  <c r="N61" i="67"/>
  <c r="P61" i="67"/>
  <c r="H62" i="67"/>
  <c r="L63" i="67"/>
  <c r="M26" i="68" s="1"/>
  <c r="AS21" i="4" s="1"/>
  <c r="N63" i="67"/>
  <c r="N26" i="68"/>
  <c r="AT21" i="4" s="1"/>
  <c r="P63" i="67"/>
  <c r="O26" i="68" s="1"/>
  <c r="AU21" i="4" s="1"/>
  <c r="V63" i="67"/>
  <c r="D68" i="67"/>
  <c r="G68" i="67"/>
  <c r="O2" i="68"/>
  <c r="F3" i="68"/>
  <c r="M6" i="68"/>
  <c r="AS5" i="4" s="1"/>
  <c r="N6" i="68"/>
  <c r="AT5" i="4" s="1"/>
  <c r="O6" i="68"/>
  <c r="N41" i="68"/>
  <c r="AT36" i="4" s="1"/>
  <c r="H2" i="85"/>
  <c r="G3" i="86"/>
  <c r="K9" i="85"/>
  <c r="L9" i="85"/>
  <c r="M9" i="85"/>
  <c r="N9" i="85" s="1"/>
  <c r="O9" i="85"/>
  <c r="P9" i="85" s="1"/>
  <c r="M11" i="85"/>
  <c r="K14" i="85"/>
  <c r="M14" i="85"/>
  <c r="O14" i="85"/>
  <c r="M17" i="85"/>
  <c r="O17" i="85"/>
  <c r="D19" i="85"/>
  <c r="H19" i="85"/>
  <c r="L19" i="85"/>
  <c r="N19" i="85"/>
  <c r="P19" i="85"/>
  <c r="D20" i="85"/>
  <c r="H20" i="85"/>
  <c r="L20" i="85"/>
  <c r="N20" i="85"/>
  <c r="P20" i="85"/>
  <c r="D21" i="85"/>
  <c r="H21" i="85"/>
  <c r="L21" i="85"/>
  <c r="N21" i="85"/>
  <c r="P21" i="85"/>
  <c r="D22" i="85"/>
  <c r="H22" i="85"/>
  <c r="L22" i="85"/>
  <c r="N22" i="85"/>
  <c r="P22" i="85"/>
  <c r="D23" i="85"/>
  <c r="H23" i="85"/>
  <c r="L23" i="85"/>
  <c r="N23" i="85"/>
  <c r="P23" i="85"/>
  <c r="D25" i="85"/>
  <c r="D26" i="85"/>
  <c r="L26" i="85"/>
  <c r="N26" i="85"/>
  <c r="P26" i="85"/>
  <c r="K33" i="85"/>
  <c r="S45" i="85"/>
  <c r="V45" i="85"/>
  <c r="Y45" i="85"/>
  <c r="S46" i="85"/>
  <c r="V46" i="85"/>
  <c r="Y46" i="85"/>
  <c r="S47" i="85"/>
  <c r="V47" i="85"/>
  <c r="Y47" i="85"/>
  <c r="S48" i="85"/>
  <c r="V48" i="85"/>
  <c r="Y48" i="85"/>
  <c r="S49" i="85"/>
  <c r="V49" i="85"/>
  <c r="Y49" i="85"/>
  <c r="S50" i="85"/>
  <c r="V50" i="85"/>
  <c r="Y50" i="85"/>
  <c r="H53" i="85"/>
  <c r="I53" i="85"/>
  <c r="U53" i="85" s="1"/>
  <c r="J53" i="85"/>
  <c r="N53" i="85" s="1"/>
  <c r="S53" i="85"/>
  <c r="V53" i="85"/>
  <c r="Y53" i="85"/>
  <c r="H54" i="85"/>
  <c r="I54" i="85"/>
  <c r="X54" i="85" s="1"/>
  <c r="J54" i="85"/>
  <c r="S54" i="85"/>
  <c r="V54" i="85"/>
  <c r="Y54" i="85"/>
  <c r="H55" i="85"/>
  <c r="I55" i="85"/>
  <c r="R55" i="85" s="1"/>
  <c r="J55" i="85"/>
  <c r="P55" i="85" s="1"/>
  <c r="S55" i="85"/>
  <c r="V55" i="85"/>
  <c r="Y55" i="85"/>
  <c r="L61" i="85"/>
  <c r="N61" i="85"/>
  <c r="P61" i="85"/>
  <c r="H62" i="85"/>
  <c r="L63" i="85"/>
  <c r="M26" i="86" s="1"/>
  <c r="AV21" i="4" s="1"/>
  <c r="N63" i="85"/>
  <c r="N26" i="86" s="1"/>
  <c r="P63" i="85"/>
  <c r="O26" i="86" s="1"/>
  <c r="AX21" i="4" s="1"/>
  <c r="V63" i="85"/>
  <c r="D68" i="85"/>
  <c r="G68" i="85"/>
  <c r="O2" i="86"/>
  <c r="F3" i="86"/>
  <c r="M6" i="86"/>
  <c r="M73" i="86" s="1"/>
  <c r="N6" i="86"/>
  <c r="AW5" i="4" s="1"/>
  <c r="O6" i="86"/>
  <c r="O73" i="86" s="1"/>
  <c r="C21" i="86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5" i="86" s="1"/>
  <c r="C36" i="86" s="1"/>
  <c r="C37" i="86" s="1"/>
  <c r="C38" i="86" s="1"/>
  <c r="C39" i="86" s="1"/>
  <c r="C40" i="86" s="1"/>
  <c r="C41" i="86" s="1"/>
  <c r="C42" i="86" s="1"/>
  <c r="C43" i="86" s="1"/>
  <c r="C45" i="86" s="1"/>
  <c r="C46" i="86" s="1"/>
  <c r="C47" i="86" s="1"/>
  <c r="C48" i="86" s="1"/>
  <c r="C49" i="86" s="1"/>
  <c r="AW36" i="4"/>
  <c r="H2" i="53"/>
  <c r="K9" i="53"/>
  <c r="M9" i="53"/>
  <c r="M36" i="53"/>
  <c r="O9" i="53"/>
  <c r="K14" i="53"/>
  <c r="M14" i="53"/>
  <c r="O14" i="53"/>
  <c r="J17" i="53"/>
  <c r="M17" i="53"/>
  <c r="O17" i="53"/>
  <c r="D19" i="53"/>
  <c r="H19" i="53"/>
  <c r="L19" i="53" s="1"/>
  <c r="N19" i="53"/>
  <c r="P19" i="53"/>
  <c r="D20" i="53"/>
  <c r="H20" i="53"/>
  <c r="L20" i="53" s="1"/>
  <c r="N20" i="53"/>
  <c r="P20" i="53"/>
  <c r="D21" i="53"/>
  <c r="H21" i="53"/>
  <c r="L21" i="53" s="1"/>
  <c r="N21" i="53"/>
  <c r="P21" i="53"/>
  <c r="D22" i="53"/>
  <c r="H22" i="53"/>
  <c r="L22" i="53" s="1"/>
  <c r="N22" i="53"/>
  <c r="P22" i="53"/>
  <c r="D23" i="53"/>
  <c r="H23" i="53"/>
  <c r="L23" i="53" s="1"/>
  <c r="N23" i="53"/>
  <c r="P23" i="53"/>
  <c r="D25" i="53"/>
  <c r="D26" i="53"/>
  <c r="L26" i="53"/>
  <c r="N26" i="53"/>
  <c r="P26" i="53"/>
  <c r="V45" i="53"/>
  <c r="Y45" i="53"/>
  <c r="S46" i="53"/>
  <c r="V46" i="53"/>
  <c r="Y46" i="53"/>
  <c r="S47" i="53"/>
  <c r="V47" i="53"/>
  <c r="Y47" i="53"/>
  <c r="S48" i="53"/>
  <c r="V48" i="53"/>
  <c r="Y48" i="53"/>
  <c r="S49" i="53"/>
  <c r="V49" i="53"/>
  <c r="Y49" i="53"/>
  <c r="S50" i="53"/>
  <c r="V50" i="53"/>
  <c r="Y50" i="53"/>
  <c r="S53" i="53"/>
  <c r="V53" i="53"/>
  <c r="Y53" i="53"/>
  <c r="S54" i="53"/>
  <c r="V54" i="53"/>
  <c r="Y54" i="53"/>
  <c r="S55" i="53"/>
  <c r="V55" i="53"/>
  <c r="Y55" i="53"/>
  <c r="H62" i="53"/>
  <c r="K62" i="53"/>
  <c r="M62" i="53"/>
  <c r="O62" i="53"/>
  <c r="L63" i="53"/>
  <c r="M26" i="54"/>
  <c r="W21" i="4" s="1"/>
  <c r="N63" i="53"/>
  <c r="N26" i="54" s="1"/>
  <c r="X21" i="4" s="1"/>
  <c r="P63" i="53"/>
  <c r="O26" i="54"/>
  <c r="Y21" i="4" s="1"/>
  <c r="V63" i="53"/>
  <c r="D68" i="53"/>
  <c r="G68" i="53"/>
  <c r="O2" i="54"/>
  <c r="F3" i="54"/>
  <c r="G3" i="54"/>
  <c r="M6" i="54"/>
  <c r="W5" i="4" s="1"/>
  <c r="N6" i="54"/>
  <c r="X5" i="4" s="1"/>
  <c r="O6" i="54"/>
  <c r="Y5" i="4" s="1"/>
  <c r="C20" i="54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5" i="54" s="1"/>
  <c r="C36" i="54" s="1"/>
  <c r="C37" i="54" s="1"/>
  <c r="C38" i="54" s="1"/>
  <c r="C39" i="54" s="1"/>
  <c r="C40" i="54" s="1"/>
  <c r="C41" i="54" s="1"/>
  <c r="C42" i="54" s="1"/>
  <c r="C43" i="54" s="1"/>
  <c r="C45" i="54" s="1"/>
  <c r="C46" i="54" s="1"/>
  <c r="C47" i="54" s="1"/>
  <c r="C48" i="54" s="1"/>
  <c r="C49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4" i="54" s="1"/>
  <c r="C65" i="54" s="1"/>
  <c r="C66" i="54" s="1"/>
  <c r="C67" i="54" s="1"/>
  <c r="N41" i="54"/>
  <c r="X36" i="4" s="1"/>
  <c r="H2" i="43"/>
  <c r="K9" i="43"/>
  <c r="L9" i="43" s="1"/>
  <c r="L10" i="43" s="1"/>
  <c r="M36" i="44" s="1"/>
  <c r="M9" i="43"/>
  <c r="O9" i="43"/>
  <c r="P9" i="43" s="1"/>
  <c r="K14" i="43"/>
  <c r="M14" i="43"/>
  <c r="O14" i="43"/>
  <c r="J17" i="43"/>
  <c r="M17" i="43"/>
  <c r="O17" i="43"/>
  <c r="D19" i="43"/>
  <c r="H19" i="43"/>
  <c r="L19" i="43"/>
  <c r="N19" i="43"/>
  <c r="P19" i="43"/>
  <c r="D21" i="43"/>
  <c r="H21" i="43"/>
  <c r="L21" i="43"/>
  <c r="N21" i="43"/>
  <c r="P21" i="43"/>
  <c r="D22" i="43"/>
  <c r="H22" i="43"/>
  <c r="L22" i="43"/>
  <c r="N22" i="43"/>
  <c r="P22" i="43"/>
  <c r="D23" i="43"/>
  <c r="H23" i="43"/>
  <c r="L23" i="43"/>
  <c r="N23" i="43"/>
  <c r="P23" i="43"/>
  <c r="D25" i="43"/>
  <c r="D26" i="43"/>
  <c r="L26" i="43"/>
  <c r="N26" i="43"/>
  <c r="P26" i="43"/>
  <c r="S45" i="43"/>
  <c r="V45" i="43"/>
  <c r="Y45" i="43"/>
  <c r="S46" i="43"/>
  <c r="V46" i="43"/>
  <c r="Y46" i="43"/>
  <c r="S47" i="43"/>
  <c r="V47" i="43"/>
  <c r="Y47" i="43"/>
  <c r="S48" i="43"/>
  <c r="V48" i="43"/>
  <c r="Y48" i="43"/>
  <c r="S49" i="43"/>
  <c r="V49" i="43"/>
  <c r="Y49" i="43"/>
  <c r="S50" i="43"/>
  <c r="V50" i="43"/>
  <c r="Y50" i="43"/>
  <c r="S53" i="43"/>
  <c r="V53" i="43"/>
  <c r="Y53" i="43"/>
  <c r="S54" i="43"/>
  <c r="V54" i="43"/>
  <c r="Y54" i="43"/>
  <c r="S55" i="43"/>
  <c r="V55" i="43"/>
  <c r="Y55" i="43"/>
  <c r="H62" i="43"/>
  <c r="K62" i="43"/>
  <c r="M62" i="43"/>
  <c r="O62" i="43"/>
  <c r="L63" i="43"/>
  <c r="M26" i="44" s="1"/>
  <c r="N63" i="43"/>
  <c r="N26" i="44"/>
  <c r="P63" i="43"/>
  <c r="V63" i="43"/>
  <c r="D68" i="43"/>
  <c r="G68" i="43"/>
  <c r="O2" i="44"/>
  <c r="F3" i="44"/>
  <c r="G3" i="44"/>
  <c r="M6" i="44"/>
  <c r="N6" i="44"/>
  <c r="O6" i="44"/>
  <c r="C20" i="44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5" i="44" s="1"/>
  <c r="C36" i="44" s="1"/>
  <c r="C37" i="44" s="1"/>
  <c r="C38" i="44" s="1"/>
  <c r="C39" i="44" s="1"/>
  <c r="C40" i="44" s="1"/>
  <c r="C41" i="44" s="1"/>
  <c r="C42" i="44" s="1"/>
  <c r="C43" i="44" s="1"/>
  <c r="C45" i="44" s="1"/>
  <c r="C46" i="44" s="1"/>
  <c r="C47" i="44" s="1"/>
  <c r="C48" i="44" s="1"/>
  <c r="C49" i="44" s="1"/>
  <c r="C51" i="44" s="1"/>
  <c r="C52" i="44" s="1"/>
  <c r="C53" i="44" s="1"/>
  <c r="C54" i="44" s="1"/>
  <c r="C55" i="44" s="1"/>
  <c r="C56" i="44" s="1"/>
  <c r="O26" i="44"/>
  <c r="N41" i="44"/>
  <c r="H2" i="109"/>
  <c r="K9" i="109"/>
  <c r="M9" i="109"/>
  <c r="O9" i="109"/>
  <c r="P9" i="109" s="1"/>
  <c r="K14" i="109"/>
  <c r="M14" i="109"/>
  <c r="O14" i="109"/>
  <c r="M17" i="109"/>
  <c r="O17" i="109"/>
  <c r="D19" i="109"/>
  <c r="H19" i="109"/>
  <c r="L19" i="109"/>
  <c r="N19" i="109"/>
  <c r="P19" i="109"/>
  <c r="D20" i="109"/>
  <c r="H20" i="109"/>
  <c r="L20" i="109"/>
  <c r="N20" i="109"/>
  <c r="P20" i="109"/>
  <c r="D21" i="109"/>
  <c r="H21" i="109"/>
  <c r="L21" i="109"/>
  <c r="N21" i="109"/>
  <c r="P21" i="109"/>
  <c r="D22" i="109"/>
  <c r="H22" i="109"/>
  <c r="L22" i="109"/>
  <c r="N22" i="109"/>
  <c r="P22" i="109"/>
  <c r="D23" i="109"/>
  <c r="H23" i="109"/>
  <c r="L23" i="109"/>
  <c r="N23" i="109"/>
  <c r="P23" i="109"/>
  <c r="D25" i="109"/>
  <c r="D26" i="109"/>
  <c r="L26" i="109"/>
  <c r="N26" i="109"/>
  <c r="P26" i="109"/>
  <c r="S45" i="109"/>
  <c r="V45" i="109"/>
  <c r="Y45" i="109"/>
  <c r="S46" i="109"/>
  <c r="V46" i="109"/>
  <c r="Y46" i="109"/>
  <c r="S47" i="109"/>
  <c r="V47" i="109"/>
  <c r="Y47" i="109"/>
  <c r="S48" i="109"/>
  <c r="V48" i="109"/>
  <c r="Y48" i="109"/>
  <c r="S49" i="109"/>
  <c r="V49" i="109"/>
  <c r="Y49" i="109"/>
  <c r="S50" i="109"/>
  <c r="V50" i="109"/>
  <c r="Y50" i="109"/>
  <c r="D53" i="109"/>
  <c r="H53" i="109"/>
  <c r="I53" i="109"/>
  <c r="R53" i="109" s="1"/>
  <c r="J53" i="109"/>
  <c r="S53" i="109"/>
  <c r="V53" i="109"/>
  <c r="Y53" i="109"/>
  <c r="D54" i="109"/>
  <c r="H54" i="109"/>
  <c r="I54" i="109"/>
  <c r="X54" i="109" s="1"/>
  <c r="J54" i="109"/>
  <c r="S54" i="109"/>
  <c r="V54" i="109"/>
  <c r="Y54" i="109"/>
  <c r="D55" i="109"/>
  <c r="H55" i="109"/>
  <c r="I55" i="109"/>
  <c r="J55" i="109"/>
  <c r="Z55" i="109" s="1"/>
  <c r="S55" i="109"/>
  <c r="V55" i="109"/>
  <c r="Y55" i="109"/>
  <c r="H62" i="109"/>
  <c r="L63" i="109"/>
  <c r="M26" i="110" s="1"/>
  <c r="BV21" i="4" s="1"/>
  <c r="N63" i="109"/>
  <c r="N26" i="110" s="1"/>
  <c r="BW21" i="4" s="1"/>
  <c r="P63" i="109"/>
  <c r="O26" i="110" s="1"/>
  <c r="BX21" i="4" s="1"/>
  <c r="V63" i="109"/>
  <c r="D68" i="109"/>
  <c r="O2" i="110"/>
  <c r="F3" i="110"/>
  <c r="G3" i="110"/>
  <c r="M6" i="110"/>
  <c r="N6" i="110"/>
  <c r="O6" i="110"/>
  <c r="BX5" i="4" s="1"/>
  <c r="C20" i="110"/>
  <c r="C21" i="110" s="1"/>
  <c r="C22" i="110" s="1"/>
  <c r="C23" i="110" s="1"/>
  <c r="C24" i="110" s="1"/>
  <c r="C25" i="110" s="1"/>
  <c r="C26" i="110" s="1"/>
  <c r="C27" i="110" s="1"/>
  <c r="C28" i="110" s="1"/>
  <c r="C29" i="110" s="1"/>
  <c r="C30" i="110" s="1"/>
  <c r="C31" i="110" s="1"/>
  <c r="C32" i="110" s="1"/>
  <c r="C33" i="110" s="1"/>
  <c r="C35" i="110" s="1"/>
  <c r="C36" i="110" s="1"/>
  <c r="C37" i="110" s="1"/>
  <c r="C38" i="110" s="1"/>
  <c r="C39" i="110" s="1"/>
  <c r="C40" i="110" s="1"/>
  <c r="C41" i="110" s="1"/>
  <c r="C42" i="110" s="1"/>
  <c r="C43" i="110" s="1"/>
  <c r="C45" i="110" s="1"/>
  <c r="C46" i="110" s="1"/>
  <c r="C47" i="110" s="1"/>
  <c r="C48" i="110" s="1"/>
  <c r="C49" i="110" s="1"/>
  <c r="C51" i="110" s="1"/>
  <c r="C52" i="110" s="1"/>
  <c r="C53" i="110" s="1"/>
  <c r="C54" i="110" s="1"/>
  <c r="C55" i="110" s="1"/>
  <c r="C56" i="110" s="1"/>
  <c r="BW36" i="4"/>
  <c r="D4" i="13"/>
  <c r="L4" i="13"/>
  <c r="K13" i="13"/>
  <c r="K22" i="13"/>
  <c r="K32" i="13"/>
  <c r="M5" i="58"/>
  <c r="N5" i="59" s="1"/>
  <c r="N5" i="58"/>
  <c r="O5" i="59" s="1"/>
  <c r="O5" i="58"/>
  <c r="P5" i="59" s="1"/>
  <c r="P5" i="58"/>
  <c r="Q5" i="59" s="1"/>
  <c r="Q5" i="58"/>
  <c r="R5" i="59" s="1"/>
  <c r="M6" i="58"/>
  <c r="N6" i="58"/>
  <c r="N14" i="58"/>
  <c r="O6" i="58"/>
  <c r="P6" i="59"/>
  <c r="P6" i="58"/>
  <c r="Q6" i="58"/>
  <c r="Q14" i="58" s="1"/>
  <c r="R7" i="59" s="1"/>
  <c r="R7" i="58"/>
  <c r="I7" i="58" s="1"/>
  <c r="M13" i="58"/>
  <c r="N13" i="58"/>
  <c r="O13" i="58"/>
  <c r="P13" i="58"/>
  <c r="Q13" i="58"/>
  <c r="O15" i="58"/>
  <c r="P8" i="59" s="1"/>
  <c r="P29" i="59" s="1"/>
  <c r="P15" i="58"/>
  <c r="Q8" i="59" s="1"/>
  <c r="Q29" i="59" s="1"/>
  <c r="Q15" i="58"/>
  <c r="Q49" i="58"/>
  <c r="O18" i="58"/>
  <c r="P10" i="59" s="1"/>
  <c r="P56" i="59" s="1"/>
  <c r="P18" i="58"/>
  <c r="Q10" i="59" s="1"/>
  <c r="Q56" i="59" s="1"/>
  <c r="Q18" i="58"/>
  <c r="R10" i="59" s="1"/>
  <c r="R56" i="59" s="1"/>
  <c r="O19" i="58"/>
  <c r="P11" i="59" s="1"/>
  <c r="P58" i="59"/>
  <c r="P19" i="58"/>
  <c r="Q11" i="59" s="1"/>
  <c r="Q58" i="59" s="1"/>
  <c r="Q19" i="58"/>
  <c r="R11" i="59" s="1"/>
  <c r="R58" i="59" s="1"/>
  <c r="M21" i="58"/>
  <c r="N21" i="58"/>
  <c r="O21" i="58"/>
  <c r="P21" i="58"/>
  <c r="Q21" i="58"/>
  <c r="J24" i="58"/>
  <c r="D29" i="58"/>
  <c r="D31" i="58"/>
  <c r="J46" i="58"/>
  <c r="T46" i="58"/>
  <c r="U46" i="58"/>
  <c r="V46" i="58"/>
  <c r="W46" i="58"/>
  <c r="X46" i="58"/>
  <c r="Z46" i="58"/>
  <c r="AA46" i="58"/>
  <c r="AB46" i="58"/>
  <c r="AC46" i="58"/>
  <c r="AD46" i="58"/>
  <c r="J47" i="58"/>
  <c r="V47" i="58"/>
  <c r="W47" i="58"/>
  <c r="X47" i="58"/>
  <c r="AB47" i="58"/>
  <c r="AC47" i="58"/>
  <c r="AD47" i="58"/>
  <c r="J48" i="58"/>
  <c r="V48" i="58"/>
  <c r="W48" i="58"/>
  <c r="X48" i="58"/>
  <c r="AB48" i="58"/>
  <c r="AC48" i="58"/>
  <c r="AD48" i="58"/>
  <c r="V49" i="58"/>
  <c r="W49" i="58"/>
  <c r="AB49" i="58"/>
  <c r="AC49" i="58"/>
  <c r="J50" i="58"/>
  <c r="V50" i="58"/>
  <c r="W50" i="58"/>
  <c r="X50" i="58"/>
  <c r="AB50" i="58"/>
  <c r="AC50" i="58"/>
  <c r="AD50" i="58"/>
  <c r="J51" i="58"/>
  <c r="T51" i="58"/>
  <c r="U51" i="58"/>
  <c r="V51" i="58"/>
  <c r="W51" i="58"/>
  <c r="X51" i="58"/>
  <c r="Z51" i="58"/>
  <c r="AA51" i="58"/>
  <c r="AB51" i="58"/>
  <c r="AC51" i="58"/>
  <c r="AD51" i="58"/>
  <c r="J52" i="58"/>
  <c r="T52" i="58"/>
  <c r="U52" i="58"/>
  <c r="V52" i="58"/>
  <c r="W52" i="58"/>
  <c r="X52" i="58"/>
  <c r="Z52" i="58"/>
  <c r="AA52" i="58"/>
  <c r="AB52" i="58"/>
  <c r="AC52" i="58"/>
  <c r="AD52" i="58"/>
  <c r="J53" i="58"/>
  <c r="T53" i="58"/>
  <c r="U53" i="58"/>
  <c r="V53" i="58"/>
  <c r="W53" i="58"/>
  <c r="X53" i="58"/>
  <c r="Z53" i="58"/>
  <c r="AA53" i="58"/>
  <c r="AB53" i="58"/>
  <c r="AC53" i="58"/>
  <c r="AD53" i="58"/>
  <c r="J54" i="58"/>
  <c r="T54" i="58"/>
  <c r="U54" i="58"/>
  <c r="V54" i="58"/>
  <c r="W54" i="58"/>
  <c r="X54" i="58"/>
  <c r="Z54" i="58"/>
  <c r="AA54" i="58"/>
  <c r="AB54" i="58"/>
  <c r="AC54" i="58"/>
  <c r="AD54" i="58"/>
  <c r="J55" i="58"/>
  <c r="T55" i="58"/>
  <c r="U55" i="58"/>
  <c r="V55" i="58"/>
  <c r="W55" i="58"/>
  <c r="X55" i="58"/>
  <c r="Z55" i="58"/>
  <c r="AA55" i="58"/>
  <c r="AB55" i="58"/>
  <c r="AC55" i="58"/>
  <c r="AD55" i="58"/>
  <c r="J56" i="58"/>
  <c r="T56" i="58"/>
  <c r="U56" i="58"/>
  <c r="V56" i="58"/>
  <c r="W56" i="58"/>
  <c r="X56" i="58"/>
  <c r="Z56" i="58"/>
  <c r="AA56" i="58"/>
  <c r="AB56" i="58"/>
  <c r="AC56" i="58"/>
  <c r="AD56" i="58"/>
  <c r="J61" i="58"/>
  <c r="T61" i="58"/>
  <c r="U61" i="58"/>
  <c r="V61" i="58"/>
  <c r="W61" i="58"/>
  <c r="X61" i="58"/>
  <c r="T62" i="58"/>
  <c r="U62" i="58"/>
  <c r="V62" i="58"/>
  <c r="W62" i="58"/>
  <c r="X62" i="58"/>
  <c r="G63" i="58"/>
  <c r="J63" i="58"/>
  <c r="K63" i="58"/>
  <c r="T63" i="58"/>
  <c r="U63" i="58"/>
  <c r="V63" i="58"/>
  <c r="W63" i="58"/>
  <c r="X63" i="58"/>
  <c r="M64" i="58"/>
  <c r="N26" i="59" s="1"/>
  <c r="N64" i="58"/>
  <c r="O26" i="59" s="1"/>
  <c r="O64" i="58"/>
  <c r="P26" i="59" s="1"/>
  <c r="P64" i="58"/>
  <c r="Q26" i="59" s="1"/>
  <c r="Q64" i="58"/>
  <c r="R26" i="59" s="1"/>
  <c r="K66" i="58"/>
  <c r="L64" i="58" s="1"/>
  <c r="M26" i="59" s="1"/>
  <c r="R21" i="4" s="1"/>
  <c r="D69" i="58"/>
  <c r="H69" i="58"/>
  <c r="D70" i="58"/>
  <c r="H70" i="58"/>
  <c r="O70" i="58"/>
  <c r="P70" i="58"/>
  <c r="Q70" i="58"/>
  <c r="R2" i="59"/>
  <c r="F3" i="59"/>
  <c r="I3" i="59"/>
  <c r="M6" i="59"/>
  <c r="R5" i="4" s="1"/>
  <c r="R36" i="4"/>
  <c r="M5" i="31"/>
  <c r="N5" i="32"/>
  <c r="N5" i="31"/>
  <c r="O5" i="32" s="1"/>
  <c r="O5" i="31"/>
  <c r="P5" i="32"/>
  <c r="P5" i="31"/>
  <c r="Q5" i="32"/>
  <c r="Q5" i="31"/>
  <c r="R5" i="32" s="1"/>
  <c r="M6" i="31"/>
  <c r="N6" i="31"/>
  <c r="O6" i="31"/>
  <c r="O14" i="31" s="1"/>
  <c r="P6" i="31"/>
  <c r="Q6" i="31"/>
  <c r="Q14" i="31" s="1"/>
  <c r="R7" i="32" s="1"/>
  <c r="R7" i="31"/>
  <c r="I7" i="31"/>
  <c r="M13" i="31"/>
  <c r="N13" i="31"/>
  <c r="O13" i="31"/>
  <c r="P13" i="31"/>
  <c r="Q13" i="31"/>
  <c r="Q15" i="31"/>
  <c r="P37" i="32"/>
  <c r="Q37" i="32"/>
  <c r="Q18" i="31"/>
  <c r="R10" i="32" s="1"/>
  <c r="R56" i="32" s="1"/>
  <c r="Q19" i="31"/>
  <c r="R11" i="32" s="1"/>
  <c r="R58" i="32" s="1"/>
  <c r="M21" i="31"/>
  <c r="N21" i="31"/>
  <c r="O21" i="31"/>
  <c r="P21" i="31"/>
  <c r="Q21" i="31"/>
  <c r="J24" i="31"/>
  <c r="D29" i="31"/>
  <c r="D31" i="31"/>
  <c r="J46" i="31"/>
  <c r="X46" i="31"/>
  <c r="AD46" i="31"/>
  <c r="J47" i="31"/>
  <c r="X47" i="31"/>
  <c r="AD47" i="31"/>
  <c r="J48" i="31"/>
  <c r="X48" i="31"/>
  <c r="AD48" i="31"/>
  <c r="J50" i="31"/>
  <c r="X50" i="31"/>
  <c r="AD50" i="31"/>
  <c r="J51" i="31"/>
  <c r="X51" i="31"/>
  <c r="AD51" i="31"/>
  <c r="J52" i="31"/>
  <c r="T52" i="31"/>
  <c r="U52" i="31"/>
  <c r="V52" i="31"/>
  <c r="W52" i="31"/>
  <c r="X52" i="31"/>
  <c r="Z52" i="31"/>
  <c r="AA52" i="31"/>
  <c r="AB52" i="31"/>
  <c r="AC52" i="31"/>
  <c r="AD52" i="31"/>
  <c r="J53" i="31"/>
  <c r="T53" i="31"/>
  <c r="U53" i="31"/>
  <c r="V53" i="31"/>
  <c r="W53" i="31"/>
  <c r="X53" i="31"/>
  <c r="Z53" i="31"/>
  <c r="AA53" i="31"/>
  <c r="AB53" i="31"/>
  <c r="AC53" i="31"/>
  <c r="AD53" i="31"/>
  <c r="J54" i="31"/>
  <c r="T54" i="31"/>
  <c r="U54" i="31"/>
  <c r="V54" i="31"/>
  <c r="W54" i="31"/>
  <c r="X54" i="31"/>
  <c r="Z54" i="31"/>
  <c r="AA54" i="31"/>
  <c r="AB54" i="31"/>
  <c r="AC54" i="31"/>
  <c r="AD54" i="31"/>
  <c r="J55" i="31"/>
  <c r="T55" i="31"/>
  <c r="U55" i="31"/>
  <c r="V55" i="31"/>
  <c r="W55" i="31"/>
  <c r="X55" i="31"/>
  <c r="Z55" i="31"/>
  <c r="AA55" i="31"/>
  <c r="AB55" i="31"/>
  <c r="AC55" i="31"/>
  <c r="AD55" i="31"/>
  <c r="J56" i="31"/>
  <c r="T56" i="31"/>
  <c r="U56" i="31"/>
  <c r="V56" i="31"/>
  <c r="W56" i="31"/>
  <c r="X56" i="31"/>
  <c r="Z56" i="31"/>
  <c r="AA56" i="31"/>
  <c r="AB56" i="31"/>
  <c r="AC56" i="31"/>
  <c r="AD56" i="31"/>
  <c r="J61" i="31"/>
  <c r="X61" i="31"/>
  <c r="T62" i="31"/>
  <c r="U62" i="31"/>
  <c r="V62" i="31"/>
  <c r="W62" i="31"/>
  <c r="X62" i="31"/>
  <c r="G63" i="31"/>
  <c r="J63" i="31"/>
  <c r="K63" i="31"/>
  <c r="T63" i="31"/>
  <c r="U63" i="31"/>
  <c r="V63" i="31"/>
  <c r="W63" i="31"/>
  <c r="X63" i="31"/>
  <c r="M64" i="31"/>
  <c r="N26" i="32" s="1"/>
  <c r="N64" i="31"/>
  <c r="O26" i="32" s="1"/>
  <c r="O64" i="31"/>
  <c r="P26" i="32" s="1"/>
  <c r="P64" i="31"/>
  <c r="Q26" i="32" s="1"/>
  <c r="Q64" i="31"/>
  <c r="R26" i="32" s="1"/>
  <c r="K66" i="31"/>
  <c r="L64" i="31" s="1"/>
  <c r="M26" i="32"/>
  <c r="S21" i="4" s="1"/>
  <c r="D69" i="31"/>
  <c r="H69" i="31"/>
  <c r="D70" i="31"/>
  <c r="H70" i="31"/>
  <c r="Q70" i="31"/>
  <c r="R2" i="32"/>
  <c r="F3" i="32"/>
  <c r="I3" i="32"/>
  <c r="M6" i="32"/>
  <c r="M11" i="32"/>
  <c r="M58" i="32" s="1"/>
  <c r="N11" i="32"/>
  <c r="N58" i="32" s="1"/>
  <c r="O11" i="32"/>
  <c r="O58" i="32" s="1"/>
  <c r="P11" i="32"/>
  <c r="P58" i="32" s="1"/>
  <c r="S36" i="4"/>
  <c r="H2" i="147"/>
  <c r="K9" i="147"/>
  <c r="M7" i="148" s="1"/>
  <c r="M9" i="147"/>
  <c r="M33" i="147" s="1"/>
  <c r="O9" i="147"/>
  <c r="L10" i="147"/>
  <c r="M36" i="148" s="1"/>
  <c r="N10" i="147"/>
  <c r="N36" i="148" s="1"/>
  <c r="P10" i="147"/>
  <c r="O36" i="148" s="1"/>
  <c r="K14" i="147"/>
  <c r="M14" i="147"/>
  <c r="O14" i="147"/>
  <c r="M17" i="147"/>
  <c r="O17" i="147"/>
  <c r="D19" i="147"/>
  <c r="H19" i="147"/>
  <c r="L19" i="147"/>
  <c r="N19" i="147"/>
  <c r="P19" i="147"/>
  <c r="D20" i="147"/>
  <c r="H20" i="147"/>
  <c r="L20" i="147"/>
  <c r="N20" i="147"/>
  <c r="P20" i="147"/>
  <c r="D21" i="147"/>
  <c r="H21" i="147"/>
  <c r="L21" i="147"/>
  <c r="N21" i="147"/>
  <c r="P21" i="147"/>
  <c r="D22" i="147"/>
  <c r="H22" i="147"/>
  <c r="L22" i="147"/>
  <c r="N22" i="147"/>
  <c r="P22" i="147"/>
  <c r="D23" i="147"/>
  <c r="H23" i="147"/>
  <c r="L23" i="147"/>
  <c r="N23" i="147"/>
  <c r="P23" i="147"/>
  <c r="D25" i="147"/>
  <c r="D26" i="147"/>
  <c r="L26" i="147"/>
  <c r="N26" i="147"/>
  <c r="P26" i="147"/>
  <c r="K34" i="147"/>
  <c r="S45" i="147"/>
  <c r="V45" i="147"/>
  <c r="Y45" i="147"/>
  <c r="S46" i="147"/>
  <c r="V46" i="147"/>
  <c r="Y46" i="147"/>
  <c r="S47" i="147"/>
  <c r="V47" i="147"/>
  <c r="Y47" i="147"/>
  <c r="S48" i="147"/>
  <c r="V48" i="147"/>
  <c r="Y48" i="147"/>
  <c r="S49" i="147"/>
  <c r="V49" i="147"/>
  <c r="Y49" i="147"/>
  <c r="H50" i="147"/>
  <c r="I50" i="147"/>
  <c r="X50" i="147" s="1"/>
  <c r="J50" i="147"/>
  <c r="S50" i="147"/>
  <c r="V50" i="147"/>
  <c r="Y50" i="147"/>
  <c r="H51" i="147"/>
  <c r="I51" i="147"/>
  <c r="J51" i="147"/>
  <c r="P51" i="147" s="1"/>
  <c r="S51" i="147"/>
  <c r="V51" i="147"/>
  <c r="Y51" i="147"/>
  <c r="H52" i="147"/>
  <c r="I52" i="147"/>
  <c r="J52" i="147"/>
  <c r="S52" i="147"/>
  <c r="V52" i="147"/>
  <c r="Y52" i="147"/>
  <c r="D53" i="147"/>
  <c r="H53" i="147"/>
  <c r="I53" i="147"/>
  <c r="J53" i="147"/>
  <c r="Z53" i="147" s="1"/>
  <c r="S53" i="147"/>
  <c r="V53" i="147"/>
  <c r="Y53" i="147"/>
  <c r="D54" i="147"/>
  <c r="H54" i="147"/>
  <c r="I54" i="147"/>
  <c r="J54" i="147"/>
  <c r="N54" i="147" s="1"/>
  <c r="S54" i="147"/>
  <c r="V54" i="147"/>
  <c r="Y54" i="147"/>
  <c r="D55" i="147"/>
  <c r="H55" i="147"/>
  <c r="I55" i="147"/>
  <c r="J55" i="147"/>
  <c r="P55" i="147" s="1"/>
  <c r="S55" i="147"/>
  <c r="V55" i="147"/>
  <c r="Y55" i="147"/>
  <c r="H62" i="147"/>
  <c r="L63" i="147"/>
  <c r="M26" i="148" s="1"/>
  <c r="N63" i="147"/>
  <c r="N26" i="148" s="1"/>
  <c r="P63" i="147"/>
  <c r="O26" i="148"/>
  <c r="V63" i="147"/>
  <c r="D68" i="147"/>
  <c r="N68" i="147"/>
  <c r="N67" i="147" s="1"/>
  <c r="N23" i="148" s="1"/>
  <c r="O2" i="148"/>
  <c r="F3" i="148"/>
  <c r="G3" i="148"/>
  <c r="M6" i="148"/>
  <c r="N6" i="148"/>
  <c r="O6" i="148"/>
  <c r="K19" i="148"/>
  <c r="N41" i="148"/>
  <c r="H2" i="107"/>
  <c r="K9" i="107"/>
  <c r="L9" i="107"/>
  <c r="M9" i="107"/>
  <c r="N9" i="107"/>
  <c r="O9" i="107"/>
  <c r="P9" i="107"/>
  <c r="P10" i="107" s="1"/>
  <c r="O36" i="108" s="1"/>
  <c r="K14" i="107"/>
  <c r="M14" i="107"/>
  <c r="O14" i="107"/>
  <c r="M17" i="107"/>
  <c r="O17" i="107"/>
  <c r="D19" i="107"/>
  <c r="H19" i="107"/>
  <c r="L19" i="107"/>
  <c r="N19" i="107"/>
  <c r="P19" i="107"/>
  <c r="D20" i="107"/>
  <c r="H20" i="107"/>
  <c r="L20" i="107"/>
  <c r="N20" i="107"/>
  <c r="P20" i="107"/>
  <c r="D21" i="107"/>
  <c r="H21" i="107"/>
  <c r="L21" i="107"/>
  <c r="N21" i="107"/>
  <c r="P21" i="107"/>
  <c r="D22" i="107"/>
  <c r="H22" i="107"/>
  <c r="L22" i="107"/>
  <c r="N22" i="107"/>
  <c r="P22" i="107"/>
  <c r="D23" i="107"/>
  <c r="H23" i="107"/>
  <c r="L23" i="107"/>
  <c r="N23" i="107"/>
  <c r="P23" i="107"/>
  <c r="D25" i="107"/>
  <c r="D26" i="107"/>
  <c r="L26" i="107"/>
  <c r="N26" i="107"/>
  <c r="P26" i="107"/>
  <c r="K34" i="107"/>
  <c r="S45" i="107"/>
  <c r="V45" i="107"/>
  <c r="Y45" i="107"/>
  <c r="S46" i="107"/>
  <c r="V46" i="107"/>
  <c r="Y46" i="107"/>
  <c r="S47" i="107"/>
  <c r="V47" i="107"/>
  <c r="Y47" i="107"/>
  <c r="S48" i="107"/>
  <c r="V48" i="107"/>
  <c r="Y48" i="107"/>
  <c r="S49" i="107"/>
  <c r="V49" i="107"/>
  <c r="Y49" i="107"/>
  <c r="H52" i="107"/>
  <c r="I52" i="107"/>
  <c r="U52" i="107" s="1"/>
  <c r="J52" i="107"/>
  <c r="L52" i="107" s="1"/>
  <c r="S52" i="107"/>
  <c r="V52" i="107"/>
  <c r="Y52" i="107"/>
  <c r="D53" i="107"/>
  <c r="H53" i="107"/>
  <c r="I53" i="107"/>
  <c r="R53" i="107" s="1"/>
  <c r="J53" i="107"/>
  <c r="S53" i="107"/>
  <c r="V53" i="107"/>
  <c r="Y53" i="107"/>
  <c r="D54" i="107"/>
  <c r="H54" i="107"/>
  <c r="I54" i="107"/>
  <c r="U54" i="107" s="1"/>
  <c r="J54" i="107"/>
  <c r="Z54" i="107" s="1"/>
  <c r="S54" i="107"/>
  <c r="V54" i="107"/>
  <c r="Y54" i="107"/>
  <c r="D55" i="107"/>
  <c r="H55" i="107"/>
  <c r="I55" i="107"/>
  <c r="J55" i="107"/>
  <c r="P55" i="107" s="1"/>
  <c r="S55" i="107"/>
  <c r="V55" i="107"/>
  <c r="Y55" i="107"/>
  <c r="H62" i="107"/>
  <c r="L63" i="107"/>
  <c r="M26" i="108" s="1"/>
  <c r="BS21" i="4" s="1"/>
  <c r="N63" i="107"/>
  <c r="N26" i="108" s="1"/>
  <c r="BT21" i="4"/>
  <c r="P63" i="107"/>
  <c r="O26" i="108" s="1"/>
  <c r="BU21" i="4" s="1"/>
  <c r="V63" i="107"/>
  <c r="D68" i="107"/>
  <c r="O2" i="108"/>
  <c r="F3" i="108"/>
  <c r="G3" i="108"/>
  <c r="M6" i="108"/>
  <c r="BS5" i="4"/>
  <c r="N6" i="108"/>
  <c r="BT5" i="4"/>
  <c r="O6" i="108"/>
  <c r="BU5" i="4"/>
  <c r="K19" i="108"/>
  <c r="N41" i="108"/>
  <c r="BT36" i="4" s="1"/>
  <c r="H2" i="199"/>
  <c r="K9" i="199"/>
  <c r="M9" i="199"/>
  <c r="O9" i="199"/>
  <c r="P9" i="199" s="1"/>
  <c r="K14" i="199"/>
  <c r="M14" i="199"/>
  <c r="O14" i="199"/>
  <c r="M17" i="199"/>
  <c r="O17" i="199"/>
  <c r="D19" i="199"/>
  <c r="H19" i="199"/>
  <c r="L19" i="199"/>
  <c r="N19" i="199"/>
  <c r="P19" i="199"/>
  <c r="D20" i="199"/>
  <c r="H20" i="199"/>
  <c r="L20" i="199"/>
  <c r="N20" i="199"/>
  <c r="P20" i="199"/>
  <c r="D21" i="199"/>
  <c r="H21" i="199"/>
  <c r="L21" i="199"/>
  <c r="N21" i="199"/>
  <c r="P21" i="199"/>
  <c r="D22" i="199"/>
  <c r="H22" i="199"/>
  <c r="L22" i="199"/>
  <c r="N22" i="199"/>
  <c r="P22" i="199"/>
  <c r="D23" i="199"/>
  <c r="H23" i="199"/>
  <c r="L23" i="199"/>
  <c r="N23" i="199"/>
  <c r="P23" i="199"/>
  <c r="D25" i="199"/>
  <c r="D26" i="199"/>
  <c r="L26" i="199"/>
  <c r="N26" i="199"/>
  <c r="P26" i="199"/>
  <c r="O36" i="199"/>
  <c r="S45" i="199"/>
  <c r="V45" i="199"/>
  <c r="Y45" i="199"/>
  <c r="S46" i="199"/>
  <c r="V46" i="199"/>
  <c r="Y46" i="199"/>
  <c r="S47" i="199"/>
  <c r="V47" i="199"/>
  <c r="Y47" i="199"/>
  <c r="S48" i="199"/>
  <c r="V48" i="199"/>
  <c r="Y48" i="199"/>
  <c r="S49" i="199"/>
  <c r="V49" i="199"/>
  <c r="Y49" i="199"/>
  <c r="S50" i="199"/>
  <c r="V50" i="199"/>
  <c r="Y50" i="199"/>
  <c r="S51" i="199"/>
  <c r="V51" i="199"/>
  <c r="Y51" i="199"/>
  <c r="S52" i="199"/>
  <c r="V52" i="199"/>
  <c r="Y52" i="199"/>
  <c r="K53" i="199"/>
  <c r="S53" i="199" s="1"/>
  <c r="M53" i="199"/>
  <c r="O53" i="199"/>
  <c r="V53" i="199"/>
  <c r="S54" i="199"/>
  <c r="V54" i="199"/>
  <c r="Y54" i="199"/>
  <c r="S55" i="199"/>
  <c r="V55" i="199"/>
  <c r="Y55" i="199"/>
  <c r="H62" i="199"/>
  <c r="L63" i="199"/>
  <c r="M26" i="200" s="1"/>
  <c r="N63" i="199"/>
  <c r="P63" i="199"/>
  <c r="O26" i="200" s="1"/>
  <c r="V63" i="199"/>
  <c r="D68" i="199"/>
  <c r="G68" i="199"/>
  <c r="O2" i="200"/>
  <c r="F3" i="200"/>
  <c r="G3" i="200"/>
  <c r="M6" i="200"/>
  <c r="M73" i="200" s="1"/>
  <c r="N6" i="200"/>
  <c r="N73" i="200" s="1"/>
  <c r="O6" i="200"/>
  <c r="O73" i="200" s="1"/>
  <c r="N26" i="200"/>
  <c r="N41" i="200"/>
  <c r="H2" i="197"/>
  <c r="K9" i="197"/>
  <c r="M9" i="197"/>
  <c r="N9" i="197" s="1"/>
  <c r="O9" i="197"/>
  <c r="P9" i="197" s="1"/>
  <c r="O11" i="197"/>
  <c r="O9" i="198" s="1"/>
  <c r="O74" i="198" s="1"/>
  <c r="K14" i="197"/>
  <c r="M14" i="197"/>
  <c r="O14" i="197"/>
  <c r="M17" i="197"/>
  <c r="O17" i="197"/>
  <c r="D19" i="197"/>
  <c r="H19" i="197"/>
  <c r="L19" i="197"/>
  <c r="N19" i="197"/>
  <c r="P19" i="197"/>
  <c r="D20" i="197"/>
  <c r="H20" i="197"/>
  <c r="L20" i="197"/>
  <c r="N20" i="197"/>
  <c r="P20" i="197"/>
  <c r="D21" i="197"/>
  <c r="H21" i="197"/>
  <c r="L21" i="197"/>
  <c r="N21" i="197"/>
  <c r="P21" i="197"/>
  <c r="D22" i="197"/>
  <c r="H22" i="197"/>
  <c r="L22" i="197"/>
  <c r="N22" i="197"/>
  <c r="P22" i="197"/>
  <c r="D23" i="197"/>
  <c r="H23" i="197"/>
  <c r="L23" i="197"/>
  <c r="N23" i="197"/>
  <c r="P23" i="197"/>
  <c r="D25" i="197"/>
  <c r="D26" i="197"/>
  <c r="L26" i="197"/>
  <c r="N26" i="197"/>
  <c r="P26" i="197"/>
  <c r="S45" i="197"/>
  <c r="V45" i="197"/>
  <c r="Y45" i="197"/>
  <c r="S46" i="197"/>
  <c r="V46" i="197"/>
  <c r="Y46" i="197"/>
  <c r="S47" i="197"/>
  <c r="V47" i="197"/>
  <c r="Y47" i="197"/>
  <c r="S48" i="197"/>
  <c r="V48" i="197"/>
  <c r="Y48" i="197"/>
  <c r="S49" i="197"/>
  <c r="V49" i="197"/>
  <c r="Y49" i="197"/>
  <c r="S50" i="197"/>
  <c r="V50" i="197"/>
  <c r="Y50" i="197"/>
  <c r="S51" i="197"/>
  <c r="V51" i="197"/>
  <c r="Y51" i="197"/>
  <c r="H54" i="197"/>
  <c r="I54" i="197"/>
  <c r="J54" i="197"/>
  <c r="Z54" i="197" s="1"/>
  <c r="S54" i="197"/>
  <c r="V54" i="197"/>
  <c r="Y54" i="197"/>
  <c r="H55" i="197"/>
  <c r="I55" i="197"/>
  <c r="X55" i="197" s="1"/>
  <c r="J55" i="197"/>
  <c r="S55" i="197"/>
  <c r="V55" i="197"/>
  <c r="Y55" i="197"/>
  <c r="H62" i="197"/>
  <c r="L63" i="197"/>
  <c r="M26" i="198" s="1"/>
  <c r="N63" i="197"/>
  <c r="N26" i="198" s="1"/>
  <c r="P63" i="197"/>
  <c r="O26" i="198" s="1"/>
  <c r="V63" i="197"/>
  <c r="D68" i="197"/>
  <c r="G68" i="197"/>
  <c r="O2" i="198"/>
  <c r="F3" i="198"/>
  <c r="G3" i="198"/>
  <c r="M6" i="198"/>
  <c r="M73" i="198" s="1"/>
  <c r="N6" i="198"/>
  <c r="N73" i="198" s="1"/>
  <c r="O6" i="198"/>
  <c r="O73" i="198" s="1"/>
  <c r="C20" i="198"/>
  <c r="C21" i="198" s="1"/>
  <c r="C22" i="198" s="1"/>
  <c r="C23" i="198" s="1"/>
  <c r="C24" i="198" s="1"/>
  <c r="C25" i="198" s="1"/>
  <c r="C26" i="198" s="1"/>
  <c r="C27" i="198" s="1"/>
  <c r="C28" i="198" s="1"/>
  <c r="C29" i="198" s="1"/>
  <c r="C30" i="198" s="1"/>
  <c r="C31" i="198" s="1"/>
  <c r="C32" i="198" s="1"/>
  <c r="C33" i="198" s="1"/>
  <c r="C35" i="198" s="1"/>
  <c r="C36" i="198" s="1"/>
  <c r="C37" i="198" s="1"/>
  <c r="C38" i="198" s="1"/>
  <c r="C39" i="198" s="1"/>
  <c r="C40" i="198" s="1"/>
  <c r="C41" i="198" s="1"/>
  <c r="C42" i="198" s="1"/>
  <c r="C43" i="198" s="1"/>
  <c r="C45" i="198" s="1"/>
  <c r="C46" i="198" s="1"/>
  <c r="C47" i="198" s="1"/>
  <c r="C48" i="198" s="1"/>
  <c r="C49" i="198" s="1"/>
  <c r="C51" i="198" s="1"/>
  <c r="C52" i="198" s="1"/>
  <c r="C53" i="198" s="1"/>
  <c r="C54" i="198" s="1"/>
  <c r="C55" i="198" s="1"/>
  <c r="C56" i="198" s="1"/>
  <c r="N41" i="198"/>
  <c r="H2" i="201"/>
  <c r="K9" i="201"/>
  <c r="L9" i="201"/>
  <c r="M9" i="201"/>
  <c r="N9" i="201"/>
  <c r="O9" i="201"/>
  <c r="O11" i="201"/>
  <c r="O16" i="201" s="1"/>
  <c r="O13" i="202" s="1"/>
  <c r="K14" i="201"/>
  <c r="M14" i="201"/>
  <c r="O14" i="201"/>
  <c r="M17" i="201"/>
  <c r="O17" i="201"/>
  <c r="D19" i="201"/>
  <c r="H19" i="201"/>
  <c r="L19" i="201"/>
  <c r="N19" i="201"/>
  <c r="P19" i="201"/>
  <c r="D20" i="201"/>
  <c r="H20" i="201"/>
  <c r="L20" i="201"/>
  <c r="N20" i="201"/>
  <c r="P20" i="201"/>
  <c r="D21" i="201"/>
  <c r="H21" i="201"/>
  <c r="L21" i="201"/>
  <c r="N21" i="201"/>
  <c r="P21" i="201"/>
  <c r="D22" i="201"/>
  <c r="H22" i="201"/>
  <c r="L22" i="201"/>
  <c r="N22" i="201"/>
  <c r="P22" i="201"/>
  <c r="D23" i="201"/>
  <c r="H23" i="201"/>
  <c r="L23" i="201"/>
  <c r="N23" i="201"/>
  <c r="P23" i="201"/>
  <c r="D25" i="201"/>
  <c r="D26" i="201"/>
  <c r="L26" i="201"/>
  <c r="N26" i="201"/>
  <c r="P26" i="201"/>
  <c r="S45" i="201"/>
  <c r="V45" i="201"/>
  <c r="Y45" i="201"/>
  <c r="S46" i="201"/>
  <c r="V46" i="201"/>
  <c r="Y46" i="201"/>
  <c r="S47" i="201"/>
  <c r="V47" i="201"/>
  <c r="Y47" i="201"/>
  <c r="S48" i="201"/>
  <c r="V48" i="201"/>
  <c r="Y48" i="201"/>
  <c r="S49" i="201"/>
  <c r="V49" i="201"/>
  <c r="Y49" i="201"/>
  <c r="S50" i="201"/>
  <c r="V50" i="201"/>
  <c r="Y50" i="201"/>
  <c r="S51" i="201"/>
  <c r="V51" i="201"/>
  <c r="Y51" i="201"/>
  <c r="K52" i="201"/>
  <c r="S52" i="201"/>
  <c r="M52" i="201"/>
  <c r="O52" i="201"/>
  <c r="Y52" i="201" s="1"/>
  <c r="V52" i="201"/>
  <c r="K53" i="201"/>
  <c r="S53" i="201" s="1"/>
  <c r="M53" i="201"/>
  <c r="O53" i="201"/>
  <c r="V53" i="201"/>
  <c r="S54" i="201"/>
  <c r="V54" i="201"/>
  <c r="Y54" i="201"/>
  <c r="H55" i="201"/>
  <c r="I55" i="201"/>
  <c r="J55" i="201"/>
  <c r="L55" i="201" s="1"/>
  <c r="S55" i="201"/>
  <c r="V55" i="201"/>
  <c r="Y55" i="201"/>
  <c r="H62" i="201"/>
  <c r="L63" i="201"/>
  <c r="M26" i="202" s="1"/>
  <c r="N63" i="201"/>
  <c r="N26" i="202"/>
  <c r="P63" i="201"/>
  <c r="O26" i="202"/>
  <c r="V63" i="201"/>
  <c r="D68" i="201"/>
  <c r="G68" i="201"/>
  <c r="O2" i="202"/>
  <c r="F3" i="202"/>
  <c r="G3" i="202"/>
  <c r="M6" i="202"/>
  <c r="M73" i="202"/>
  <c r="N6" i="202"/>
  <c r="N73" i="202"/>
  <c r="O6" i="202"/>
  <c r="O73" i="202" s="1"/>
  <c r="C20" i="202"/>
  <c r="C21" i="202"/>
  <c r="C22" i="202" s="1"/>
  <c r="C23" i="202" s="1"/>
  <c r="C24" i="202" s="1"/>
  <c r="C25" i="202" s="1"/>
  <c r="C26" i="202" s="1"/>
  <c r="C27" i="202" s="1"/>
  <c r="C28" i="202" s="1"/>
  <c r="C29" i="202" s="1"/>
  <c r="C30" i="202" s="1"/>
  <c r="C31" i="202" s="1"/>
  <c r="C32" i="202" s="1"/>
  <c r="C33" i="202" s="1"/>
  <c r="C35" i="202" s="1"/>
  <c r="C36" i="202" s="1"/>
  <c r="C37" i="202" s="1"/>
  <c r="C38" i="202" s="1"/>
  <c r="C39" i="202" s="1"/>
  <c r="C40" i="202" s="1"/>
  <c r="C41" i="202" s="1"/>
  <c r="C42" i="202" s="1"/>
  <c r="C43" i="202" s="1"/>
  <c r="C45" i="202" s="1"/>
  <c r="C46" i="202" s="1"/>
  <c r="C47" i="202" s="1"/>
  <c r="C48" i="202" s="1"/>
  <c r="C49" i="202" s="1"/>
  <c r="C51" i="202" s="1"/>
  <c r="N41" i="202"/>
  <c r="L3" i="102"/>
  <c r="N3" i="102"/>
  <c r="P3" i="102"/>
  <c r="L4" i="102"/>
  <c r="N4" i="102"/>
  <c r="P4" i="102"/>
  <c r="J9" i="102"/>
  <c r="G10" i="102" s="1"/>
  <c r="K28" i="102"/>
  <c r="L28" i="102"/>
  <c r="I29" i="102"/>
  <c r="I30" i="102"/>
  <c r="G33" i="102"/>
  <c r="G34" i="102"/>
  <c r="E37" i="102"/>
  <c r="L38" i="102"/>
  <c r="H2" i="69"/>
  <c r="K9" i="69"/>
  <c r="M9" i="69"/>
  <c r="N9" i="69"/>
  <c r="N8" i="70" s="1"/>
  <c r="AZ7" i="4" s="1"/>
  <c r="O9" i="69"/>
  <c r="L10" i="69"/>
  <c r="M36" i="70" s="1"/>
  <c r="N10" i="69"/>
  <c r="N36" i="70" s="1"/>
  <c r="AZ31" i="4" s="1"/>
  <c r="P10" i="69"/>
  <c r="O36" i="70" s="1"/>
  <c r="BA31" i="4" s="1"/>
  <c r="K14" i="69"/>
  <c r="M14" i="69"/>
  <c r="O14" i="69"/>
  <c r="M17" i="69"/>
  <c r="O17" i="69"/>
  <c r="D19" i="69"/>
  <c r="H19" i="69"/>
  <c r="L19" i="69"/>
  <c r="N19" i="69"/>
  <c r="P19" i="69"/>
  <c r="D20" i="69"/>
  <c r="H20" i="69"/>
  <c r="L20" i="69"/>
  <c r="N20" i="69"/>
  <c r="P20" i="69"/>
  <c r="D21" i="69"/>
  <c r="H21" i="69"/>
  <c r="L21" i="69"/>
  <c r="N21" i="69"/>
  <c r="P21" i="69"/>
  <c r="D22" i="69"/>
  <c r="H22" i="69"/>
  <c r="L22" i="69"/>
  <c r="N22" i="69"/>
  <c r="P22" i="69"/>
  <c r="D23" i="69"/>
  <c r="H23" i="69"/>
  <c r="L23" i="69"/>
  <c r="N23" i="69"/>
  <c r="P23" i="69"/>
  <c r="D25" i="69"/>
  <c r="D26" i="69"/>
  <c r="L26" i="69"/>
  <c r="N26" i="69"/>
  <c r="P26" i="69"/>
  <c r="S45" i="69"/>
  <c r="V45" i="69"/>
  <c r="Y45" i="69"/>
  <c r="S46" i="69"/>
  <c r="V46" i="69"/>
  <c r="Y46" i="69"/>
  <c r="S47" i="69"/>
  <c r="V47" i="69"/>
  <c r="Y47" i="69"/>
  <c r="S48" i="69"/>
  <c r="V48" i="69"/>
  <c r="Y48" i="69"/>
  <c r="S49" i="69"/>
  <c r="V49" i="69"/>
  <c r="Y49" i="69"/>
  <c r="H50" i="69"/>
  <c r="I50" i="69"/>
  <c r="R50" i="69" s="1"/>
  <c r="J50" i="69"/>
  <c r="L50" i="69" s="1"/>
  <c r="S50" i="69"/>
  <c r="V50" i="69"/>
  <c r="Y50" i="69"/>
  <c r="H51" i="69"/>
  <c r="I51" i="69"/>
  <c r="J51" i="69"/>
  <c r="S51" i="69"/>
  <c r="V51" i="69"/>
  <c r="Y51" i="69"/>
  <c r="H52" i="69"/>
  <c r="I52" i="69"/>
  <c r="R52" i="69" s="1"/>
  <c r="J52" i="69"/>
  <c r="T52" i="69" s="1"/>
  <c r="S52" i="69"/>
  <c r="V52" i="69"/>
  <c r="Y52" i="69"/>
  <c r="D53" i="69"/>
  <c r="H53" i="69"/>
  <c r="I53" i="69"/>
  <c r="X53" i="69" s="1"/>
  <c r="J53" i="69"/>
  <c r="W53" i="69" s="1"/>
  <c r="S53" i="69"/>
  <c r="V53" i="69"/>
  <c r="Y53" i="69"/>
  <c r="D54" i="69"/>
  <c r="H54" i="69"/>
  <c r="I54" i="69"/>
  <c r="J54" i="69"/>
  <c r="Z54" i="69" s="1"/>
  <c r="S54" i="69"/>
  <c r="V54" i="69"/>
  <c r="Y54" i="69"/>
  <c r="D55" i="69"/>
  <c r="H55" i="69"/>
  <c r="I55" i="69"/>
  <c r="J55" i="69"/>
  <c r="S55" i="69"/>
  <c r="V55" i="69"/>
  <c r="Y55" i="69"/>
  <c r="H62" i="69"/>
  <c r="L63" i="69"/>
  <c r="M26" i="70" s="1"/>
  <c r="AY21" i="4" s="1"/>
  <c r="N63" i="69"/>
  <c r="N26" i="70" s="1"/>
  <c r="AZ21" i="4" s="1"/>
  <c r="P63" i="69"/>
  <c r="O26" i="70" s="1"/>
  <c r="BA21" i="4" s="1"/>
  <c r="V63" i="69"/>
  <c r="D68" i="69"/>
  <c r="O2" i="70"/>
  <c r="F3" i="70"/>
  <c r="G3" i="70"/>
  <c r="M6" i="70"/>
  <c r="AY5" i="4" s="1"/>
  <c r="N6" i="70"/>
  <c r="AZ5" i="4" s="1"/>
  <c r="O6" i="70"/>
  <c r="BA5" i="4" s="1"/>
  <c r="N41" i="70"/>
  <c r="AZ36" i="4" s="1"/>
  <c r="BA36" i="4"/>
  <c r="H2" i="87"/>
  <c r="K9" i="87"/>
  <c r="L9" i="87" s="1"/>
  <c r="M9" i="87"/>
  <c r="N9" i="87" s="1"/>
  <c r="O9" i="87"/>
  <c r="P9" i="87" s="1"/>
  <c r="K14" i="87"/>
  <c r="M14" i="87"/>
  <c r="O14" i="87"/>
  <c r="M17" i="87"/>
  <c r="O17" i="87"/>
  <c r="D19" i="87"/>
  <c r="H19" i="87"/>
  <c r="L19" i="87"/>
  <c r="N19" i="87"/>
  <c r="P19" i="87"/>
  <c r="D20" i="87"/>
  <c r="H20" i="87"/>
  <c r="L20" i="87"/>
  <c r="N20" i="87"/>
  <c r="P20" i="87"/>
  <c r="D21" i="87"/>
  <c r="H21" i="87"/>
  <c r="L21" i="87"/>
  <c r="N21" i="87"/>
  <c r="P21" i="87"/>
  <c r="D22" i="87"/>
  <c r="H22" i="87"/>
  <c r="L22" i="87"/>
  <c r="N22" i="87"/>
  <c r="P22" i="87"/>
  <c r="D23" i="87"/>
  <c r="H23" i="87"/>
  <c r="L23" i="87"/>
  <c r="N23" i="87"/>
  <c r="P23" i="87"/>
  <c r="D25" i="87"/>
  <c r="D26" i="87"/>
  <c r="L26" i="87"/>
  <c r="N26" i="87"/>
  <c r="P26" i="87"/>
  <c r="S45" i="87"/>
  <c r="V45" i="87"/>
  <c r="Y45" i="87"/>
  <c r="S46" i="87"/>
  <c r="V46" i="87"/>
  <c r="Y46" i="87"/>
  <c r="S47" i="87"/>
  <c r="V47" i="87"/>
  <c r="Y47" i="87"/>
  <c r="S48" i="87"/>
  <c r="V48" i="87"/>
  <c r="Y48" i="87"/>
  <c r="S49" i="87"/>
  <c r="V49" i="87"/>
  <c r="Y49" i="87"/>
  <c r="S52" i="87"/>
  <c r="V52" i="87"/>
  <c r="Y52" i="87"/>
  <c r="D53" i="87"/>
  <c r="H53" i="87"/>
  <c r="I53" i="87"/>
  <c r="X53" i="87" s="1"/>
  <c r="J53" i="87"/>
  <c r="N53" i="87" s="1"/>
  <c r="S53" i="87"/>
  <c r="V53" i="87"/>
  <c r="Y53" i="87"/>
  <c r="D54" i="87"/>
  <c r="H54" i="87"/>
  <c r="I54" i="87"/>
  <c r="U54" i="87" s="1"/>
  <c r="J54" i="87"/>
  <c r="W54" i="87" s="1"/>
  <c r="S54" i="87"/>
  <c r="V54" i="87"/>
  <c r="Y54" i="87"/>
  <c r="D55" i="87"/>
  <c r="H55" i="87"/>
  <c r="I55" i="87"/>
  <c r="J55" i="87"/>
  <c r="S55" i="87"/>
  <c r="V55" i="87"/>
  <c r="Y55" i="87"/>
  <c r="H62" i="87"/>
  <c r="L63" i="87"/>
  <c r="M26" i="88" s="1"/>
  <c r="BB21" i="4" s="1"/>
  <c r="N63" i="87"/>
  <c r="N26" i="88" s="1"/>
  <c r="BC21" i="4" s="1"/>
  <c r="P63" i="87"/>
  <c r="O26" i="88" s="1"/>
  <c r="BD21" i="4" s="1"/>
  <c r="V63" i="87"/>
  <c r="D68" i="87"/>
  <c r="O2" i="88"/>
  <c r="F3" i="88"/>
  <c r="G3" i="88"/>
  <c r="M6" i="88"/>
  <c r="BB5" i="4" s="1"/>
  <c r="N6" i="88"/>
  <c r="BC5" i="4" s="1"/>
  <c r="O6" i="88"/>
  <c r="BD5" i="4" s="1"/>
  <c r="E5" i="4"/>
  <c r="F5" i="4"/>
  <c r="I5" i="4"/>
  <c r="J5" i="4"/>
  <c r="N5" i="4"/>
  <c r="P5" i="4"/>
  <c r="Q5" i="4"/>
  <c r="AG5" i="4"/>
  <c r="AH5" i="4"/>
  <c r="AI5" i="4"/>
  <c r="AJ5" i="4"/>
  <c r="AK5" i="4"/>
  <c r="AL5" i="4"/>
  <c r="AM5" i="4"/>
  <c r="AO5" i="4"/>
  <c r="AU5" i="4"/>
  <c r="BE5" i="4"/>
  <c r="BF5" i="4"/>
  <c r="BG5" i="4"/>
  <c r="BH5" i="4"/>
  <c r="BJ5" i="4"/>
  <c r="BM5" i="4"/>
  <c r="BN5" i="4"/>
  <c r="BO5" i="4"/>
  <c r="BP5" i="4"/>
  <c r="BQ5" i="4"/>
  <c r="BR5" i="4"/>
  <c r="BV5" i="4"/>
  <c r="AH6" i="4"/>
  <c r="BH6" i="4"/>
  <c r="E13" i="4"/>
  <c r="F13" i="4"/>
  <c r="G13" i="4"/>
  <c r="H13" i="4"/>
  <c r="I13" i="4"/>
  <c r="J13" i="4"/>
  <c r="N13" i="4"/>
  <c r="O13" i="4"/>
  <c r="P13" i="4"/>
  <c r="Q13" i="4"/>
  <c r="R13" i="4"/>
  <c r="S13" i="4"/>
  <c r="Q21" i="4"/>
  <c r="AG21" i="4"/>
  <c r="AH21" i="4"/>
  <c r="AW21" i="4"/>
  <c r="BI21" i="4"/>
  <c r="BR21" i="4"/>
  <c r="K34" i="4"/>
  <c r="N34" i="4"/>
  <c r="AC34" i="4"/>
  <c r="AD34" i="4"/>
  <c r="AE34" i="4"/>
  <c r="BM34" i="4"/>
  <c r="BN34" i="4"/>
  <c r="BO34" i="4"/>
  <c r="AC35" i="4"/>
  <c r="AD35" i="4"/>
  <c r="AE35" i="4"/>
  <c r="BM35" i="4"/>
  <c r="BN35" i="4"/>
  <c r="BO35" i="4"/>
  <c r="AC36" i="4"/>
  <c r="AD36" i="4"/>
  <c r="AE36" i="4"/>
  <c r="BC36" i="4"/>
  <c r="BM36" i="4"/>
  <c r="BN36" i="4"/>
  <c r="BO36" i="4"/>
  <c r="BP36" i="4"/>
  <c r="AC37" i="4"/>
  <c r="AD37" i="4"/>
  <c r="AE37" i="4"/>
  <c r="BM37" i="4"/>
  <c r="BN37" i="4"/>
  <c r="BO37" i="4"/>
  <c r="N40" i="4"/>
  <c r="O40" i="4"/>
  <c r="P40" i="4"/>
  <c r="R40" i="4"/>
  <c r="I3" i="14"/>
  <c r="O3" i="14"/>
  <c r="AB5" i="14"/>
  <c r="AA27" i="14"/>
  <c r="AB27" i="14"/>
  <c r="AC27" i="14"/>
  <c r="B28" i="14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AA28" i="14"/>
  <c r="AB28" i="14"/>
  <c r="AC28" i="14"/>
  <c r="AA29" i="14"/>
  <c r="AB29" i="14"/>
  <c r="AC29" i="14"/>
  <c r="AA30" i="14"/>
  <c r="AB30" i="14"/>
  <c r="AC30" i="14"/>
  <c r="AA31" i="14"/>
  <c r="AB31" i="14"/>
  <c r="AC31" i="14"/>
  <c r="AA32" i="14"/>
  <c r="AB32" i="14"/>
  <c r="AC32" i="14"/>
  <c r="AA33" i="14"/>
  <c r="AB33" i="14"/>
  <c r="AC33" i="14"/>
  <c r="AA34" i="14"/>
  <c r="AB34" i="14"/>
  <c r="AC34" i="14"/>
  <c r="AA35" i="14"/>
  <c r="AB35" i="14"/>
  <c r="AC35" i="14"/>
  <c r="AA36" i="14"/>
  <c r="AB36" i="14"/>
  <c r="AC36" i="14"/>
  <c r="AA37" i="14"/>
  <c r="AB37" i="14"/>
  <c r="AC37" i="14"/>
  <c r="AA38" i="14"/>
  <c r="AB38" i="14"/>
  <c r="AC38" i="14"/>
  <c r="AA39" i="14"/>
  <c r="AB39" i="14"/>
  <c r="AC39" i="14"/>
  <c r="AA40" i="14"/>
  <c r="AB40" i="14"/>
  <c r="AC40" i="14"/>
  <c r="AA41" i="14"/>
  <c r="AB41" i="14"/>
  <c r="AC41" i="14"/>
  <c r="AA42" i="14"/>
  <c r="AB42" i="14"/>
  <c r="AC42" i="14"/>
  <c r="AA43" i="14"/>
  <c r="AB43" i="14"/>
  <c r="AC43" i="14"/>
  <c r="AA44" i="14"/>
  <c r="AB44" i="14"/>
  <c r="AC44" i="14"/>
  <c r="AA45" i="14"/>
  <c r="AB45" i="14"/>
  <c r="AC45" i="14"/>
  <c r="AA46" i="14"/>
  <c r="AD46" i="14" s="1"/>
  <c r="AB46" i="14"/>
  <c r="AC46" i="14"/>
  <c r="AA47" i="14"/>
  <c r="AB47" i="14"/>
  <c r="AC47" i="14"/>
  <c r="AA48" i="14"/>
  <c r="AB48" i="14"/>
  <c r="AC48" i="14"/>
  <c r="AA49" i="14"/>
  <c r="AB49" i="14"/>
  <c r="AC49" i="14"/>
  <c r="AA50" i="14"/>
  <c r="AB50" i="14"/>
  <c r="AC50" i="14"/>
  <c r="AA51" i="14"/>
  <c r="AB51" i="14"/>
  <c r="AC51" i="14"/>
  <c r="AA52" i="14"/>
  <c r="AB52" i="14"/>
  <c r="AC52" i="14"/>
  <c r="AA53" i="14"/>
  <c r="AB53" i="14"/>
  <c r="AC53" i="14"/>
  <c r="AA54" i="14"/>
  <c r="AB54" i="14"/>
  <c r="AC54" i="14"/>
  <c r="AA55" i="14"/>
  <c r="AB55" i="14"/>
  <c r="AC55" i="14"/>
  <c r="AA56" i="14"/>
  <c r="AB56" i="14"/>
  <c r="AC56" i="14"/>
  <c r="AA57" i="14"/>
  <c r="AB57" i="14"/>
  <c r="AC57" i="14"/>
  <c r="AB58" i="14"/>
  <c r="AA59" i="14"/>
  <c r="AB59" i="14"/>
  <c r="AC59" i="14"/>
  <c r="AA60" i="14"/>
  <c r="AB60" i="14"/>
  <c r="AC60" i="14"/>
  <c r="AA61" i="14"/>
  <c r="AB61" i="14"/>
  <c r="AC61" i="14"/>
  <c r="AA63" i="14"/>
  <c r="AB63" i="14"/>
  <c r="AC63" i="14"/>
  <c r="AA64" i="14"/>
  <c r="AB64" i="14"/>
  <c r="AC64" i="14"/>
  <c r="AA65" i="14"/>
  <c r="AB65" i="14"/>
  <c r="AC65" i="14"/>
  <c r="AA66" i="14"/>
  <c r="AD66" i="14" s="1"/>
  <c r="AB66" i="14"/>
  <c r="AC66" i="14"/>
  <c r="N67" i="14"/>
  <c r="AA67" i="14"/>
  <c r="AB67" i="14"/>
  <c r="AC67" i="14"/>
  <c r="N68" i="14"/>
  <c r="AA68" i="14"/>
  <c r="AB68" i="14"/>
  <c r="AC68" i="14"/>
  <c r="AA69" i="14"/>
  <c r="AB69" i="14"/>
  <c r="AC69" i="14"/>
  <c r="N70" i="14"/>
  <c r="AA70" i="14"/>
  <c r="AB70" i="14"/>
  <c r="AC70" i="14"/>
  <c r="AA71" i="14"/>
  <c r="AB71" i="14"/>
  <c r="AC71" i="14"/>
  <c r="N72" i="14"/>
  <c r="AA72" i="14"/>
  <c r="AB72" i="14"/>
  <c r="AC72" i="14"/>
  <c r="N73" i="14"/>
  <c r="AA73" i="14"/>
  <c r="AB73" i="14"/>
  <c r="AC73" i="14"/>
  <c r="N74" i="14"/>
  <c r="AA74" i="14"/>
  <c r="AB74" i="14"/>
  <c r="AC74" i="14"/>
  <c r="N75" i="14"/>
  <c r="AA75" i="14"/>
  <c r="AB75" i="14"/>
  <c r="AC75" i="14"/>
  <c r="AA76" i="14"/>
  <c r="AB76" i="14"/>
  <c r="AC76" i="14"/>
  <c r="AA77" i="14"/>
  <c r="AB77" i="14"/>
  <c r="AC77" i="14"/>
  <c r="AA78" i="14"/>
  <c r="AB78" i="14"/>
  <c r="AC78" i="14"/>
  <c r="AA79" i="14"/>
  <c r="AB79" i="14"/>
  <c r="AC79" i="14"/>
  <c r="C3" i="155"/>
  <c r="D3" i="155"/>
  <c r="E3" i="155"/>
  <c r="F3" i="155"/>
  <c r="C5" i="155"/>
  <c r="D5" i="155"/>
  <c r="E5" i="155"/>
  <c r="F5" i="155"/>
  <c r="C6" i="155"/>
  <c r="D6" i="155"/>
  <c r="F6" i="155"/>
  <c r="C7" i="155"/>
  <c r="D7" i="155"/>
  <c r="E7" i="155"/>
  <c r="F7" i="155"/>
  <c r="C10" i="155"/>
  <c r="D10" i="155"/>
  <c r="E10" i="155"/>
  <c r="F10" i="155"/>
  <c r="H2" i="181"/>
  <c r="K9" i="181"/>
  <c r="L9" i="181" s="1"/>
  <c r="M9" i="181"/>
  <c r="N9" i="181" s="1"/>
  <c r="O9" i="181"/>
  <c r="O36" i="181" s="1"/>
  <c r="K14" i="181"/>
  <c r="M14" i="181"/>
  <c r="O14" i="181"/>
  <c r="M17" i="181"/>
  <c r="O17" i="181"/>
  <c r="D19" i="181"/>
  <c r="I19" i="181"/>
  <c r="L19" i="181"/>
  <c r="N19" i="181"/>
  <c r="P19" i="181"/>
  <c r="N20" i="181"/>
  <c r="P20" i="181"/>
  <c r="P21" i="181"/>
  <c r="L21" i="181"/>
  <c r="L22" i="181"/>
  <c r="N22" i="181"/>
  <c r="D23" i="181"/>
  <c r="I23" i="181"/>
  <c r="L23" i="181"/>
  <c r="N23" i="181"/>
  <c r="P23" i="181"/>
  <c r="D25" i="181"/>
  <c r="D26" i="181"/>
  <c r="L26" i="181"/>
  <c r="N26" i="181"/>
  <c r="P26" i="181"/>
  <c r="S45" i="181"/>
  <c r="V45" i="181"/>
  <c r="Y45" i="181"/>
  <c r="S46" i="181"/>
  <c r="V46" i="181"/>
  <c r="Y46" i="181"/>
  <c r="S47" i="181"/>
  <c r="V47" i="181"/>
  <c r="Y47" i="181"/>
  <c r="S48" i="181"/>
  <c r="V48" i="181"/>
  <c r="Y48" i="181"/>
  <c r="S49" i="181"/>
  <c r="V49" i="181"/>
  <c r="Y49" i="181"/>
  <c r="S50" i="181"/>
  <c r="V50" i="181"/>
  <c r="Y50" i="181"/>
  <c r="S51" i="181"/>
  <c r="V51" i="181"/>
  <c r="Y51" i="181"/>
  <c r="S52" i="181"/>
  <c r="V52" i="181"/>
  <c r="Y52" i="181"/>
  <c r="D55" i="181"/>
  <c r="H55" i="181"/>
  <c r="I55" i="181"/>
  <c r="X55" i="181" s="1"/>
  <c r="J55" i="181"/>
  <c r="S55" i="181"/>
  <c r="V55" i="181"/>
  <c r="Y55" i="181"/>
  <c r="H62" i="181"/>
  <c r="L63" i="181"/>
  <c r="M26" i="182" s="1"/>
  <c r="N63" i="181"/>
  <c r="N26" i="182" s="1"/>
  <c r="P63" i="181"/>
  <c r="O26" i="182" s="1"/>
  <c r="V63" i="181"/>
  <c r="K66" i="181"/>
  <c r="L65" i="181" s="1"/>
  <c r="M22" i="182" s="1"/>
  <c r="M66" i="181"/>
  <c r="N65" i="181" s="1"/>
  <c r="N22" i="182" s="1"/>
  <c r="O66" i="181"/>
  <c r="P65" i="181" s="1"/>
  <c r="O22" i="182" s="1"/>
  <c r="D68" i="181"/>
  <c r="O2" i="182"/>
  <c r="F3" i="182"/>
  <c r="G3" i="182"/>
  <c r="M6" i="182"/>
  <c r="N6" i="182"/>
  <c r="O6" i="182"/>
  <c r="C20" i="182"/>
  <c r="C21" i="182"/>
  <c r="C22" i="182" s="1"/>
  <c r="C23" i="182" s="1"/>
  <c r="C24" i="182" s="1"/>
  <c r="C25" i="182" s="1"/>
  <c r="C26" i="182" s="1"/>
  <c r="C27" i="182" s="1"/>
  <c r="C28" i="182" s="1"/>
  <c r="C29" i="182" s="1"/>
  <c r="C30" i="182" s="1"/>
  <c r="C31" i="182" s="1"/>
  <c r="C32" i="182" s="1"/>
  <c r="C33" i="182" s="1"/>
  <c r="C35" i="182" s="1"/>
  <c r="C36" i="182" s="1"/>
  <c r="C37" i="182" s="1"/>
  <c r="C38" i="182" s="1"/>
  <c r="C39" i="182" s="1"/>
  <c r="C40" i="182" s="1"/>
  <c r="C41" i="182" s="1"/>
  <c r="C42" i="182" s="1"/>
  <c r="C43" i="182" s="1"/>
  <c r="C45" i="182" s="1"/>
  <c r="C46" i="182" s="1"/>
  <c r="C47" i="182" s="1"/>
  <c r="C48" i="182" s="1"/>
  <c r="C49" i="182" s="1"/>
  <c r="C51" i="182" s="1"/>
  <c r="C52" i="182" s="1"/>
  <c r="C53" i="182" s="1"/>
  <c r="C54" i="182" s="1"/>
  <c r="C55" i="182" s="1"/>
  <c r="C56" i="182" s="1"/>
  <c r="C57" i="182" s="1"/>
  <c r="C58" i="182" s="1"/>
  <c r="C59" i="182" s="1"/>
  <c r="C60" i="182" s="1"/>
  <c r="C61" i="182" s="1"/>
  <c r="C62" i="182" s="1"/>
  <c r="C64" i="182" s="1"/>
  <c r="C65" i="182" s="1"/>
  <c r="C66" i="182" s="1"/>
  <c r="C67" i="182" s="1"/>
  <c r="N41" i="182"/>
  <c r="H2" i="193"/>
  <c r="K9" i="193"/>
  <c r="M9" i="193"/>
  <c r="N9" i="193" s="1"/>
  <c r="N10" i="193" s="1"/>
  <c r="N36" i="194" s="1"/>
  <c r="O9" i="193"/>
  <c r="O7" i="194" s="1"/>
  <c r="O72" i="194" s="1"/>
  <c r="K13" i="193"/>
  <c r="K14" i="193" s="1"/>
  <c r="M13" i="193"/>
  <c r="M14" i="193" s="1"/>
  <c r="O13" i="193"/>
  <c r="O14" i="193"/>
  <c r="M17" i="193"/>
  <c r="O17" i="193"/>
  <c r="D19" i="193"/>
  <c r="H19" i="193"/>
  <c r="L19" i="193"/>
  <c r="N19" i="193"/>
  <c r="P19" i="193"/>
  <c r="D20" i="193"/>
  <c r="H20" i="193"/>
  <c r="L20" i="193"/>
  <c r="N20" i="193"/>
  <c r="P20" i="193"/>
  <c r="D21" i="193"/>
  <c r="H21" i="193"/>
  <c r="L21" i="193"/>
  <c r="N21" i="193"/>
  <c r="P21" i="193"/>
  <c r="D22" i="193"/>
  <c r="H22" i="193"/>
  <c r="L22" i="193"/>
  <c r="N22" i="193"/>
  <c r="P22" i="193"/>
  <c r="D23" i="193"/>
  <c r="H23" i="193"/>
  <c r="L23" i="193"/>
  <c r="N23" i="193"/>
  <c r="P23" i="193"/>
  <c r="D25" i="193"/>
  <c r="D26" i="193"/>
  <c r="L26" i="193"/>
  <c r="N26" i="193"/>
  <c r="P26" i="193"/>
  <c r="S45" i="193"/>
  <c r="V45" i="193"/>
  <c r="Y45" i="193"/>
  <c r="S46" i="193"/>
  <c r="V46" i="193"/>
  <c r="Y46" i="193"/>
  <c r="S47" i="193"/>
  <c r="V47" i="193"/>
  <c r="Y47" i="193"/>
  <c r="S48" i="193"/>
  <c r="V48" i="193"/>
  <c r="Y48" i="193"/>
  <c r="S49" i="193"/>
  <c r="V49" i="193"/>
  <c r="Y49" i="193"/>
  <c r="S50" i="193"/>
  <c r="V50" i="193"/>
  <c r="Y50" i="193"/>
  <c r="S51" i="193"/>
  <c r="V51" i="193"/>
  <c r="Y51" i="193"/>
  <c r="S54" i="193"/>
  <c r="V54" i="193"/>
  <c r="Y54" i="193"/>
  <c r="H55" i="193"/>
  <c r="I55" i="193"/>
  <c r="U55" i="193" s="1"/>
  <c r="J55" i="193"/>
  <c r="L55" i="193" s="1"/>
  <c r="S55" i="193"/>
  <c r="V55" i="193"/>
  <c r="Y55" i="193"/>
  <c r="H62" i="193"/>
  <c r="L63" i="193"/>
  <c r="N63" i="193"/>
  <c r="N26" i="194" s="1"/>
  <c r="P63" i="193"/>
  <c r="V63" i="193"/>
  <c r="D68" i="193"/>
  <c r="G68" i="193"/>
  <c r="O2" i="194"/>
  <c r="F3" i="194"/>
  <c r="G3" i="194"/>
  <c r="M6" i="194"/>
  <c r="M73" i="194" s="1"/>
  <c r="N6" i="194"/>
  <c r="N73" i="194" s="1"/>
  <c r="O6" i="194"/>
  <c r="O73" i="194" s="1"/>
  <c r="C21" i="194"/>
  <c r="C22" i="194" s="1"/>
  <c r="C23" i="194" s="1"/>
  <c r="C24" i="194" s="1"/>
  <c r="C25" i="194" s="1"/>
  <c r="C26" i="194" s="1"/>
  <c r="C27" i="194" s="1"/>
  <c r="C28" i="194" s="1"/>
  <c r="C29" i="194" s="1"/>
  <c r="C30" i="194" s="1"/>
  <c r="C31" i="194" s="1"/>
  <c r="C32" i="194" s="1"/>
  <c r="C33" i="194" s="1"/>
  <c r="C35" i="194" s="1"/>
  <c r="C36" i="194" s="1"/>
  <c r="C37" i="194" s="1"/>
  <c r="C38" i="194" s="1"/>
  <c r="C39" i="194" s="1"/>
  <c r="C40" i="194" s="1"/>
  <c r="C41" i="194" s="1"/>
  <c r="C42" i="194" s="1"/>
  <c r="C43" i="194" s="1"/>
  <c r="C45" i="194" s="1"/>
  <c r="C46" i="194" s="1"/>
  <c r="C47" i="194" s="1"/>
  <c r="C48" i="194" s="1"/>
  <c r="C49" i="194" s="1"/>
  <c r="C51" i="194" s="1"/>
  <c r="C52" i="194" s="1"/>
  <c r="C53" i="194" s="1"/>
  <c r="C54" i="194" s="1"/>
  <c r="C55" i="194" s="1"/>
  <c r="C56" i="194" s="1"/>
  <c r="C57" i="194" s="1"/>
  <c r="C58" i="194" s="1"/>
  <c r="C59" i="194" s="1"/>
  <c r="C60" i="194" s="1"/>
  <c r="C61" i="194" s="1"/>
  <c r="C62" i="194" s="1"/>
  <c r="C64" i="194" s="1"/>
  <c r="C65" i="194" s="1"/>
  <c r="C66" i="194" s="1"/>
  <c r="C67" i="194" s="1"/>
  <c r="M26" i="194"/>
  <c r="O26" i="194"/>
  <c r="N41" i="194"/>
  <c r="H2" i="145"/>
  <c r="K9" i="145"/>
  <c r="M9" i="145"/>
  <c r="M35" i="145" s="1"/>
  <c r="O9" i="145"/>
  <c r="O11" i="145" s="1"/>
  <c r="L10" i="145"/>
  <c r="M36" i="146" s="1"/>
  <c r="N10" i="145"/>
  <c r="N36" i="146" s="1"/>
  <c r="P10" i="145"/>
  <c r="O36" i="146" s="1"/>
  <c r="K14" i="145"/>
  <c r="M14" i="145"/>
  <c r="O14" i="145"/>
  <c r="M17" i="145"/>
  <c r="O17" i="145"/>
  <c r="D19" i="145"/>
  <c r="H19" i="145"/>
  <c r="L19" i="145"/>
  <c r="N19" i="145"/>
  <c r="P19" i="145"/>
  <c r="D20" i="145"/>
  <c r="H20" i="145"/>
  <c r="L20" i="145"/>
  <c r="N20" i="145"/>
  <c r="P20" i="145"/>
  <c r="D21" i="145"/>
  <c r="H21" i="145"/>
  <c r="L21" i="145"/>
  <c r="N21" i="145"/>
  <c r="P21" i="145"/>
  <c r="D22" i="145"/>
  <c r="H22" i="145"/>
  <c r="L22" i="145"/>
  <c r="N22" i="145"/>
  <c r="P22" i="145"/>
  <c r="D23" i="145"/>
  <c r="H23" i="145"/>
  <c r="L23" i="145"/>
  <c r="N23" i="145"/>
  <c r="P23" i="145"/>
  <c r="D25" i="145"/>
  <c r="D26" i="145"/>
  <c r="L26" i="145"/>
  <c r="N26" i="145"/>
  <c r="P26" i="145"/>
  <c r="S45" i="145"/>
  <c r="V45" i="145"/>
  <c r="Y45" i="145"/>
  <c r="S46" i="145"/>
  <c r="V46" i="145"/>
  <c r="Y46" i="145"/>
  <c r="S47" i="145"/>
  <c r="V47" i="145"/>
  <c r="Y47" i="145"/>
  <c r="S48" i="145"/>
  <c r="V48" i="145"/>
  <c r="Y48" i="145"/>
  <c r="S49" i="145"/>
  <c r="V49" i="145"/>
  <c r="Y49" i="145"/>
  <c r="H50" i="145"/>
  <c r="I50" i="145"/>
  <c r="J50" i="145"/>
  <c r="W50" i="145" s="1"/>
  <c r="S50" i="145"/>
  <c r="V50" i="145"/>
  <c r="Y50" i="145"/>
  <c r="H51" i="145"/>
  <c r="I51" i="145"/>
  <c r="J51" i="145"/>
  <c r="N51" i="145" s="1"/>
  <c r="S51" i="145"/>
  <c r="V51" i="145"/>
  <c r="Y51" i="145"/>
  <c r="H52" i="145"/>
  <c r="I52" i="145"/>
  <c r="J52" i="145"/>
  <c r="Z52" i="145" s="1"/>
  <c r="S52" i="145"/>
  <c r="V52" i="145"/>
  <c r="Y52" i="145"/>
  <c r="D53" i="145"/>
  <c r="H53" i="145"/>
  <c r="I53" i="145"/>
  <c r="J53" i="145"/>
  <c r="P53" i="145" s="1"/>
  <c r="S53" i="145"/>
  <c r="V53" i="145"/>
  <c r="Y53" i="145"/>
  <c r="D54" i="145"/>
  <c r="H54" i="145"/>
  <c r="I54" i="145"/>
  <c r="J54" i="145"/>
  <c r="P54" i="145" s="1"/>
  <c r="S54" i="145"/>
  <c r="V54" i="145"/>
  <c r="Y54" i="145"/>
  <c r="D55" i="145"/>
  <c r="H55" i="145"/>
  <c r="I55" i="145"/>
  <c r="X55" i="145" s="1"/>
  <c r="J55" i="145"/>
  <c r="L55" i="145" s="1"/>
  <c r="S55" i="145"/>
  <c r="V55" i="145"/>
  <c r="Y55" i="145"/>
  <c r="H62" i="145"/>
  <c r="L63" i="145"/>
  <c r="M26" i="146"/>
  <c r="N63" i="145"/>
  <c r="N26" i="146" s="1"/>
  <c r="P63" i="145"/>
  <c r="O26" i="146" s="1"/>
  <c r="V63" i="145"/>
  <c r="D68" i="145"/>
  <c r="L68" i="145"/>
  <c r="L67" i="145" s="1"/>
  <c r="M23" i="146" s="1"/>
  <c r="O2" i="146"/>
  <c r="F3" i="146"/>
  <c r="G3" i="146"/>
  <c r="M6" i="146"/>
  <c r="N6" i="146"/>
  <c r="O6" i="146"/>
  <c r="K19" i="146"/>
  <c r="C20" i="146"/>
  <c r="C21" i="146" s="1"/>
  <c r="C22" i="146" s="1"/>
  <c r="C23" i="146" s="1"/>
  <c r="C24" i="146" s="1"/>
  <c r="C25" i="146" s="1"/>
  <c r="C26" i="146" s="1"/>
  <c r="C27" i="146" s="1"/>
  <c r="C28" i="146" s="1"/>
  <c r="C29" i="146" s="1"/>
  <c r="C30" i="146" s="1"/>
  <c r="C31" i="146" s="1"/>
  <c r="C32" i="146" s="1"/>
  <c r="C33" i="146" s="1"/>
  <c r="C35" i="146" s="1"/>
  <c r="C36" i="146" s="1"/>
  <c r="C37" i="146" s="1"/>
  <c r="C38" i="146" s="1"/>
  <c r="C39" i="146" s="1"/>
  <c r="C40" i="146" s="1"/>
  <c r="C41" i="146" s="1"/>
  <c r="C42" i="146" s="1"/>
  <c r="C43" i="146" s="1"/>
  <c r="C45" i="146" s="1"/>
  <c r="C46" i="146" s="1"/>
  <c r="C47" i="146" s="1"/>
  <c r="C48" i="146" s="1"/>
  <c r="C49" i="146" s="1"/>
  <c r="C51" i="146" s="1"/>
  <c r="C52" i="146" s="1"/>
  <c r="C53" i="146" s="1"/>
  <c r="C54" i="146" s="1"/>
  <c r="C55" i="146" s="1"/>
  <c r="C56" i="146" s="1"/>
  <c r="C57" i="146" s="1"/>
  <c r="C58" i="146" s="1"/>
  <c r="C59" i="146" s="1"/>
  <c r="C60" i="146" s="1"/>
  <c r="C61" i="146" s="1"/>
  <c r="C62" i="146" s="1"/>
  <c r="C64" i="146" s="1"/>
  <c r="C65" i="146" s="1"/>
  <c r="C66" i="146" s="1"/>
  <c r="C67" i="146" s="1"/>
  <c r="N41" i="146"/>
  <c r="H2" i="179"/>
  <c r="K9" i="179"/>
  <c r="K33" i="179" s="1"/>
  <c r="M9" i="179"/>
  <c r="N9" i="179" s="1"/>
  <c r="O9" i="179"/>
  <c r="O11" i="179" s="1"/>
  <c r="K14" i="179"/>
  <c r="M14" i="179"/>
  <c r="O14" i="179"/>
  <c r="M17" i="179"/>
  <c r="O17" i="179"/>
  <c r="D19" i="179"/>
  <c r="H19" i="179"/>
  <c r="L19" i="179"/>
  <c r="N19" i="179"/>
  <c r="P19" i="179"/>
  <c r="D20" i="179"/>
  <c r="H20" i="179"/>
  <c r="L20" i="179"/>
  <c r="N20" i="179"/>
  <c r="P20" i="179"/>
  <c r="D21" i="179"/>
  <c r="H21" i="179"/>
  <c r="L21" i="179"/>
  <c r="N21" i="179"/>
  <c r="P21" i="179"/>
  <c r="D22" i="179"/>
  <c r="H22" i="179"/>
  <c r="L22" i="179"/>
  <c r="N22" i="179"/>
  <c r="P22" i="179"/>
  <c r="D23" i="179"/>
  <c r="H23" i="179"/>
  <c r="L23" i="179"/>
  <c r="N23" i="179"/>
  <c r="P23" i="179"/>
  <c r="D25" i="179"/>
  <c r="D26" i="179"/>
  <c r="L26" i="179"/>
  <c r="N26" i="179"/>
  <c r="P26" i="179"/>
  <c r="S45" i="179"/>
  <c r="V45" i="179"/>
  <c r="Y45" i="179"/>
  <c r="S46" i="179"/>
  <c r="V46" i="179"/>
  <c r="Y46" i="179"/>
  <c r="S47" i="179"/>
  <c r="V47" i="179"/>
  <c r="Y47" i="179"/>
  <c r="S48" i="179"/>
  <c r="V48" i="179"/>
  <c r="Y48" i="179"/>
  <c r="S49" i="179"/>
  <c r="V49" i="179"/>
  <c r="Y49" i="179"/>
  <c r="S50" i="179"/>
  <c r="V50" i="179"/>
  <c r="Y50" i="179"/>
  <c r="K51" i="179"/>
  <c r="S51" i="179"/>
  <c r="M51" i="179"/>
  <c r="V51" i="179"/>
  <c r="O51" i="179"/>
  <c r="Y51" i="179" s="1"/>
  <c r="H54" i="179"/>
  <c r="I54" i="179"/>
  <c r="J54" i="179"/>
  <c r="P54" i="179" s="1"/>
  <c r="S54" i="179"/>
  <c r="V54" i="179"/>
  <c r="Y54" i="179"/>
  <c r="H55" i="179"/>
  <c r="I55" i="179"/>
  <c r="J55" i="179"/>
  <c r="L55" i="179" s="1"/>
  <c r="S55" i="179"/>
  <c r="V55" i="179"/>
  <c r="Y55" i="179"/>
  <c r="H62" i="179"/>
  <c r="L63" i="179"/>
  <c r="M26" i="180" s="1"/>
  <c r="N63" i="179"/>
  <c r="N26" i="180" s="1"/>
  <c r="P63" i="179"/>
  <c r="O26" i="180" s="1"/>
  <c r="V63" i="179"/>
  <c r="D68" i="179"/>
  <c r="G68" i="179"/>
  <c r="O2" i="180"/>
  <c r="F3" i="180"/>
  <c r="G3" i="180"/>
  <c r="M6" i="180"/>
  <c r="M73" i="180" s="1"/>
  <c r="N6" i="180"/>
  <c r="N73" i="180"/>
  <c r="O6" i="180"/>
  <c r="O73" i="180"/>
  <c r="C20" i="180"/>
  <c r="C21" i="180" s="1"/>
  <c r="C22" i="180" s="1"/>
  <c r="C23" i="180" s="1"/>
  <c r="C24" i="180" s="1"/>
  <c r="C25" i="180" s="1"/>
  <c r="C26" i="180" s="1"/>
  <c r="C27" i="180" s="1"/>
  <c r="C28" i="180" s="1"/>
  <c r="C29" i="180" s="1"/>
  <c r="C30" i="180" s="1"/>
  <c r="C31" i="180" s="1"/>
  <c r="C32" i="180" s="1"/>
  <c r="C33" i="180" s="1"/>
  <c r="C35" i="180" s="1"/>
  <c r="C36" i="180" s="1"/>
  <c r="C37" i="180" s="1"/>
  <c r="C38" i="180" s="1"/>
  <c r="C39" i="180" s="1"/>
  <c r="C40" i="180" s="1"/>
  <c r="C41" i="180" s="1"/>
  <c r="C42" i="180" s="1"/>
  <c r="C43" i="180" s="1"/>
  <c r="C45" i="180" s="1"/>
  <c r="C46" i="180" s="1"/>
  <c r="C47" i="180" s="1"/>
  <c r="C48" i="180" s="1"/>
  <c r="C49" i="180" s="1"/>
  <c r="C51" i="180" s="1"/>
  <c r="C52" i="180" s="1"/>
  <c r="C53" i="180" s="1"/>
  <c r="C54" i="180" s="1"/>
  <c r="C55" i="180" s="1"/>
  <c r="C56" i="180" s="1"/>
  <c r="C57" i="180" s="1"/>
  <c r="C58" i="180" s="1"/>
  <c r="C59" i="180" s="1"/>
  <c r="C60" i="180" s="1"/>
  <c r="C61" i="180" s="1"/>
  <c r="C62" i="180" s="1"/>
  <c r="C64" i="180" s="1"/>
  <c r="C65" i="180" s="1"/>
  <c r="C66" i="180" s="1"/>
  <c r="C67" i="180" s="1"/>
  <c r="N41" i="180"/>
  <c r="H2" i="111"/>
  <c r="K9" i="111"/>
  <c r="K36" i="111" s="1"/>
  <c r="M9" i="111"/>
  <c r="N7" i="112" s="1"/>
  <c r="O9" i="111"/>
  <c r="O34" i="111" s="1"/>
  <c r="K14" i="111"/>
  <c r="M14" i="111"/>
  <c r="O14" i="111"/>
  <c r="M17" i="111"/>
  <c r="O17" i="111"/>
  <c r="D19" i="111"/>
  <c r="H19" i="111"/>
  <c r="L19" i="111"/>
  <c r="N19" i="111"/>
  <c r="P19" i="111"/>
  <c r="D20" i="111"/>
  <c r="H20" i="111"/>
  <c r="L20" i="111"/>
  <c r="N20" i="111"/>
  <c r="P20" i="111"/>
  <c r="D21" i="111"/>
  <c r="H21" i="111"/>
  <c r="L21" i="111"/>
  <c r="N21" i="111"/>
  <c r="P21" i="111"/>
  <c r="D22" i="111"/>
  <c r="H22" i="111"/>
  <c r="L22" i="111"/>
  <c r="N22" i="111"/>
  <c r="P22" i="111"/>
  <c r="D23" i="111"/>
  <c r="H23" i="111"/>
  <c r="L23" i="111"/>
  <c r="N23" i="111"/>
  <c r="P23" i="111"/>
  <c r="D25" i="111"/>
  <c r="D26" i="111"/>
  <c r="L26" i="111"/>
  <c r="N26" i="111"/>
  <c r="P26" i="111"/>
  <c r="S45" i="111"/>
  <c r="V45" i="111"/>
  <c r="Y45" i="111"/>
  <c r="S46" i="111"/>
  <c r="V46" i="111"/>
  <c r="Y46" i="111"/>
  <c r="S47" i="111"/>
  <c r="V47" i="111"/>
  <c r="Y47" i="111"/>
  <c r="S48" i="111"/>
  <c r="V48" i="111"/>
  <c r="Y48" i="111"/>
  <c r="S49" i="111"/>
  <c r="V49" i="111"/>
  <c r="Y49" i="111"/>
  <c r="H52" i="111"/>
  <c r="I52" i="111"/>
  <c r="J52" i="111"/>
  <c r="N52" i="111" s="1"/>
  <c r="S52" i="111"/>
  <c r="V52" i="111"/>
  <c r="Y52" i="111"/>
  <c r="D53" i="111"/>
  <c r="H53" i="111"/>
  <c r="I53" i="111"/>
  <c r="X53" i="111" s="1"/>
  <c r="J53" i="111"/>
  <c r="Z53" i="111" s="1"/>
  <c r="S53" i="111"/>
  <c r="V53" i="111"/>
  <c r="Y53" i="111"/>
  <c r="D54" i="111"/>
  <c r="H54" i="111"/>
  <c r="I54" i="111"/>
  <c r="J54" i="111"/>
  <c r="P54" i="111" s="1"/>
  <c r="S54" i="111"/>
  <c r="V54" i="111"/>
  <c r="Y54" i="111"/>
  <c r="D55" i="111"/>
  <c r="H55" i="111"/>
  <c r="I55" i="111"/>
  <c r="J55" i="111"/>
  <c r="S55" i="111"/>
  <c r="V55" i="111"/>
  <c r="Y55" i="111"/>
  <c r="H62" i="111"/>
  <c r="L63" i="111"/>
  <c r="M26" i="112" s="1"/>
  <c r="CE21" i="4" s="1"/>
  <c r="N63" i="111"/>
  <c r="N26" i="112" s="1"/>
  <c r="P63" i="111"/>
  <c r="V63" i="111"/>
  <c r="D68" i="111"/>
  <c r="O2" i="112"/>
  <c r="F3" i="112"/>
  <c r="G3" i="112"/>
  <c r="M6" i="112"/>
  <c r="BY5" i="4"/>
  <c r="N6" i="112"/>
  <c r="BZ5" i="4"/>
  <c r="O6" i="112"/>
  <c r="CA5" i="4" s="1"/>
  <c r="K19" i="112"/>
  <c r="O26" i="112"/>
  <c r="CG21" i="4" s="1"/>
  <c r="N41" i="112"/>
  <c r="BZ36" i="4" s="1"/>
  <c r="H2" i="45"/>
  <c r="K9" i="45"/>
  <c r="L9" i="45" s="1"/>
  <c r="M8" i="46" s="1"/>
  <c r="AC7" i="4" s="1"/>
  <c r="M9" i="45"/>
  <c r="N9" i="45"/>
  <c r="N8" i="46" s="1"/>
  <c r="AD7" i="4" s="1"/>
  <c r="O9" i="45"/>
  <c r="O35" i="45" s="1"/>
  <c r="L10" i="45"/>
  <c r="M36" i="46" s="1"/>
  <c r="N10" i="45"/>
  <c r="N36" i="46" s="1"/>
  <c r="P10" i="45"/>
  <c r="O36" i="46" s="1"/>
  <c r="AE31" i="4" s="1"/>
  <c r="L12" i="45"/>
  <c r="M11" i="46" s="1"/>
  <c r="M54" i="46" s="1"/>
  <c r="N12" i="45"/>
  <c r="N11" i="46" s="1"/>
  <c r="N54" i="46" s="1"/>
  <c r="P12" i="45"/>
  <c r="O11" i="46" s="1"/>
  <c r="O54" i="46" s="1"/>
  <c r="K14" i="45"/>
  <c r="M14" i="45"/>
  <c r="O14" i="45"/>
  <c r="J17" i="45"/>
  <c r="M17" i="45"/>
  <c r="O17" i="45"/>
  <c r="D19" i="45"/>
  <c r="H19" i="45"/>
  <c r="L19" i="45"/>
  <c r="N19" i="45"/>
  <c r="P19" i="45"/>
  <c r="D20" i="45"/>
  <c r="H20" i="45"/>
  <c r="L20" i="45"/>
  <c r="N20" i="45"/>
  <c r="P20" i="45"/>
  <c r="D21" i="45"/>
  <c r="H21" i="45"/>
  <c r="L21" i="45"/>
  <c r="N21" i="45"/>
  <c r="P21" i="45"/>
  <c r="D22" i="45"/>
  <c r="H22" i="45"/>
  <c r="L22" i="45"/>
  <c r="N22" i="45"/>
  <c r="P22" i="45"/>
  <c r="D23" i="45"/>
  <c r="H23" i="45"/>
  <c r="L23" i="45"/>
  <c r="N23" i="45"/>
  <c r="P23" i="45"/>
  <c r="D25" i="45"/>
  <c r="D26" i="45"/>
  <c r="L26" i="45"/>
  <c r="N26" i="45"/>
  <c r="P26" i="45"/>
  <c r="S45" i="45"/>
  <c r="V45" i="45"/>
  <c r="Y45" i="45"/>
  <c r="S46" i="45"/>
  <c r="V46" i="45"/>
  <c r="Y46" i="45"/>
  <c r="S47" i="45"/>
  <c r="V47" i="45"/>
  <c r="Y47" i="45"/>
  <c r="S48" i="45"/>
  <c r="V48" i="45"/>
  <c r="Y48" i="45"/>
  <c r="S49" i="45"/>
  <c r="V49" i="45"/>
  <c r="Y49" i="45"/>
  <c r="S50" i="45"/>
  <c r="V50" i="45"/>
  <c r="Y50" i="45"/>
  <c r="S51" i="45"/>
  <c r="V51" i="45"/>
  <c r="Y51" i="45"/>
  <c r="S52" i="45"/>
  <c r="V52" i="45"/>
  <c r="Y52" i="45"/>
  <c r="S53" i="45"/>
  <c r="V53" i="45"/>
  <c r="Y53" i="45"/>
  <c r="S54" i="45"/>
  <c r="V54" i="45"/>
  <c r="Y54" i="45"/>
  <c r="S55" i="45"/>
  <c r="V55" i="45"/>
  <c r="Y55" i="45"/>
  <c r="H62" i="45"/>
  <c r="K62" i="45"/>
  <c r="M62" i="45"/>
  <c r="O62" i="45"/>
  <c r="L63" i="45"/>
  <c r="M26" i="46" s="1"/>
  <c r="AC21" i="4" s="1"/>
  <c r="N63" i="45"/>
  <c r="N26" i="46" s="1"/>
  <c r="AD21" i="4" s="1"/>
  <c r="P63" i="45"/>
  <c r="O26" i="46" s="1"/>
  <c r="AE21" i="4" s="1"/>
  <c r="V63" i="45"/>
  <c r="L65" i="45"/>
  <c r="M22" i="46" s="1"/>
  <c r="N65" i="45"/>
  <c r="N22" i="46" s="1"/>
  <c r="P65" i="45"/>
  <c r="O22" i="46" s="1"/>
  <c r="D68" i="45"/>
  <c r="O2" i="46"/>
  <c r="F3" i="46"/>
  <c r="G3" i="46"/>
  <c r="M6" i="46"/>
  <c r="AC5" i="4" s="1"/>
  <c r="N6" i="46"/>
  <c r="AD5" i="4" s="1"/>
  <c r="O6" i="46"/>
  <c r="AE5" i="4"/>
  <c r="C21" i="46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5" i="46" s="1"/>
  <c r="C36" i="46" s="1"/>
  <c r="C37" i="46" s="1"/>
  <c r="C38" i="46" s="1"/>
  <c r="C39" i="46" s="1"/>
  <c r="C40" i="46" s="1"/>
  <c r="C41" i="46" s="1"/>
  <c r="C42" i="46" s="1"/>
  <c r="C43" i="46" s="1"/>
  <c r="C45" i="46" s="1"/>
  <c r="C46" i="46" s="1"/>
  <c r="C47" i="46" s="1"/>
  <c r="C48" i="46" s="1"/>
  <c r="C49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4" i="46" s="1"/>
  <c r="C65" i="46" s="1"/>
  <c r="C66" i="46" s="1"/>
  <c r="C67" i="46" s="1"/>
  <c r="O35" i="145"/>
  <c r="M34" i="193"/>
  <c r="Q17" i="58"/>
  <c r="Q23" i="58" s="1"/>
  <c r="R13" i="59" s="1"/>
  <c r="P10" i="109"/>
  <c r="O36" i="110" s="1"/>
  <c r="O8" i="110"/>
  <c r="BX7" i="4" s="1"/>
  <c r="M33" i="181"/>
  <c r="N7" i="70"/>
  <c r="AZ6" i="4" s="1"/>
  <c r="M35" i="69"/>
  <c r="M33" i="69"/>
  <c r="K33" i="69"/>
  <c r="M11" i="69"/>
  <c r="N11" i="69" s="1"/>
  <c r="Y53" i="201"/>
  <c r="O62" i="197"/>
  <c r="O7" i="200"/>
  <c r="O72" i="200" s="1"/>
  <c r="Y53" i="199"/>
  <c r="O35" i="199"/>
  <c r="O33" i="199"/>
  <c r="M33" i="199"/>
  <c r="K33" i="199"/>
  <c r="O11" i="199"/>
  <c r="P11" i="199" s="1"/>
  <c r="O35" i="147"/>
  <c r="K35" i="147"/>
  <c r="K33" i="147"/>
  <c r="O11" i="147"/>
  <c r="O16" i="147" s="1"/>
  <c r="O13" i="148" s="1"/>
  <c r="K11" i="147"/>
  <c r="N37" i="32"/>
  <c r="N14" i="31"/>
  <c r="N15" i="31"/>
  <c r="O8" i="32" s="1"/>
  <c r="M14" i="58"/>
  <c r="N7" i="59" s="1"/>
  <c r="N7" i="110"/>
  <c r="O35" i="109"/>
  <c r="O33" i="109"/>
  <c r="M33" i="109"/>
  <c r="O11" i="109"/>
  <c r="K11" i="109"/>
  <c r="L11" i="109" s="1"/>
  <c r="O11" i="53"/>
  <c r="O15" i="53" s="1"/>
  <c r="O35" i="53"/>
  <c r="K33" i="53"/>
  <c r="N9" i="53"/>
  <c r="N10" i="53" s="1"/>
  <c r="N36" i="54" s="1"/>
  <c r="X31" i="4" s="1"/>
  <c r="M11" i="53"/>
  <c r="N9" i="54" s="1"/>
  <c r="X9" i="4" s="1"/>
  <c r="M33" i="53"/>
  <c r="M35" i="53"/>
  <c r="N7" i="54"/>
  <c r="X6" i="4" s="1"/>
  <c r="AW40" i="4"/>
  <c r="M15" i="85"/>
  <c r="M35" i="67"/>
  <c r="O33" i="67"/>
  <c r="K33" i="67"/>
  <c r="M11" i="67"/>
  <c r="M16" i="67" s="1"/>
  <c r="N13" i="68" s="1"/>
  <c r="AT12" i="4" s="1"/>
  <c r="O7" i="196"/>
  <c r="O72" i="196" s="1"/>
  <c r="M7" i="196"/>
  <c r="M72" i="196" s="1"/>
  <c r="O36" i="195"/>
  <c r="K36" i="195"/>
  <c r="O34" i="195"/>
  <c r="M34" i="195"/>
  <c r="K34" i="195"/>
  <c r="O11" i="195"/>
  <c r="P11" i="195" s="1"/>
  <c r="K11" i="195"/>
  <c r="N7" i="84"/>
  <c r="AQ6" i="4" s="1"/>
  <c r="O35" i="83"/>
  <c r="M35" i="83"/>
  <c r="O33" i="83"/>
  <c r="K33" i="83"/>
  <c r="O11" i="83"/>
  <c r="O16" i="83" s="1"/>
  <c r="O13" i="84" s="1"/>
  <c r="AR12" i="4" s="1"/>
  <c r="M11" i="83"/>
  <c r="M15" i="83" s="1"/>
  <c r="K11" i="83"/>
  <c r="L11" i="83"/>
  <c r="L12" i="83" s="1"/>
  <c r="M11" i="84" s="1"/>
  <c r="O14" i="25"/>
  <c r="O15" i="25" s="1"/>
  <c r="P6" i="26"/>
  <c r="K8" i="25"/>
  <c r="N6" i="26"/>
  <c r="Q14" i="49"/>
  <c r="R7" i="50" s="1"/>
  <c r="O14" i="49"/>
  <c r="K8" i="49"/>
  <c r="N10" i="189"/>
  <c r="N36" i="190" s="1"/>
  <c r="P10" i="189"/>
  <c r="O36" i="190" s="1"/>
  <c r="L10" i="189"/>
  <c r="M36" i="190" s="1"/>
  <c r="I36" i="190" s="1"/>
  <c r="M38" i="190" s="1"/>
  <c r="Q7" i="36"/>
  <c r="N7" i="188"/>
  <c r="O35" i="187"/>
  <c r="M35" i="187"/>
  <c r="K35" i="187"/>
  <c r="O33" i="187"/>
  <c r="K33" i="187"/>
  <c r="O11" i="187"/>
  <c r="P11" i="187" s="1"/>
  <c r="M11" i="187"/>
  <c r="N11" i="187" s="1"/>
  <c r="K11" i="187"/>
  <c r="K16" i="187" s="1"/>
  <c r="M13" i="188" s="1"/>
  <c r="N7" i="190"/>
  <c r="O35" i="189"/>
  <c r="M35" i="189"/>
  <c r="K35" i="189"/>
  <c r="O33" i="189"/>
  <c r="M33" i="189"/>
  <c r="K33" i="189"/>
  <c r="O11" i="189"/>
  <c r="O16" i="189" s="1"/>
  <c r="O13" i="190" s="1"/>
  <c r="M11" i="189"/>
  <c r="M15" i="189" s="1"/>
  <c r="K11" i="189"/>
  <c r="K62" i="189" s="1"/>
  <c r="N7" i="36"/>
  <c r="N14" i="35"/>
  <c r="N15" i="35" s="1"/>
  <c r="Q6" i="24"/>
  <c r="N14" i="23"/>
  <c r="N17" i="23" s="1"/>
  <c r="M14" i="65"/>
  <c r="M15" i="65" s="1"/>
  <c r="R6" i="57"/>
  <c r="Q14" i="56"/>
  <c r="Q17" i="56" s="1"/>
  <c r="O14" i="56"/>
  <c r="O15" i="56" s="1"/>
  <c r="P17" i="103"/>
  <c r="N14" i="103"/>
  <c r="O7" i="104" s="1"/>
  <c r="K9" i="163"/>
  <c r="L19" i="113"/>
  <c r="P19" i="113"/>
  <c r="K62" i="113"/>
  <c r="M35" i="105"/>
  <c r="O33" i="105"/>
  <c r="K33" i="105"/>
  <c r="M11" i="105"/>
  <c r="M16" i="105" s="1"/>
  <c r="N13" i="106" s="1"/>
  <c r="BN12" i="4" s="1"/>
  <c r="K9" i="19"/>
  <c r="M35" i="153"/>
  <c r="K35" i="153"/>
  <c r="O33" i="153"/>
  <c r="K33" i="153"/>
  <c r="M11" i="153"/>
  <c r="M62" i="153" s="1"/>
  <c r="K11" i="153"/>
  <c r="K62" i="153" s="1"/>
  <c r="L10" i="47"/>
  <c r="M36" i="48" s="1"/>
  <c r="O11" i="115"/>
  <c r="M11" i="115"/>
  <c r="M15" i="115" s="1"/>
  <c r="K11" i="115"/>
  <c r="K62" i="115" s="1"/>
  <c r="M11" i="47"/>
  <c r="N11" i="47" s="1"/>
  <c r="K11" i="47"/>
  <c r="L11" i="47" s="1"/>
  <c r="M11" i="157"/>
  <c r="M16" i="157"/>
  <c r="N13" i="158" s="1"/>
  <c r="AA12" i="4" s="1"/>
  <c r="N9" i="48"/>
  <c r="AH9" i="4" s="1"/>
  <c r="Q17" i="49"/>
  <c r="Q23" i="49" s="1"/>
  <c r="R13" i="50" s="1"/>
  <c r="O9" i="84"/>
  <c r="AR9" i="4" s="1"/>
  <c r="O7" i="32"/>
  <c r="P11" i="147"/>
  <c r="O10" i="148" s="1"/>
  <c r="O9" i="148"/>
  <c r="N9" i="70"/>
  <c r="AZ9" i="4" s="1"/>
  <c r="R9" i="59"/>
  <c r="S40" i="4"/>
  <c r="N8" i="194"/>
  <c r="N9" i="158"/>
  <c r="AA9" i="4" s="1"/>
  <c r="N11" i="115"/>
  <c r="N12" i="115" s="1"/>
  <c r="N11" i="116" s="1"/>
  <c r="R7" i="57"/>
  <c r="M15" i="25"/>
  <c r="N11" i="67"/>
  <c r="N10" i="68" s="1"/>
  <c r="AT8" i="4" s="1"/>
  <c r="M16" i="53"/>
  <c r="N13" i="54" s="1"/>
  <c r="X12" i="4" s="1"/>
  <c r="M15" i="53"/>
  <c r="M66" i="53" s="1"/>
  <c r="N65" i="53" s="1"/>
  <c r="N22" i="54" s="1"/>
  <c r="O16" i="53"/>
  <c r="O13" i="54" s="1"/>
  <c r="Y12" i="4" s="1"/>
  <c r="K16" i="109"/>
  <c r="M13" i="110" s="1"/>
  <c r="BV12" i="4" s="1"/>
  <c r="O16" i="199"/>
  <c r="O13" i="200" s="1"/>
  <c r="O62" i="199"/>
  <c r="J40" i="4"/>
  <c r="H40" i="4"/>
  <c r="F40" i="4"/>
  <c r="K40" i="4"/>
  <c r="I40" i="4"/>
  <c r="G40" i="4"/>
  <c r="E40" i="4"/>
  <c r="P12" i="147"/>
  <c r="O11" i="148" s="1"/>
  <c r="R9" i="50"/>
  <c r="Q40" i="4"/>
  <c r="N68" i="153"/>
  <c r="N67" i="153" s="1"/>
  <c r="N23" i="154" s="1"/>
  <c r="P68" i="153"/>
  <c r="P67" i="153" s="1"/>
  <c r="O23" i="154" s="1"/>
  <c r="N78" i="14"/>
  <c r="N79" i="14"/>
  <c r="N76" i="14"/>
  <c r="N77" i="14"/>
  <c r="K36" i="187"/>
  <c r="N7" i="88"/>
  <c r="BC6" i="4"/>
  <c r="M35" i="87"/>
  <c r="M34" i="87"/>
  <c r="M11" i="87"/>
  <c r="K35" i="87"/>
  <c r="K33" i="87"/>
  <c r="M7" i="70"/>
  <c r="AY6" i="4"/>
  <c r="K36" i="69"/>
  <c r="BP40" i="4"/>
  <c r="BD40" i="4"/>
  <c r="BC40" i="4"/>
  <c r="AZ40" i="4"/>
  <c r="N9" i="154"/>
  <c r="BJ40" i="4"/>
  <c r="M7" i="112"/>
  <c r="BY6" i="4"/>
  <c r="K35" i="111"/>
  <c r="M34" i="111"/>
  <c r="O33" i="111"/>
  <c r="K33" i="111"/>
  <c r="O11" i="111"/>
  <c r="O15" i="111" s="1"/>
  <c r="K11" i="111"/>
  <c r="L11" i="111" s="1"/>
  <c r="M33" i="179"/>
  <c r="O7" i="182"/>
  <c r="M36" i="181"/>
  <c r="O34" i="181"/>
  <c r="L10" i="201"/>
  <c r="M36" i="202" s="1"/>
  <c r="M8" i="202"/>
  <c r="N8" i="108"/>
  <c r="BT7" i="4" s="1"/>
  <c r="N10" i="107"/>
  <c r="N36" i="108" s="1"/>
  <c r="BT31" i="4" s="1"/>
  <c r="AT40" i="4"/>
  <c r="AJ40" i="4"/>
  <c r="N8" i="202"/>
  <c r="N10" i="201"/>
  <c r="N36" i="202" s="1"/>
  <c r="L10" i="107"/>
  <c r="M36" i="108" s="1"/>
  <c r="BS31" i="4" s="1"/>
  <c r="P7" i="32"/>
  <c r="O15" i="31"/>
  <c r="P8" i="32" s="1"/>
  <c r="O17" i="31"/>
  <c r="O22" i="31" s="1"/>
  <c r="P12" i="32" s="1"/>
  <c r="N10" i="85"/>
  <c r="N36" i="86" s="1"/>
  <c r="N8" i="86"/>
  <c r="AW7" i="4" s="1"/>
  <c r="AM40" i="4"/>
  <c r="BG40" i="4"/>
  <c r="BF40" i="4"/>
  <c r="BI40" i="4"/>
  <c r="M7" i="202"/>
  <c r="M72" i="202" s="1"/>
  <c r="K36" i="201"/>
  <c r="M35" i="201"/>
  <c r="K34" i="201"/>
  <c r="M33" i="201"/>
  <c r="M11" i="201"/>
  <c r="M16" i="201" s="1"/>
  <c r="N13" i="202" s="1"/>
  <c r="K11" i="201"/>
  <c r="K15" i="201" s="1"/>
  <c r="K66" i="201" s="1"/>
  <c r="L65" i="201" s="1"/>
  <c r="M22" i="202" s="1"/>
  <c r="O7" i="198"/>
  <c r="O72" i="198"/>
  <c r="O36" i="197"/>
  <c r="O34" i="197"/>
  <c r="O8" i="108"/>
  <c r="BU7" i="4" s="1"/>
  <c r="M7" i="108"/>
  <c r="BS6" i="4" s="1"/>
  <c r="M36" i="107"/>
  <c r="K35" i="107"/>
  <c r="M34" i="107"/>
  <c r="K33" i="107"/>
  <c r="M34" i="147"/>
  <c r="O6" i="32"/>
  <c r="O37" i="59"/>
  <c r="R8" i="59"/>
  <c r="R29" i="59" s="1"/>
  <c r="K9" i="58"/>
  <c r="O14" i="58"/>
  <c r="O17" i="58" s="1"/>
  <c r="O22" i="58" s="1"/>
  <c r="P12" i="59" s="1"/>
  <c r="M8" i="44"/>
  <c r="M34" i="53"/>
  <c r="O7" i="86"/>
  <c r="O72" i="86"/>
  <c r="M7" i="86"/>
  <c r="AV6" i="4" s="1"/>
  <c r="O36" i="85"/>
  <c r="K36" i="85"/>
  <c r="M35" i="85"/>
  <c r="O34" i="85"/>
  <c r="K34" i="85"/>
  <c r="M33" i="85"/>
  <c r="O11" i="85"/>
  <c r="O15" i="85" s="1"/>
  <c r="K11" i="85"/>
  <c r="K62" i="85" s="1"/>
  <c r="L7" i="102" s="1"/>
  <c r="K36" i="67"/>
  <c r="M34" i="67"/>
  <c r="N7" i="196"/>
  <c r="N72" i="196" s="1"/>
  <c r="O35" i="195"/>
  <c r="K35" i="195"/>
  <c r="M33" i="195"/>
  <c r="N7" i="72"/>
  <c r="AK6" i="4" s="1"/>
  <c r="K36" i="71"/>
  <c r="M35" i="71"/>
  <c r="K34" i="71"/>
  <c r="M33" i="71"/>
  <c r="M11" i="71"/>
  <c r="M16" i="71" s="1"/>
  <c r="N13" i="72" s="1"/>
  <c r="K11" i="71"/>
  <c r="O7" i="74"/>
  <c r="AO6" i="4"/>
  <c r="O35" i="73"/>
  <c r="O33" i="73"/>
  <c r="M36" i="77"/>
  <c r="L9" i="77"/>
  <c r="M8" i="78" s="1"/>
  <c r="BE7" i="4" s="1"/>
  <c r="K11" i="77"/>
  <c r="K15" i="77" s="1"/>
  <c r="M12" i="78" s="1"/>
  <c r="BE11" i="4" s="1"/>
  <c r="K34" i="77"/>
  <c r="K36" i="77"/>
  <c r="N10" i="89"/>
  <c r="N36" i="90" s="1"/>
  <c r="P9" i="89"/>
  <c r="P10" i="89" s="1"/>
  <c r="O36" i="90" s="1"/>
  <c r="O34" i="89"/>
  <c r="O36" i="89"/>
  <c r="P7" i="36"/>
  <c r="O15" i="35"/>
  <c r="P8" i="36" s="1"/>
  <c r="O17" i="35"/>
  <c r="Q15" i="23"/>
  <c r="R8" i="24" s="1"/>
  <c r="Q17" i="23"/>
  <c r="R9" i="24" s="1"/>
  <c r="R7" i="24"/>
  <c r="Q7" i="66"/>
  <c r="P15" i="65"/>
  <c r="Q8" i="66" s="1"/>
  <c r="P17" i="65"/>
  <c r="Q9" i="66"/>
  <c r="N9" i="77"/>
  <c r="N8" i="78" s="1"/>
  <c r="BF7" i="4" s="1"/>
  <c r="M11" i="77"/>
  <c r="N11" i="77" s="1"/>
  <c r="M35" i="77"/>
  <c r="X51" i="49"/>
  <c r="AD51" i="49"/>
  <c r="M7" i="190"/>
  <c r="O36" i="189"/>
  <c r="K36" i="189"/>
  <c r="M34" i="189"/>
  <c r="P6" i="36"/>
  <c r="M17" i="35"/>
  <c r="N9" i="36" s="1"/>
  <c r="P7" i="24"/>
  <c r="R6" i="24"/>
  <c r="N6" i="24"/>
  <c r="O17" i="23"/>
  <c r="P9" i="24" s="1"/>
  <c r="M14" i="23"/>
  <c r="M15" i="23" s="1"/>
  <c r="P14" i="23"/>
  <c r="P15" i="23" s="1"/>
  <c r="Q6" i="66"/>
  <c r="K9" i="65"/>
  <c r="O14" i="65"/>
  <c r="P7" i="66"/>
  <c r="K9" i="91"/>
  <c r="O14" i="91"/>
  <c r="O17" i="103"/>
  <c r="O22" i="103" s="1"/>
  <c r="P12" i="104" s="1"/>
  <c r="P7" i="104"/>
  <c r="O15" i="103"/>
  <c r="P8" i="104" s="1"/>
  <c r="Q7" i="22"/>
  <c r="Q64" i="22" s="1"/>
  <c r="P17" i="21"/>
  <c r="P22" i="21" s="1"/>
  <c r="Q12" i="22" s="1"/>
  <c r="BN40" i="4"/>
  <c r="M14" i="81"/>
  <c r="N7" i="82" s="1"/>
  <c r="M14" i="159"/>
  <c r="M15" i="159" s="1"/>
  <c r="M14" i="163"/>
  <c r="M15" i="163" s="1"/>
  <c r="K66" i="113"/>
  <c r="L65" i="113"/>
  <c r="M22" i="114" s="1"/>
  <c r="M12" i="114"/>
  <c r="BP11" i="4" s="1"/>
  <c r="P9" i="113"/>
  <c r="P10" i="113" s="1"/>
  <c r="O36" i="114" s="1"/>
  <c r="BR31" i="4" s="1"/>
  <c r="O33" i="113"/>
  <c r="O35" i="113"/>
  <c r="BM40" i="4"/>
  <c r="O7" i="150"/>
  <c r="M36" i="149"/>
  <c r="O35" i="149"/>
  <c r="M34" i="149"/>
  <c r="O33" i="149"/>
  <c r="O11" i="149"/>
  <c r="O15" i="149"/>
  <c r="M11" i="149"/>
  <c r="O7" i="120"/>
  <c r="O35" i="119"/>
  <c r="O33" i="119"/>
  <c r="K9" i="15"/>
  <c r="M17" i="51"/>
  <c r="K15" i="117"/>
  <c r="K66" i="117" s="1"/>
  <c r="L65" i="117" s="1"/>
  <c r="M22" i="118" s="1"/>
  <c r="O11" i="151"/>
  <c r="O9" i="152" s="1"/>
  <c r="M11" i="151"/>
  <c r="M62" i="151" s="1"/>
  <c r="K11" i="151"/>
  <c r="M9" i="152" s="1"/>
  <c r="L11" i="151"/>
  <c r="M36" i="115"/>
  <c r="M34" i="115"/>
  <c r="M34" i="157"/>
  <c r="K33" i="157"/>
  <c r="H22" i="195"/>
  <c r="K15" i="151"/>
  <c r="M12" i="152" s="1"/>
  <c r="K62" i="151"/>
  <c r="H21" i="195"/>
  <c r="BQ40" i="4"/>
  <c r="L11" i="85"/>
  <c r="M10" i="86" s="1"/>
  <c r="AV8" i="4" s="1"/>
  <c r="K62" i="201"/>
  <c r="BA40" i="4"/>
  <c r="BB40" i="4"/>
  <c r="AE40" i="4"/>
  <c r="AD40" i="4"/>
  <c r="P11" i="85"/>
  <c r="O10" i="86" s="1"/>
  <c r="AX8" i="4" s="1"/>
  <c r="N11" i="201"/>
  <c r="N12" i="201" s="1"/>
  <c r="N11" i="202" s="1"/>
  <c r="BH40" i="4"/>
  <c r="AY40" i="4"/>
  <c r="O16" i="111"/>
  <c r="O13" i="112" s="1"/>
  <c r="AS40" i="4"/>
  <c r="BY40" i="4"/>
  <c r="AC40" i="4"/>
  <c r="AV40" i="4"/>
  <c r="AN40" i="4"/>
  <c r="AG40" i="4"/>
  <c r="AH40" i="4"/>
  <c r="S5" i="4"/>
  <c r="N17" i="58"/>
  <c r="N22" i="58" s="1"/>
  <c r="N15" i="58"/>
  <c r="O8" i="59" s="1"/>
  <c r="O7" i="59"/>
  <c r="O6" i="50"/>
  <c r="Q6" i="36"/>
  <c r="K8" i="35"/>
  <c r="K9" i="23"/>
  <c r="O14" i="21"/>
  <c r="O15" i="21" s="1"/>
  <c r="Q6" i="104"/>
  <c r="O6" i="104"/>
  <c r="K8" i="103"/>
  <c r="K8" i="19"/>
  <c r="P77" i="65"/>
  <c r="O77" i="65"/>
  <c r="O16" i="58"/>
  <c r="O77" i="58" s="1"/>
  <c r="K8" i="51"/>
  <c r="Q37" i="18"/>
  <c r="Q37" i="164"/>
  <c r="Q37" i="50"/>
  <c r="P77" i="159"/>
  <c r="Q37" i="160"/>
  <c r="P16" i="25"/>
  <c r="P77" i="25" s="1"/>
  <c r="O16" i="49"/>
  <c r="O77" i="49" s="1"/>
  <c r="Q37" i="82"/>
  <c r="Q40" i="82" s="1"/>
  <c r="P16" i="21"/>
  <c r="P77" i="21" s="1"/>
  <c r="P16" i="56"/>
  <c r="P77" i="56" s="1"/>
  <c r="P16" i="15"/>
  <c r="P77" i="15" s="1"/>
  <c r="P37" i="82"/>
  <c r="P40" i="82" s="1"/>
  <c r="Q16" i="23"/>
  <c r="Q77" i="23" s="1"/>
  <c r="O37" i="82"/>
  <c r="O40" i="82" s="1"/>
  <c r="P37" i="66"/>
  <c r="R8" i="18"/>
  <c r="R29" i="18" s="1"/>
  <c r="N17" i="103"/>
  <c r="O9" i="104" s="1"/>
  <c r="N15" i="65"/>
  <c r="O8" i="66" s="1"/>
  <c r="Q17" i="103"/>
  <c r="N7" i="164"/>
  <c r="N17" i="35"/>
  <c r="N22" i="35" s="1"/>
  <c r="O12" i="36" s="1"/>
  <c r="Q23" i="23"/>
  <c r="R13" i="24" s="1"/>
  <c r="R8" i="50"/>
  <c r="R29" i="50" s="1"/>
  <c r="N17" i="65"/>
  <c r="O9" i="66" s="1"/>
  <c r="N7" i="20"/>
  <c r="P51" i="25"/>
  <c r="W51" i="25" s="1"/>
  <c r="O17" i="159"/>
  <c r="O22" i="159" s="1"/>
  <c r="K16" i="31"/>
  <c r="M37" i="32" s="1"/>
  <c r="S31" i="4" s="1"/>
  <c r="P22" i="103"/>
  <c r="Q12" i="104" s="1"/>
  <c r="P23" i="103"/>
  <c r="Q13" i="104" s="1"/>
  <c r="Q9" i="104"/>
  <c r="R8" i="32"/>
  <c r="R29" i="32" s="1"/>
  <c r="O37" i="32"/>
  <c r="Q37" i="59"/>
  <c r="O7" i="50"/>
  <c r="Q37" i="20"/>
  <c r="R7" i="20"/>
  <c r="Q17" i="19"/>
  <c r="R9" i="20" s="1"/>
  <c r="P49" i="17"/>
  <c r="AC49" i="17" s="1"/>
  <c r="O37" i="18"/>
  <c r="O17" i="15"/>
  <c r="O22" i="15" s="1"/>
  <c r="P12" i="16" s="1"/>
  <c r="M77" i="81"/>
  <c r="N37" i="82"/>
  <c r="N40" i="82" s="1"/>
  <c r="M37" i="82"/>
  <c r="N31" i="4"/>
  <c r="N19" i="58"/>
  <c r="O11" i="59"/>
  <c r="O58" i="59" s="1"/>
  <c r="Q19" i="35"/>
  <c r="R11" i="36"/>
  <c r="R58" i="36" s="1"/>
  <c r="P19" i="31"/>
  <c r="Q11" i="32" s="1"/>
  <c r="Q58" i="32" s="1"/>
  <c r="M19" i="58"/>
  <c r="N11" i="59" s="1"/>
  <c r="N58" i="59" s="1"/>
  <c r="Q37" i="66"/>
  <c r="O15" i="15"/>
  <c r="P7" i="59"/>
  <c r="Q51" i="25"/>
  <c r="Q77" i="49"/>
  <c r="R37" i="50"/>
  <c r="Q77" i="163"/>
  <c r="R37" i="164"/>
  <c r="Q77" i="159"/>
  <c r="R37" i="160"/>
  <c r="Q77" i="31"/>
  <c r="R37" i="32"/>
  <c r="Q77" i="103"/>
  <c r="R37" i="104"/>
  <c r="Q77" i="56"/>
  <c r="R37" i="57"/>
  <c r="Q77" i="15"/>
  <c r="R37" i="16"/>
  <c r="R37" i="92"/>
  <c r="R37" i="66"/>
  <c r="R37" i="59"/>
  <c r="R37" i="26"/>
  <c r="O77" i="17"/>
  <c r="R37" i="18"/>
  <c r="X51" i="25"/>
  <c r="AC51" i="49"/>
  <c r="W51" i="49"/>
  <c r="J51" i="49"/>
  <c r="AX40" i="4"/>
  <c r="CG40" i="4"/>
  <c r="CF40" i="4"/>
  <c r="BR40" i="4"/>
  <c r="C51" i="116"/>
  <c r="C52" i="116" s="1"/>
  <c r="C53" i="116" s="1"/>
  <c r="C54" i="116" s="1"/>
  <c r="C55" i="116" s="1"/>
  <c r="C56" i="116" s="1"/>
  <c r="C57" i="116" s="1"/>
  <c r="C58" i="116" s="1"/>
  <c r="C59" i="116" s="1"/>
  <c r="C60" i="116" s="1"/>
  <c r="C61" i="116" s="1"/>
  <c r="C62" i="116" s="1"/>
  <c r="C64" i="116" s="1"/>
  <c r="C65" i="116" s="1"/>
  <c r="C66" i="116" s="1"/>
  <c r="C67" i="116" s="1"/>
  <c r="C52" i="202"/>
  <c r="C53" i="202" s="1"/>
  <c r="C54" i="202"/>
  <c r="C55" i="202" s="1"/>
  <c r="C56" i="202" s="1"/>
  <c r="C57" i="202" s="1"/>
  <c r="C58" i="202" s="1"/>
  <c r="C59" i="202" s="1"/>
  <c r="C60" i="202" s="1"/>
  <c r="C61" i="202" s="1"/>
  <c r="C62" i="202" s="1"/>
  <c r="C64" i="202" s="1"/>
  <c r="C65" i="202" s="1"/>
  <c r="C66" i="202" s="1"/>
  <c r="C67" i="202" s="1"/>
  <c r="C51" i="154"/>
  <c r="C52" i="154" s="1"/>
  <c r="C53" i="154" s="1"/>
  <c r="C54" i="154" s="1"/>
  <c r="C55" i="154" s="1"/>
  <c r="C56" i="154" s="1"/>
  <c r="C57" i="154" s="1"/>
  <c r="C58" i="154" s="1"/>
  <c r="C59" i="154" s="1"/>
  <c r="C60" i="154" s="1"/>
  <c r="C61" i="154" s="1"/>
  <c r="C62" i="154" s="1"/>
  <c r="C64" i="154" s="1"/>
  <c r="C65" i="154" s="1"/>
  <c r="C66" i="154" s="1"/>
  <c r="C67" i="154" s="1"/>
  <c r="C52" i="152"/>
  <c r="C53" i="152" s="1"/>
  <c r="C54" i="152" s="1"/>
  <c r="C55" i="152" s="1"/>
  <c r="C56" i="152" s="1"/>
  <c r="C57" i="152" s="1"/>
  <c r="C58" i="152" s="1"/>
  <c r="C59" i="152" s="1"/>
  <c r="C60" i="152" s="1"/>
  <c r="C61" i="152" s="1"/>
  <c r="C62" i="152" s="1"/>
  <c r="C64" i="152" s="1"/>
  <c r="C65" i="152" s="1"/>
  <c r="C66" i="152" s="1"/>
  <c r="C67" i="152" s="1"/>
  <c r="C51" i="150"/>
  <c r="C52" i="150" s="1"/>
  <c r="C53" i="150" s="1"/>
  <c r="C54" i="150" s="1"/>
  <c r="C55" i="150" s="1"/>
  <c r="C56" i="150" s="1"/>
  <c r="C57" i="150" s="1"/>
  <c r="C58" i="150" s="1"/>
  <c r="C59" i="150" s="1"/>
  <c r="C60" i="150" s="1"/>
  <c r="C61" i="150" s="1"/>
  <c r="C62" i="150" s="1"/>
  <c r="C64" i="150" s="1"/>
  <c r="C65" i="150" s="1"/>
  <c r="C66" i="150" s="1"/>
  <c r="C67" i="150" s="1"/>
  <c r="C51" i="190"/>
  <c r="C52" i="190" s="1"/>
  <c r="C53" i="190" s="1"/>
  <c r="C54" i="190" s="1"/>
  <c r="C55" i="190" s="1"/>
  <c r="C56" i="190" s="1"/>
  <c r="C57" i="190" s="1"/>
  <c r="C58" i="190" s="1"/>
  <c r="C59" i="190" s="1"/>
  <c r="C60" i="190" s="1"/>
  <c r="C61" i="190" s="1"/>
  <c r="C62" i="190" s="1"/>
  <c r="C64" i="190" s="1"/>
  <c r="C65" i="190" s="1"/>
  <c r="C66" i="190" s="1"/>
  <c r="C67" i="190" s="1"/>
  <c r="C51" i="74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4" i="74" s="1"/>
  <c r="C65" i="74" s="1"/>
  <c r="C66" i="74" s="1"/>
  <c r="C67" i="74" s="1"/>
  <c r="C52" i="158"/>
  <c r="C53" i="158" s="1"/>
  <c r="C54" i="158" s="1"/>
  <c r="C55" i="158" s="1"/>
  <c r="C56" i="158" s="1"/>
  <c r="C57" i="158" s="1"/>
  <c r="C58" i="158" s="1"/>
  <c r="C59" i="158" s="1"/>
  <c r="C60" i="158" s="1"/>
  <c r="C61" i="158" s="1"/>
  <c r="C62" i="158" s="1"/>
  <c r="C64" i="158" s="1"/>
  <c r="C65" i="158" s="1"/>
  <c r="C66" i="158" s="1"/>
  <c r="C67" i="158" s="1"/>
  <c r="C51" i="192"/>
  <c r="C52" i="192" s="1"/>
  <c r="C53" i="192" s="1"/>
  <c r="C54" i="192" s="1"/>
  <c r="C55" i="192" s="1"/>
  <c r="C56" i="192" s="1"/>
  <c r="C57" i="192" s="1"/>
  <c r="C58" i="192" s="1"/>
  <c r="C59" i="192" s="1"/>
  <c r="C60" i="192" s="1"/>
  <c r="C61" i="192" s="1"/>
  <c r="C62" i="192" s="1"/>
  <c r="C64" i="192" s="1"/>
  <c r="C65" i="192" s="1"/>
  <c r="C66" i="192" s="1"/>
  <c r="C67" i="192" s="1"/>
  <c r="C51" i="112"/>
  <c r="C52" i="112" s="1"/>
  <c r="C53" i="112" s="1"/>
  <c r="C54" i="112" s="1"/>
  <c r="C55" i="112" s="1"/>
  <c r="C56" i="112" s="1"/>
  <c r="C57" i="112" s="1"/>
  <c r="C58" i="112" s="1"/>
  <c r="C59" i="112" s="1"/>
  <c r="C60" i="112" s="1"/>
  <c r="C61" i="112" s="1"/>
  <c r="C62" i="112" s="1"/>
  <c r="C64" i="112" s="1"/>
  <c r="C65" i="112" s="1"/>
  <c r="C66" i="112" s="1"/>
  <c r="C67" i="112" s="1"/>
  <c r="C51" i="106"/>
  <c r="C52" i="106"/>
  <c r="C53" i="106" s="1"/>
  <c r="C54" i="106" s="1"/>
  <c r="C55" i="106" s="1"/>
  <c r="C56" i="106" s="1"/>
  <c r="C57" i="106" s="1"/>
  <c r="C58" i="106" s="1"/>
  <c r="C59" i="106" s="1"/>
  <c r="C60" i="106" s="1"/>
  <c r="C61" i="106" s="1"/>
  <c r="C62" i="106" s="1"/>
  <c r="C64" i="106" s="1"/>
  <c r="C65" i="106" s="1"/>
  <c r="C66" i="106" s="1"/>
  <c r="C67" i="106" s="1"/>
  <c r="C51" i="188"/>
  <c r="C52" i="188" s="1"/>
  <c r="C53" i="188" s="1"/>
  <c r="C54" i="188" s="1"/>
  <c r="C55" i="188" s="1"/>
  <c r="C56" i="188" s="1"/>
  <c r="C57" i="188" s="1"/>
  <c r="C58" i="188" s="1"/>
  <c r="C59" i="188" s="1"/>
  <c r="C60" i="188" s="1"/>
  <c r="C61" i="188" s="1"/>
  <c r="C62" i="188" s="1"/>
  <c r="C64" i="188" s="1"/>
  <c r="C65" i="188" s="1"/>
  <c r="C66" i="188" s="1"/>
  <c r="C67" i="188" s="1"/>
  <c r="C52" i="88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4" i="88" s="1"/>
  <c r="C65" i="88" s="1"/>
  <c r="C66" i="88" s="1"/>
  <c r="C67" i="88" s="1"/>
  <c r="C51" i="86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4" i="86" s="1"/>
  <c r="C65" i="86" s="1"/>
  <c r="C66" i="86" s="1"/>
  <c r="C67" i="86" s="1"/>
  <c r="C51" i="72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4" i="72" s="1"/>
  <c r="C65" i="72" s="1"/>
  <c r="C66" i="72" s="1"/>
  <c r="C67" i="72" s="1"/>
  <c r="C51" i="48"/>
  <c r="C52" i="48" s="1"/>
  <c r="C53" i="48" s="1"/>
  <c r="C54" i="48" s="1"/>
  <c r="C55" i="48" s="1"/>
  <c r="C56" i="48" s="1"/>
  <c r="C57" i="48" s="1"/>
  <c r="C58" i="48" s="1"/>
  <c r="C59" i="48" s="1"/>
  <c r="C60" i="48" s="1"/>
  <c r="C61" i="48" s="1"/>
  <c r="C62" i="48" s="1"/>
  <c r="C64" i="48" s="1"/>
  <c r="C65" i="48" s="1"/>
  <c r="C66" i="48" s="1"/>
  <c r="C67" i="48" s="1"/>
  <c r="BZ40" i="4"/>
  <c r="BO40" i="4"/>
  <c r="BW40" i="4"/>
  <c r="CE6" i="4"/>
  <c r="BW6" i="4"/>
  <c r="BW5" i="4"/>
  <c r="AX5" i="4"/>
  <c r="AV5" i="4"/>
  <c r="CE5" i="4"/>
  <c r="BY21" i="4"/>
  <c r="CF5" i="4"/>
  <c r="CE40" i="4"/>
  <c r="CG5" i="4"/>
  <c r="CA21" i="4"/>
  <c r="CE36" i="4"/>
  <c r="BV40" i="4"/>
  <c r="BX40" i="4"/>
  <c r="AK40" i="4"/>
  <c r="AU40" i="4"/>
  <c r="BX31" i="4"/>
  <c r="I36" i="150"/>
  <c r="N38" i="150" s="1"/>
  <c r="I36" i="154"/>
  <c r="M38" i="154" s="1"/>
  <c r="AL40" i="4"/>
  <c r="CA40" i="4"/>
  <c r="BE40" i="4"/>
  <c r="AI40" i="4"/>
  <c r="AO40" i="4"/>
  <c r="C57" i="198"/>
  <c r="C58" i="198" s="1"/>
  <c r="C59" i="198" s="1"/>
  <c r="C60" i="198" s="1"/>
  <c r="C61" i="198" s="1"/>
  <c r="C62" i="198" s="1"/>
  <c r="C64" i="198" s="1"/>
  <c r="C65" i="198" s="1"/>
  <c r="C66" i="198" s="1"/>
  <c r="C67" i="198" s="1"/>
  <c r="C61" i="90"/>
  <c r="C62" i="90"/>
  <c r="C64" i="90" s="1"/>
  <c r="C65" i="90" s="1"/>
  <c r="C66" i="90" s="1"/>
  <c r="C67" i="90" s="1"/>
  <c r="C57" i="110"/>
  <c r="C58" i="110"/>
  <c r="C59" i="110" s="1"/>
  <c r="C60" i="110" s="1"/>
  <c r="C61" i="110" s="1"/>
  <c r="C62" i="110" s="1"/>
  <c r="C64" i="110" s="1"/>
  <c r="C65" i="110" s="1"/>
  <c r="C66" i="110" s="1"/>
  <c r="C67" i="110" s="1"/>
  <c r="C57" i="200"/>
  <c r="C58" i="200" s="1"/>
  <c r="C59" i="200" s="1"/>
  <c r="C60" i="200" s="1"/>
  <c r="C61" i="200" s="1"/>
  <c r="C62" i="200" s="1"/>
  <c r="C64" i="200" s="1"/>
  <c r="C65" i="200" s="1"/>
  <c r="C66" i="200" s="1"/>
  <c r="C67" i="200" s="1"/>
  <c r="C57" i="196"/>
  <c r="C58" i="196"/>
  <c r="C59" i="196" s="1"/>
  <c r="C60" i="196" s="1"/>
  <c r="C61" i="196" s="1"/>
  <c r="C62" i="196" s="1"/>
  <c r="C64" i="196" s="1"/>
  <c r="C65" i="196" s="1"/>
  <c r="C66" i="196" s="1"/>
  <c r="C67" i="196" s="1"/>
  <c r="C57" i="120"/>
  <c r="C58" i="120"/>
  <c r="C59" i="120" s="1"/>
  <c r="C60" i="120" s="1"/>
  <c r="C61" i="120" s="1"/>
  <c r="C62" i="120" s="1"/>
  <c r="C64" i="120" s="1"/>
  <c r="C65" i="120" s="1"/>
  <c r="C66" i="120" s="1"/>
  <c r="C67" i="120" s="1"/>
  <c r="C57" i="118"/>
  <c r="C58" i="118" s="1"/>
  <c r="C59" i="118" s="1"/>
  <c r="C60" i="118" s="1"/>
  <c r="C61" i="118" s="1"/>
  <c r="C62" i="118" s="1"/>
  <c r="C64" i="118" s="1"/>
  <c r="C65" i="118" s="1"/>
  <c r="C66" i="118" s="1"/>
  <c r="C67" i="118" s="1"/>
  <c r="C57" i="108"/>
  <c r="C58" i="108" s="1"/>
  <c r="C59" i="108" s="1"/>
  <c r="C60" i="108" s="1"/>
  <c r="C61" i="108" s="1"/>
  <c r="C62" i="108" s="1"/>
  <c r="C64" i="108" s="1"/>
  <c r="C65" i="108" s="1"/>
  <c r="C66" i="108" s="1"/>
  <c r="C67" i="108" s="1"/>
  <c r="C57" i="114"/>
  <c r="C58" i="114"/>
  <c r="C59" i="114" s="1"/>
  <c r="C60" i="114" s="1"/>
  <c r="C61" i="114" s="1"/>
  <c r="C62" i="114" s="1"/>
  <c r="C64" i="114" s="1"/>
  <c r="C65" i="114" s="1"/>
  <c r="C66" i="114" s="1"/>
  <c r="C67" i="114" s="1"/>
  <c r="C57" i="68"/>
  <c r="C58" i="68"/>
  <c r="C59" i="68" s="1"/>
  <c r="C60" i="68" s="1"/>
  <c r="C61" i="68" s="1"/>
  <c r="C62" i="68" s="1"/>
  <c r="C64" i="68" s="1"/>
  <c r="C65" i="68" s="1"/>
  <c r="C66" i="68" s="1"/>
  <c r="C67" i="68" s="1"/>
  <c r="C57" i="44"/>
  <c r="C58" i="44" s="1"/>
  <c r="C59" i="44" s="1"/>
  <c r="C60" i="44" s="1"/>
  <c r="C61" i="44" s="1"/>
  <c r="C62" i="44" s="1"/>
  <c r="C64" i="44" s="1"/>
  <c r="C65" i="44" s="1"/>
  <c r="C66" i="44" s="1"/>
  <c r="C67" i="44" s="1"/>
  <c r="P68" i="149"/>
  <c r="P67" i="149" s="1"/>
  <c r="O23" i="150" s="1"/>
  <c r="M16" i="17"/>
  <c r="N37" i="18" s="1"/>
  <c r="O7" i="18"/>
  <c r="N7" i="18"/>
  <c r="M17" i="17"/>
  <c r="M22" i="17" s="1"/>
  <c r="P37" i="50"/>
  <c r="Q7" i="160"/>
  <c r="P17" i="159"/>
  <c r="P22" i="159" s="1"/>
  <c r="Q12" i="160" s="1"/>
  <c r="Q17" i="159"/>
  <c r="Q23" i="159"/>
  <c r="R13" i="160" s="1"/>
  <c r="R7" i="160"/>
  <c r="R6" i="160"/>
  <c r="N6" i="160"/>
  <c r="O18" i="159"/>
  <c r="P10" i="160" s="1"/>
  <c r="N77" i="65"/>
  <c r="O37" i="66"/>
  <c r="M17" i="65"/>
  <c r="M18" i="65" s="1"/>
  <c r="N10" i="66" s="1"/>
  <c r="Q9" i="164"/>
  <c r="P23" i="163"/>
  <c r="Q13" i="164" s="1"/>
  <c r="P22" i="163"/>
  <c r="Q12" i="164"/>
  <c r="Q7" i="164"/>
  <c r="P8" i="160"/>
  <c r="P7" i="160"/>
  <c r="K77" i="31"/>
  <c r="O18" i="31"/>
  <c r="P10" i="32"/>
  <c r="J49" i="58"/>
  <c r="X49" i="58"/>
  <c r="AD49" i="58"/>
  <c r="N68" i="149"/>
  <c r="N67" i="149" s="1"/>
  <c r="N23" i="150" s="1"/>
  <c r="N7" i="52"/>
  <c r="R9" i="160"/>
  <c r="M77" i="159"/>
  <c r="N37" i="160"/>
  <c r="M77" i="65"/>
  <c r="K16" i="65"/>
  <c r="M37" i="66" s="1"/>
  <c r="N37" i="66"/>
  <c r="P37" i="160"/>
  <c r="O77" i="159"/>
  <c r="N77" i="159"/>
  <c r="O37" i="160"/>
  <c r="K16" i="159"/>
  <c r="K77" i="159" s="1"/>
  <c r="D20" i="195"/>
  <c r="D19" i="195"/>
  <c r="D21" i="195"/>
  <c r="D22" i="195"/>
  <c r="D23" i="195"/>
  <c r="BM33" i="4"/>
  <c r="BO33" i="4"/>
  <c r="BN33" i="4"/>
  <c r="AT31" i="4"/>
  <c r="AU31" i="4"/>
  <c r="N12" i="47"/>
  <c r="N11" i="48" s="1"/>
  <c r="N10" i="48"/>
  <c r="AH8" i="4" s="1"/>
  <c r="N12" i="67"/>
  <c r="N11" i="68" s="1"/>
  <c r="M9" i="154"/>
  <c r="K15" i="153"/>
  <c r="M12" i="154" s="1"/>
  <c r="M9" i="48"/>
  <c r="AG9" i="4" s="1"/>
  <c r="M15" i="105"/>
  <c r="M66" i="105"/>
  <c r="N65" i="105" s="1"/>
  <c r="N22" i="106" s="1"/>
  <c r="N11" i="153"/>
  <c r="N12" i="153" s="1"/>
  <c r="N11" i="154" s="1"/>
  <c r="M16" i="47"/>
  <c r="N13" i="48" s="1"/>
  <c r="AH12" i="4" s="1"/>
  <c r="M53" i="193"/>
  <c r="M52" i="193"/>
  <c r="V52" i="193" s="1"/>
  <c r="M11" i="45"/>
  <c r="N9" i="46"/>
  <c r="AD9" i="4" s="1"/>
  <c r="K33" i="45"/>
  <c r="O33" i="45"/>
  <c r="M35" i="45"/>
  <c r="O7" i="46"/>
  <c r="AE6" i="4" s="1"/>
  <c r="N7" i="46"/>
  <c r="AD6" i="4" s="1"/>
  <c r="M36" i="45"/>
  <c r="O34" i="45"/>
  <c r="M35" i="111"/>
  <c r="P11" i="179"/>
  <c r="P12" i="179" s="1"/>
  <c r="O11" i="180" s="1"/>
  <c r="O15" i="179"/>
  <c r="O9" i="180"/>
  <c r="O74" i="180" s="1"/>
  <c r="P9" i="179"/>
  <c r="O8" i="180" s="1"/>
  <c r="O33" i="179"/>
  <c r="O34" i="179"/>
  <c r="O35" i="179"/>
  <c r="O36" i="179"/>
  <c r="O7" i="180"/>
  <c r="O72" i="180" s="1"/>
  <c r="L9" i="179"/>
  <c r="M8" i="180" s="1"/>
  <c r="M7" i="180"/>
  <c r="M72" i="180" s="1"/>
  <c r="N9" i="145"/>
  <c r="N8" i="146" s="1"/>
  <c r="M34" i="145"/>
  <c r="M36" i="145"/>
  <c r="N7" i="146"/>
  <c r="P9" i="111"/>
  <c r="O8" i="112" s="1"/>
  <c r="O36" i="111"/>
  <c r="L9" i="111"/>
  <c r="K34" i="111"/>
  <c r="M53" i="197"/>
  <c r="V53" i="197" s="1"/>
  <c r="M52" i="197"/>
  <c r="V52" i="197" s="1"/>
  <c r="N10" i="197"/>
  <c r="N36" i="198" s="1"/>
  <c r="N8" i="198"/>
  <c r="O52" i="197"/>
  <c r="Y52" i="197" s="1"/>
  <c r="O53" i="197"/>
  <c r="Y53" i="197" s="1"/>
  <c r="N9" i="195"/>
  <c r="V52" i="195" s="1"/>
  <c r="M35" i="195"/>
  <c r="P9" i="71"/>
  <c r="O8" i="72" s="1"/>
  <c r="AL7" i="4" s="1"/>
  <c r="O33" i="71"/>
  <c r="O34" i="71"/>
  <c r="O35" i="71"/>
  <c r="O36" i="71"/>
  <c r="L9" i="71"/>
  <c r="L10" i="71"/>
  <c r="M36" i="72" s="1"/>
  <c r="M7" i="72"/>
  <c r="AJ6" i="4" s="1"/>
  <c r="N9" i="83"/>
  <c r="M51" i="83" s="1"/>
  <c r="M36" i="83"/>
  <c r="M36" i="87"/>
  <c r="O35" i="87"/>
  <c r="K34" i="87"/>
  <c r="M33" i="87"/>
  <c r="O36" i="69"/>
  <c r="N7" i="198"/>
  <c r="N72" i="198" s="1"/>
  <c r="M7" i="198"/>
  <c r="M72" i="198"/>
  <c r="K36" i="197"/>
  <c r="M35" i="197"/>
  <c r="M34" i="197"/>
  <c r="K33" i="197"/>
  <c r="M11" i="197"/>
  <c r="N11" i="197" s="1"/>
  <c r="K11" i="197"/>
  <c r="K62" i="197" s="1"/>
  <c r="O36" i="107"/>
  <c r="O35" i="107"/>
  <c r="O34" i="107"/>
  <c r="O33" i="107"/>
  <c r="M36" i="147"/>
  <c r="Q17" i="31"/>
  <c r="Q22" i="31" s="1"/>
  <c r="R12" i="32" s="1"/>
  <c r="O7" i="44"/>
  <c r="M36" i="43"/>
  <c r="O35" i="43"/>
  <c r="K35" i="43"/>
  <c r="M34" i="43"/>
  <c r="O33" i="43"/>
  <c r="K33" i="43"/>
  <c r="M7" i="54"/>
  <c r="W6" i="4" s="1"/>
  <c r="K36" i="53"/>
  <c r="N7" i="68"/>
  <c r="AT6" i="4" s="1"/>
  <c r="M36" i="67"/>
  <c r="K34" i="67"/>
  <c r="Y52" i="195"/>
  <c r="Y53" i="195"/>
  <c r="L9" i="195"/>
  <c r="S53" i="195" s="1"/>
  <c r="K33" i="195"/>
  <c r="O7" i="72"/>
  <c r="AL6" i="4" s="1"/>
  <c r="M34" i="83"/>
  <c r="P9" i="83"/>
  <c r="O51" i="83" s="1"/>
  <c r="O34" i="83"/>
  <c r="O7" i="84"/>
  <c r="AR6" i="4" s="1"/>
  <c r="L9" i="83"/>
  <c r="K51" i="83" s="1"/>
  <c r="K34" i="83"/>
  <c r="K8" i="23"/>
  <c r="N8" i="118"/>
  <c r="N10" i="117"/>
  <c r="N36" i="118" s="1"/>
  <c r="N7" i="78"/>
  <c r="O36" i="77"/>
  <c r="P6" i="24"/>
  <c r="P14" i="56"/>
  <c r="Q7" i="57" s="1"/>
  <c r="Q6" i="22"/>
  <c r="R6" i="104"/>
  <c r="K9" i="103"/>
  <c r="P6" i="82"/>
  <c r="O8" i="116"/>
  <c r="CD7" i="4" s="1"/>
  <c r="P10" i="115"/>
  <c r="O36" i="116" s="1"/>
  <c r="CD31" i="4" s="1"/>
  <c r="M7" i="114"/>
  <c r="BP6" i="4" s="1"/>
  <c r="K36" i="113"/>
  <c r="K35" i="113"/>
  <c r="M34" i="113"/>
  <c r="M33" i="113"/>
  <c r="K36" i="149"/>
  <c r="K35" i="149"/>
  <c r="K34" i="149"/>
  <c r="K33" i="149"/>
  <c r="K11" i="149"/>
  <c r="L11" i="149" s="1"/>
  <c r="O34" i="119"/>
  <c r="N6" i="20"/>
  <c r="O6" i="18"/>
  <c r="N6" i="52"/>
  <c r="M9" i="118"/>
  <c r="O7" i="118"/>
  <c r="M7" i="118"/>
  <c r="O36" i="117"/>
  <c r="K36" i="117"/>
  <c r="M35" i="117"/>
  <c r="K34" i="117"/>
  <c r="M33" i="117"/>
  <c r="M8" i="116"/>
  <c r="CB7" i="4" s="1"/>
  <c r="L10" i="115"/>
  <c r="M36" i="116" s="1"/>
  <c r="O52" i="191"/>
  <c r="Y52" i="191" s="1"/>
  <c r="O51" i="191"/>
  <c r="Y51" i="191" s="1"/>
  <c r="M52" i="191"/>
  <c r="V52" i="191" s="1"/>
  <c r="M51" i="191"/>
  <c r="V51" i="191" s="1"/>
  <c r="K51" i="191"/>
  <c r="S51" i="191" s="1"/>
  <c r="K52" i="191"/>
  <c r="S52" i="191" s="1"/>
  <c r="O78" i="17"/>
  <c r="P38" i="18" s="1"/>
  <c r="N78" i="17"/>
  <c r="O38" i="18" s="1"/>
  <c r="O78" i="15"/>
  <c r="P38" i="16" s="1"/>
  <c r="P40" i="16" s="1"/>
  <c r="Q78" i="19"/>
  <c r="Q79" i="19" s="1"/>
  <c r="N78" i="19"/>
  <c r="O38" i="20" s="1"/>
  <c r="O7" i="152"/>
  <c r="M7" i="152"/>
  <c r="O36" i="151"/>
  <c r="K36" i="151"/>
  <c r="O34" i="151"/>
  <c r="K34" i="151"/>
  <c r="K36" i="115"/>
  <c r="O34" i="115"/>
  <c r="O33" i="115"/>
  <c r="K33" i="115"/>
  <c r="O7" i="158"/>
  <c r="AB6" i="4" s="1"/>
  <c r="M7" i="158"/>
  <c r="Z6" i="4" s="1"/>
  <c r="M36" i="157"/>
  <c r="O35" i="157"/>
  <c r="K35" i="157"/>
  <c r="K34" i="157"/>
  <c r="M33" i="157"/>
  <c r="P10" i="191"/>
  <c r="O36" i="192" s="1"/>
  <c r="CJ31" i="4" s="1"/>
  <c r="N10" i="191"/>
  <c r="N36" i="192" s="1"/>
  <c r="CI31" i="4" s="1"/>
  <c r="L10" i="191"/>
  <c r="M36" i="192" s="1"/>
  <c r="CH31" i="4" s="1"/>
  <c r="M78" i="17"/>
  <c r="N38" i="18" s="1"/>
  <c r="N78" i="31"/>
  <c r="P78" i="31"/>
  <c r="P79" i="31" s="1"/>
  <c r="N78" i="58"/>
  <c r="P78" i="19"/>
  <c r="P79" i="19" s="1"/>
  <c r="H20" i="195"/>
  <c r="H23" i="195"/>
  <c r="L21" i="77"/>
  <c r="BF6" i="4"/>
  <c r="M15" i="45"/>
  <c r="N12" i="46" s="1"/>
  <c r="V53" i="193"/>
  <c r="N12" i="106"/>
  <c r="BN11" i="4" s="1"/>
  <c r="H19" i="195"/>
  <c r="K16" i="149"/>
  <c r="M13" i="150" s="1"/>
  <c r="O23" i="58"/>
  <c r="P9" i="59"/>
  <c r="K16" i="15"/>
  <c r="M37" i="16" s="1"/>
  <c r="F31" i="4" s="1"/>
  <c r="R37" i="24"/>
  <c r="O15" i="65"/>
  <c r="M12" i="118"/>
  <c r="O62" i="151"/>
  <c r="P7" i="50"/>
  <c r="O17" i="49"/>
  <c r="O22" i="49" s="1"/>
  <c r="P12" i="50" s="1"/>
  <c r="L11" i="115"/>
  <c r="M10" i="116" s="1"/>
  <c r="CB8" i="4" s="1"/>
  <c r="K16" i="115"/>
  <c r="M13" i="116" s="1"/>
  <c r="CB12" i="4" s="1"/>
  <c r="K15" i="115"/>
  <c r="K66" i="115" s="1"/>
  <c r="L65" i="115" s="1"/>
  <c r="M22" i="116" s="1"/>
  <c r="K16" i="189"/>
  <c r="M13" i="190" s="1"/>
  <c r="L11" i="189"/>
  <c r="M10" i="190" s="1"/>
  <c r="P11" i="189"/>
  <c r="P12" i="189" s="1"/>
  <c r="O11" i="190" s="1"/>
  <c r="O15" i="189"/>
  <c r="O12" i="190" s="1"/>
  <c r="O36" i="193"/>
  <c r="O11" i="193"/>
  <c r="O16" i="193" s="1"/>
  <c r="O13" i="194" s="1"/>
  <c r="O33" i="145"/>
  <c r="K35" i="179"/>
  <c r="O36" i="145"/>
  <c r="M36" i="69"/>
  <c r="M36" i="197"/>
  <c r="K35" i="197"/>
  <c r="O33" i="197"/>
  <c r="O15" i="197"/>
  <c r="O12" i="198" s="1"/>
  <c r="R6" i="32"/>
  <c r="P6" i="32"/>
  <c r="O6" i="59"/>
  <c r="N6" i="59"/>
  <c r="K8" i="58"/>
  <c r="Q6" i="59"/>
  <c r="P14" i="58"/>
  <c r="M36" i="85"/>
  <c r="K35" i="85"/>
  <c r="O33" i="85"/>
  <c r="M62" i="85"/>
  <c r="N7" i="102" s="1"/>
  <c r="O36" i="67"/>
  <c r="O33" i="195"/>
  <c r="O11" i="77"/>
  <c r="O16" i="77" s="1"/>
  <c r="O13" i="78" s="1"/>
  <c r="BG12" i="4" s="1"/>
  <c r="M36" i="187"/>
  <c r="M34" i="187"/>
  <c r="O34" i="189"/>
  <c r="N14" i="56"/>
  <c r="O7" i="57" s="1"/>
  <c r="W61" i="163"/>
  <c r="L9" i="113"/>
  <c r="L10" i="113" s="1"/>
  <c r="M36" i="114" s="1"/>
  <c r="K33" i="113"/>
  <c r="N9" i="149"/>
  <c r="N8" i="150" s="1"/>
  <c r="M33" i="149"/>
  <c r="M35" i="149"/>
  <c r="N7" i="150"/>
  <c r="N9" i="113"/>
  <c r="N10" i="113" s="1"/>
  <c r="N36" i="114" s="1"/>
  <c r="BQ31" i="4" s="1"/>
  <c r="M36" i="113"/>
  <c r="N8" i="120"/>
  <c r="N10" i="119"/>
  <c r="N36" i="120" s="1"/>
  <c r="N10" i="115"/>
  <c r="N36" i="116" s="1"/>
  <c r="CC31" i="4" s="1"/>
  <c r="N8" i="116"/>
  <c r="CC7" i="4" s="1"/>
  <c r="N7" i="120"/>
  <c r="K36" i="119"/>
  <c r="K35" i="119"/>
  <c r="K34" i="119"/>
  <c r="K33" i="119"/>
  <c r="M11" i="119"/>
  <c r="K11" i="119"/>
  <c r="K16" i="119" s="1"/>
  <c r="M13" i="120" s="1"/>
  <c r="N6" i="18"/>
  <c r="P6" i="16"/>
  <c r="P6" i="52"/>
  <c r="K9" i="51"/>
  <c r="N7" i="154"/>
  <c r="M36" i="153"/>
  <c r="O7" i="116"/>
  <c r="CD6" i="4" s="1"/>
  <c r="M7" i="116"/>
  <c r="CB6" i="4" s="1"/>
  <c r="O36" i="115"/>
  <c r="M35" i="115"/>
  <c r="K34" i="115"/>
  <c r="O7" i="192"/>
  <c r="N7" i="192"/>
  <c r="O36" i="191"/>
  <c r="M35" i="191"/>
  <c r="O34" i="191"/>
  <c r="M33" i="191"/>
  <c r="M78" i="31"/>
  <c r="N38" i="32" s="1"/>
  <c r="N40" i="32" s="1"/>
  <c r="M78" i="58"/>
  <c r="M79" i="58" s="1"/>
  <c r="M78" i="19"/>
  <c r="M78" i="15"/>
  <c r="N38" i="16" s="1"/>
  <c r="N40" i="16" s="1"/>
  <c r="Q78" i="35"/>
  <c r="Q79" i="35" s="1"/>
  <c r="O78" i="31"/>
  <c r="P38" i="32" s="1"/>
  <c r="P40" i="32" s="1"/>
  <c r="O78" i="19"/>
  <c r="P11" i="193"/>
  <c r="P12" i="193" s="1"/>
  <c r="O11" i="194" s="1"/>
  <c r="N22" i="77"/>
  <c r="O66" i="197"/>
  <c r="P65" i="197" s="1"/>
  <c r="O22" i="198" s="1"/>
  <c r="P13" i="59"/>
  <c r="P62" i="59" s="1"/>
  <c r="D23" i="77"/>
  <c r="I23" i="77"/>
  <c r="P23" i="77"/>
  <c r="N9" i="84"/>
  <c r="AQ9" i="4" s="1"/>
  <c r="M16" i="83"/>
  <c r="N13" i="84" s="1"/>
  <c r="AQ12" i="4" s="1"/>
  <c r="M10" i="84"/>
  <c r="AP8" i="4" s="1"/>
  <c r="K15" i="83"/>
  <c r="K66" i="83"/>
  <c r="L65" i="83" s="1"/>
  <c r="M22" i="84" s="1"/>
  <c r="N7" i="74"/>
  <c r="AN6" i="4" s="1"/>
  <c r="M36" i="73"/>
  <c r="M35" i="73"/>
  <c r="N10" i="47"/>
  <c r="N36" i="48" s="1"/>
  <c r="AH31" i="4" s="1"/>
  <c r="N8" i="48"/>
  <c r="AH7" i="4" s="1"/>
  <c r="M36" i="47"/>
  <c r="M34" i="47"/>
  <c r="AG31" i="4"/>
  <c r="K16" i="47"/>
  <c r="M13" i="48" s="1"/>
  <c r="AG12" i="4" s="1"/>
  <c r="K35" i="45"/>
  <c r="O36" i="157"/>
  <c r="O34" i="157"/>
  <c r="K36" i="157"/>
  <c r="O8" i="44"/>
  <c r="P10" i="43"/>
  <c r="O36" i="44"/>
  <c r="O36" i="43"/>
  <c r="O34" i="43"/>
  <c r="O11" i="43"/>
  <c r="P11" i="43" s="1"/>
  <c r="M35" i="43"/>
  <c r="K19" i="58"/>
  <c r="M11" i="59" s="1"/>
  <c r="M58" i="59" s="1"/>
  <c r="O9" i="59"/>
  <c r="O23" i="31"/>
  <c r="P7" i="26"/>
  <c r="N22" i="103"/>
  <c r="O12" i="104" s="1"/>
  <c r="N15" i="103"/>
  <c r="O8" i="104" s="1"/>
  <c r="O23" i="15"/>
  <c r="P13" i="16" s="1"/>
  <c r="D48" i="159"/>
  <c r="AD70" i="14"/>
  <c r="AD64" i="14"/>
  <c r="AD48" i="14"/>
  <c r="AD45" i="14"/>
  <c r="AD37" i="14"/>
  <c r="AD29" i="14"/>
  <c r="AD59" i="14"/>
  <c r="AD52" i="14"/>
  <c r="AD41" i="14"/>
  <c r="AD33" i="14"/>
  <c r="AD79" i="14"/>
  <c r="AD77" i="14"/>
  <c r="AD75" i="14"/>
  <c r="AD73" i="14"/>
  <c r="AD71" i="14"/>
  <c r="AD67" i="14"/>
  <c r="AD65" i="14"/>
  <c r="AD60" i="14"/>
  <c r="AD53" i="14"/>
  <c r="AD49" i="14"/>
  <c r="AD42" i="14"/>
  <c r="AD38" i="14"/>
  <c r="AD34" i="14"/>
  <c r="AD30" i="14"/>
  <c r="AD28" i="14"/>
  <c r="AD69" i="14"/>
  <c r="AD63" i="14"/>
  <c r="AD57" i="14"/>
  <c r="AD51" i="14"/>
  <c r="AD47" i="14"/>
  <c r="AD44" i="14"/>
  <c r="AD40" i="14"/>
  <c r="AD36" i="14"/>
  <c r="AD32" i="14"/>
  <c r="D53" i="119"/>
  <c r="D48" i="65"/>
  <c r="D48" i="163"/>
  <c r="D52" i="91"/>
  <c r="D52" i="163"/>
  <c r="D53" i="89"/>
  <c r="D48" i="91"/>
  <c r="P15" i="51"/>
  <c r="Q8" i="52" s="1"/>
  <c r="P17" i="51"/>
  <c r="P22" i="51" s="1"/>
  <c r="Q12" i="52" s="1"/>
  <c r="Q7" i="52"/>
  <c r="O17" i="51"/>
  <c r="O23" i="51" s="1"/>
  <c r="O15" i="51"/>
  <c r="P8" i="52" s="1"/>
  <c r="P7" i="52"/>
  <c r="Q14" i="51"/>
  <c r="M16" i="51"/>
  <c r="M77" i="51" s="1"/>
  <c r="M62" i="51"/>
  <c r="N8" i="52"/>
  <c r="P16" i="51"/>
  <c r="P77" i="51" s="1"/>
  <c r="N37" i="52"/>
  <c r="N52" i="103"/>
  <c r="M52" i="113"/>
  <c r="M53" i="113"/>
  <c r="V53" i="113" s="1"/>
  <c r="K52" i="113"/>
  <c r="K53" i="113"/>
  <c r="K15" i="197"/>
  <c r="K66" i="197" s="1"/>
  <c r="L65" i="197" s="1"/>
  <c r="M22" i="198" s="1"/>
  <c r="K16" i="197"/>
  <c r="M13" i="198" s="1"/>
  <c r="O51" i="71"/>
  <c r="Y51" i="71" s="1"/>
  <c r="O52" i="71"/>
  <c r="Y52" i="71" s="1"/>
  <c r="O51" i="111"/>
  <c r="Y51" i="111" s="1"/>
  <c r="O50" i="111"/>
  <c r="Y50" i="111" s="1"/>
  <c r="O53" i="179"/>
  <c r="Y53" i="179" s="1"/>
  <c r="O52" i="179"/>
  <c r="Y52" i="179" s="1"/>
  <c r="M22" i="65"/>
  <c r="N12" i="66" s="1"/>
  <c r="K77" i="65"/>
  <c r="M12" i="202"/>
  <c r="N10" i="202"/>
  <c r="O16" i="149"/>
  <c r="O13" i="150" s="1"/>
  <c r="O9" i="150"/>
  <c r="O74" i="150" s="1"/>
  <c r="K16" i="71"/>
  <c r="M13" i="72" s="1"/>
  <c r="AJ12" i="4" s="1"/>
  <c r="K16" i="77"/>
  <c r="M13" i="78" s="1"/>
  <c r="BE12" i="4" s="1"/>
  <c r="M9" i="78"/>
  <c r="BE9" i="4" s="1"/>
  <c r="O52" i="103"/>
  <c r="O53" i="103"/>
  <c r="O54" i="89"/>
  <c r="Y54" i="89" s="1"/>
  <c r="O53" i="89"/>
  <c r="Y53" i="89" s="1"/>
  <c r="M15" i="87"/>
  <c r="N12" i="88"/>
  <c r="BC11" i="4" s="1"/>
  <c r="C51" i="32"/>
  <c r="C49" i="32"/>
  <c r="C50" i="32" s="1"/>
  <c r="K52" i="85"/>
  <c r="K51" i="85"/>
  <c r="S51" i="85" s="1"/>
  <c r="L5" i="102"/>
  <c r="L6" i="102" s="1"/>
  <c r="M8" i="86"/>
  <c r="AV7" i="4" s="1"/>
  <c r="L10" i="85"/>
  <c r="M36" i="86" s="1"/>
  <c r="AV31" i="4" s="1"/>
  <c r="K51" i="71"/>
  <c r="S51" i="71" s="1"/>
  <c r="K52" i="71"/>
  <c r="S52" i="71" s="1"/>
  <c r="K53" i="179"/>
  <c r="S53" i="179" s="1"/>
  <c r="K52" i="179"/>
  <c r="S52" i="179" s="1"/>
  <c r="R64" i="160"/>
  <c r="R57" i="160"/>
  <c r="Q64" i="160"/>
  <c r="Q57" i="160"/>
  <c r="O52" i="113"/>
  <c r="Y52" i="113" s="1"/>
  <c r="O53" i="113"/>
  <c r="Y53" i="113" s="1"/>
  <c r="Q53" i="23"/>
  <c r="Q52" i="23"/>
  <c r="M52" i="179"/>
  <c r="V52" i="179" s="1"/>
  <c r="M53" i="179"/>
  <c r="V53" i="179" s="1"/>
  <c r="J49" i="31"/>
  <c r="X49" i="31"/>
  <c r="AD49" i="31"/>
  <c r="C51" i="59"/>
  <c r="C55" i="59" s="1"/>
  <c r="C56" i="59" s="1"/>
  <c r="C57" i="59" s="1"/>
  <c r="C58" i="59" s="1"/>
  <c r="C49" i="59"/>
  <c r="C50" i="59"/>
  <c r="M52" i="85"/>
  <c r="M51" i="85"/>
  <c r="V51" i="85" s="1"/>
  <c r="N5" i="102"/>
  <c r="N6" i="102" s="1"/>
  <c r="N8" i="102" s="1"/>
  <c r="N9" i="102" s="1"/>
  <c r="P10" i="195"/>
  <c r="O36" i="196" s="1"/>
  <c r="O8" i="196"/>
  <c r="M11" i="145"/>
  <c r="N11" i="145" s="1"/>
  <c r="M33" i="145"/>
  <c r="K11" i="45"/>
  <c r="L11" i="45" s="1"/>
  <c r="M10" i="46" s="1"/>
  <c r="AC8" i="4" s="1"/>
  <c r="M33" i="45"/>
  <c r="O36" i="45"/>
  <c r="M36" i="179"/>
  <c r="K11" i="179"/>
  <c r="L11" i="179" s="1"/>
  <c r="O35" i="193"/>
  <c r="O7" i="88"/>
  <c r="BD6" i="4" s="1"/>
  <c r="M7" i="88"/>
  <c r="BB6" i="4" s="1"/>
  <c r="O36" i="87"/>
  <c r="O34" i="87"/>
  <c r="K34" i="69"/>
  <c r="M36" i="201"/>
  <c r="K35" i="201"/>
  <c r="M34" i="201"/>
  <c r="K33" i="201"/>
  <c r="O15" i="201"/>
  <c r="O66" i="201"/>
  <c r="P65" i="201" s="1"/>
  <c r="O22" i="202" s="1"/>
  <c r="O7" i="148"/>
  <c r="O36" i="147"/>
  <c r="O34" i="147"/>
  <c r="M34" i="85"/>
  <c r="C51" i="104"/>
  <c r="C55" i="104"/>
  <c r="C56" i="104" s="1"/>
  <c r="C57" i="104" s="1"/>
  <c r="C58" i="104" s="1"/>
  <c r="C49" i="104"/>
  <c r="C50" i="104" s="1"/>
  <c r="C51" i="82"/>
  <c r="C52" i="82" s="1"/>
  <c r="C53" i="82" s="1"/>
  <c r="C49" i="82"/>
  <c r="C50" i="82"/>
  <c r="M51" i="53"/>
  <c r="M52" i="53"/>
  <c r="O50" i="107"/>
  <c r="O51" i="107"/>
  <c r="Y51" i="107" s="1"/>
  <c r="M51" i="107"/>
  <c r="M50" i="107"/>
  <c r="V50" i="107" s="1"/>
  <c r="Y52" i="109"/>
  <c r="Y51" i="109"/>
  <c r="O51" i="43"/>
  <c r="Y51" i="43" s="1"/>
  <c r="O52" i="43"/>
  <c r="Y52" i="43" s="1"/>
  <c r="K51" i="43"/>
  <c r="S51" i="43" s="1"/>
  <c r="K52" i="43"/>
  <c r="N9" i="71"/>
  <c r="M52" i="71" s="1"/>
  <c r="M34" i="71"/>
  <c r="M36" i="71"/>
  <c r="C51" i="26"/>
  <c r="C55" i="26"/>
  <c r="C56" i="26" s="1"/>
  <c r="C57" i="26" s="1"/>
  <c r="C58" i="26" s="1"/>
  <c r="C49" i="26"/>
  <c r="C50" i="26" s="1"/>
  <c r="C51" i="50"/>
  <c r="C52" i="50" s="1"/>
  <c r="C53" i="50" s="1"/>
  <c r="C49" i="50"/>
  <c r="C50" i="50" s="1"/>
  <c r="C51" i="36"/>
  <c r="C55" i="36"/>
  <c r="C56" i="36" s="1"/>
  <c r="C57" i="36" s="1"/>
  <c r="C58" i="36" s="1"/>
  <c r="C49" i="36"/>
  <c r="C50" i="36" s="1"/>
  <c r="C51" i="24"/>
  <c r="C55" i="24" s="1"/>
  <c r="C56" i="24" s="1"/>
  <c r="C57" i="24" s="1"/>
  <c r="C58" i="24" s="1"/>
  <c r="C49" i="24"/>
  <c r="C50" i="24" s="1"/>
  <c r="C51" i="57"/>
  <c r="C55" i="57" s="1"/>
  <c r="C56" i="57" s="1"/>
  <c r="C57" i="57" s="1"/>
  <c r="C58" i="57" s="1"/>
  <c r="C49" i="57"/>
  <c r="C50" i="57"/>
  <c r="O36" i="73"/>
  <c r="K35" i="73"/>
  <c r="M34" i="73"/>
  <c r="M33" i="73"/>
  <c r="O7" i="90"/>
  <c r="BJ6" i="4"/>
  <c r="Q8" i="26"/>
  <c r="Q29" i="26" s="1"/>
  <c r="M7" i="188"/>
  <c r="O36" i="187"/>
  <c r="K34" i="187"/>
  <c r="O7" i="190"/>
  <c r="K34" i="189"/>
  <c r="R6" i="66"/>
  <c r="O6" i="66"/>
  <c r="Q53" i="91"/>
  <c r="X53" i="91"/>
  <c r="Q52" i="91"/>
  <c r="Q6" i="57"/>
  <c r="M53" i="119"/>
  <c r="V53" i="119" s="1"/>
  <c r="M52" i="119"/>
  <c r="C51" i="20"/>
  <c r="C49" i="20"/>
  <c r="C50" i="20"/>
  <c r="C51" i="16"/>
  <c r="C55" i="16" s="1"/>
  <c r="C56" i="16" s="1"/>
  <c r="C57" i="16" s="1"/>
  <c r="C58" i="16" s="1"/>
  <c r="C49" i="16"/>
  <c r="C50" i="16" s="1"/>
  <c r="C51" i="52"/>
  <c r="C52" i="52" s="1"/>
  <c r="C53" i="52" s="1"/>
  <c r="C49" i="52"/>
  <c r="C50" i="52"/>
  <c r="M54" i="89"/>
  <c r="V54" i="89" s="1"/>
  <c r="M53" i="89"/>
  <c r="V53" i="89" s="1"/>
  <c r="K53" i="119"/>
  <c r="S53" i="119" s="1"/>
  <c r="K52" i="119"/>
  <c r="S52" i="119" s="1"/>
  <c r="L10" i="119"/>
  <c r="M36" i="120"/>
  <c r="M8" i="120"/>
  <c r="M52" i="117"/>
  <c r="V52" i="117" s="1"/>
  <c r="M51" i="117"/>
  <c r="V51" i="117" s="1"/>
  <c r="P53" i="163"/>
  <c r="AC53" i="163" s="1"/>
  <c r="P52" i="163"/>
  <c r="AC52" i="163" s="1"/>
  <c r="Q14" i="163"/>
  <c r="R7" i="164" s="1"/>
  <c r="O36" i="105"/>
  <c r="O36" i="119"/>
  <c r="M35" i="119"/>
  <c r="M33" i="119"/>
  <c r="Q6" i="18"/>
  <c r="Q10" i="18"/>
  <c r="Q56" i="18" s="1"/>
  <c r="R6" i="16"/>
  <c r="M14" i="15"/>
  <c r="N7" i="16" s="1"/>
  <c r="K8" i="15"/>
  <c r="Q6" i="52"/>
  <c r="M34" i="117"/>
  <c r="K33" i="117"/>
  <c r="M34" i="153"/>
  <c r="O52" i="115"/>
  <c r="Y52" i="115" s="1"/>
  <c r="O51" i="115"/>
  <c r="Y51" i="115" s="1"/>
  <c r="M52" i="115"/>
  <c r="V52" i="115" s="1"/>
  <c r="M51" i="115"/>
  <c r="V51" i="115" s="1"/>
  <c r="K52" i="115"/>
  <c r="S52" i="115" s="1"/>
  <c r="K51" i="115"/>
  <c r="S51" i="115" s="1"/>
  <c r="M50" i="47"/>
  <c r="V50" i="47" s="1"/>
  <c r="M51" i="47"/>
  <c r="V51" i="47" s="1"/>
  <c r="K50" i="47"/>
  <c r="K51" i="47"/>
  <c r="S51" i="47"/>
  <c r="C51" i="18"/>
  <c r="C52" i="18"/>
  <c r="C53" i="18" s="1"/>
  <c r="C49" i="18"/>
  <c r="C50" i="18" s="1"/>
  <c r="Q53" i="163"/>
  <c r="AD53" i="163"/>
  <c r="Q52" i="163"/>
  <c r="X52" i="163"/>
  <c r="O11" i="191"/>
  <c r="C55" i="18"/>
  <c r="C56" i="18" s="1"/>
  <c r="C57" i="18" s="1"/>
  <c r="C58" i="18" s="1"/>
  <c r="S50" i="47"/>
  <c r="V52" i="119"/>
  <c r="C55" i="50"/>
  <c r="C56" i="50" s="1"/>
  <c r="C57" i="50" s="1"/>
  <c r="C58" i="50" s="1"/>
  <c r="C52" i="26"/>
  <c r="C53" i="26" s="1"/>
  <c r="S52" i="43"/>
  <c r="V52" i="53"/>
  <c r="S52" i="113"/>
  <c r="C55" i="52"/>
  <c r="C56" i="52" s="1"/>
  <c r="C57" i="52" s="1"/>
  <c r="C58" i="52" s="1"/>
  <c r="AD53" i="91"/>
  <c r="V51" i="107"/>
  <c r="Y50" i="107"/>
  <c r="C52" i="104"/>
  <c r="C53" i="104" s="1"/>
  <c r="O12" i="202"/>
  <c r="V52" i="85"/>
  <c r="S53" i="113"/>
  <c r="Z49" i="58"/>
  <c r="T49" i="58"/>
  <c r="AA49" i="58"/>
  <c r="U49" i="58"/>
  <c r="X52" i="25"/>
  <c r="AD52" i="25"/>
  <c r="M16" i="25"/>
  <c r="N7" i="26"/>
  <c r="R8" i="26"/>
  <c r="R29" i="26" s="1"/>
  <c r="N14" i="25"/>
  <c r="N15" i="25" s="1"/>
  <c r="K9" i="25"/>
  <c r="Q61" i="25"/>
  <c r="X61" i="25" s="1"/>
  <c r="P52" i="25"/>
  <c r="W52" i="25" s="1"/>
  <c r="O14" i="81"/>
  <c r="Q57" i="22"/>
  <c r="P23" i="21"/>
  <c r="Q13" i="22" s="1"/>
  <c r="O6" i="22"/>
  <c r="O41" i="22" s="1"/>
  <c r="N16" i="103"/>
  <c r="O37" i="104" s="1"/>
  <c r="O23" i="103"/>
  <c r="P13" i="104" s="1"/>
  <c r="P9" i="104"/>
  <c r="O16" i="103"/>
  <c r="O77" i="103" s="1"/>
  <c r="P9" i="16"/>
  <c r="R7" i="16"/>
  <c r="R57" i="16" s="1"/>
  <c r="Q17" i="15"/>
  <c r="R9" i="16" s="1"/>
  <c r="AC52" i="25"/>
  <c r="Q23" i="15"/>
  <c r="R13" i="16" s="1"/>
  <c r="Q22" i="15"/>
  <c r="R12" i="16" s="1"/>
  <c r="C49" i="92"/>
  <c r="C50" i="92" s="1"/>
  <c r="C51" i="92"/>
  <c r="C55" i="92" s="1"/>
  <c r="C56" i="92" s="1"/>
  <c r="C57" i="92" s="1"/>
  <c r="C58" i="92" s="1"/>
  <c r="C51" i="66"/>
  <c r="C55" i="66" s="1"/>
  <c r="C56" i="66" s="1"/>
  <c r="C57" i="66" s="1"/>
  <c r="C58" i="66" s="1"/>
  <c r="C49" i="66"/>
  <c r="C50" i="66" s="1"/>
  <c r="C49" i="164"/>
  <c r="C50" i="164"/>
  <c r="C51" i="164"/>
  <c r="Q64" i="164"/>
  <c r="Q57" i="164"/>
  <c r="BL5" i="4"/>
  <c r="C49" i="160"/>
  <c r="C50" i="160" s="1"/>
  <c r="C51" i="160"/>
  <c r="C55" i="160" s="1"/>
  <c r="C56" i="160" s="1"/>
  <c r="C57" i="160" s="1"/>
  <c r="C58" i="160" s="1"/>
  <c r="C55" i="164"/>
  <c r="C56" i="164"/>
  <c r="C57" i="164" s="1"/>
  <c r="C58" i="164" s="1"/>
  <c r="C52" i="164"/>
  <c r="C53" i="164"/>
  <c r="C69" i="92"/>
  <c r="C70" i="92" s="1"/>
  <c r="C71" i="92" s="1"/>
  <c r="C72" i="92" s="1"/>
  <c r="C69" i="66"/>
  <c r="C70" i="66" s="1"/>
  <c r="C71" i="66" s="1"/>
  <c r="C72" i="66" s="1"/>
  <c r="C69" i="164"/>
  <c r="C70" i="164"/>
  <c r="C71" i="164" s="1"/>
  <c r="C72" i="164" s="1"/>
  <c r="CI6" i="4"/>
  <c r="N72" i="192"/>
  <c r="N17" i="56"/>
  <c r="N23" i="56" s="1"/>
  <c r="O13" i="57" s="1"/>
  <c r="P11" i="77"/>
  <c r="P12" i="77"/>
  <c r="O11" i="78" s="1"/>
  <c r="K14" i="58"/>
  <c r="K11" i="58" s="1"/>
  <c r="C52" i="59"/>
  <c r="C53" i="59" s="1"/>
  <c r="I52" i="195"/>
  <c r="H48" i="23"/>
  <c r="U48" i="23" s="1"/>
  <c r="H46" i="58"/>
  <c r="K46" i="58" s="1"/>
  <c r="H48" i="21"/>
  <c r="H46" i="15"/>
  <c r="W46" i="15" s="1"/>
  <c r="H46" i="23"/>
  <c r="X46" i="23" s="1"/>
  <c r="H48" i="56"/>
  <c r="K48" i="56" s="1"/>
  <c r="H48" i="159"/>
  <c r="H46" i="56"/>
  <c r="U46" i="56" s="1"/>
  <c r="P13" i="32"/>
  <c r="N15" i="56"/>
  <c r="N53" i="56" s="1"/>
  <c r="P50" i="59"/>
  <c r="Q7" i="59"/>
  <c r="Q64" i="59" s="1"/>
  <c r="P17" i="58"/>
  <c r="Q9" i="59" s="1"/>
  <c r="CJ6" i="4"/>
  <c r="O72" i="192"/>
  <c r="O23" i="49"/>
  <c r="P13" i="50" s="1"/>
  <c r="P9" i="50"/>
  <c r="P57" i="50"/>
  <c r="P64" i="50"/>
  <c r="M8" i="72"/>
  <c r="AJ7" i="4" s="1"/>
  <c r="K62" i="149"/>
  <c r="M9" i="198"/>
  <c r="M74" i="198" s="1"/>
  <c r="M8" i="196"/>
  <c r="L10" i="195"/>
  <c r="M36" i="196" s="1"/>
  <c r="S52" i="195"/>
  <c r="O8" i="84"/>
  <c r="AR7" i="4" s="1"/>
  <c r="P10" i="83"/>
  <c r="O36" i="84" s="1"/>
  <c r="AR31" i="4" s="1"/>
  <c r="O19" i="159"/>
  <c r="P11" i="160" s="1"/>
  <c r="Q22" i="159"/>
  <c r="Q9" i="160"/>
  <c r="K16" i="17"/>
  <c r="M37" i="18" s="1"/>
  <c r="E31" i="4" s="1"/>
  <c r="P64" i="59"/>
  <c r="P57" i="59"/>
  <c r="O16" i="179"/>
  <c r="O13" i="180" s="1"/>
  <c r="O62" i="179"/>
  <c r="D53" i="181"/>
  <c r="O9" i="36"/>
  <c r="N18" i="35"/>
  <c r="N19" i="35" s="1"/>
  <c r="O11" i="36" s="1"/>
  <c r="N8" i="180"/>
  <c r="M61" i="179"/>
  <c r="N10" i="179"/>
  <c r="N36" i="180" s="1"/>
  <c r="R64" i="57"/>
  <c r="R57" i="57"/>
  <c r="R57" i="50"/>
  <c r="R64" i="50"/>
  <c r="AD74" i="14"/>
  <c r="AD61" i="14"/>
  <c r="AD50" i="14"/>
  <c r="R64" i="32"/>
  <c r="R57" i="32"/>
  <c r="O8" i="114"/>
  <c r="BR7" i="4"/>
  <c r="P11" i="149"/>
  <c r="P12" i="149" s="1"/>
  <c r="O11" i="150" s="1"/>
  <c r="M62" i="77"/>
  <c r="M62" i="149"/>
  <c r="R57" i="59"/>
  <c r="R64" i="59"/>
  <c r="M34" i="45"/>
  <c r="M34" i="179"/>
  <c r="M11" i="179"/>
  <c r="M62" i="179" s="1"/>
  <c r="AD76" i="14"/>
  <c r="AD68" i="14"/>
  <c r="AD55" i="14"/>
  <c r="O7" i="202"/>
  <c r="O72" i="202" s="1"/>
  <c r="N7" i="202"/>
  <c r="N72" i="202" s="1"/>
  <c r="O35" i="201"/>
  <c r="O33" i="201"/>
  <c r="O7" i="108"/>
  <c r="BU6" i="4" s="1"/>
  <c r="M35" i="107"/>
  <c r="M33" i="107"/>
  <c r="M36" i="109"/>
  <c r="O34" i="109"/>
  <c r="K34" i="109"/>
  <c r="K36" i="43"/>
  <c r="M33" i="43"/>
  <c r="N7" i="86"/>
  <c r="N72" i="86" s="1"/>
  <c r="O35" i="85"/>
  <c r="M7" i="74"/>
  <c r="AM6" i="4" s="1"/>
  <c r="K36" i="73"/>
  <c r="K34" i="73"/>
  <c r="K35" i="77"/>
  <c r="N7" i="90"/>
  <c r="BI6" i="4" s="1"/>
  <c r="M36" i="89"/>
  <c r="K35" i="89"/>
  <c r="K34" i="89"/>
  <c r="M11" i="89"/>
  <c r="M16" i="89" s="1"/>
  <c r="N13" i="90" s="1"/>
  <c r="K11" i="89"/>
  <c r="M9" i="90" s="1"/>
  <c r="BH9" i="4" s="1"/>
  <c r="P14" i="25"/>
  <c r="Q6" i="26"/>
  <c r="P61" i="49"/>
  <c r="W61" i="49"/>
  <c r="P52" i="49"/>
  <c r="P53" i="56"/>
  <c r="AC53" i="56" s="1"/>
  <c r="P52" i="56"/>
  <c r="AC52" i="56" s="1"/>
  <c r="Q52" i="49"/>
  <c r="X52" i="49" s="1"/>
  <c r="Q61" i="49"/>
  <c r="X61" i="49" s="1"/>
  <c r="Q8" i="50"/>
  <c r="Q29" i="50" s="1"/>
  <c r="O52" i="49"/>
  <c r="V52" i="49" s="1"/>
  <c r="O61" i="49"/>
  <c r="V61" i="49" s="1"/>
  <c r="O34" i="187"/>
  <c r="N6" i="36"/>
  <c r="Q52" i="56"/>
  <c r="X52" i="56" s="1"/>
  <c r="Q53" i="56"/>
  <c r="X53" i="56" s="1"/>
  <c r="Q8" i="57"/>
  <c r="Q29" i="57" s="1"/>
  <c r="O36" i="113"/>
  <c r="O34" i="113"/>
  <c r="M11" i="113"/>
  <c r="N9" i="114" s="1"/>
  <c r="M7" i="106"/>
  <c r="BM6" i="4" s="1"/>
  <c r="M36" i="105"/>
  <c r="K34" i="105"/>
  <c r="M7" i="120"/>
  <c r="M34" i="119"/>
  <c r="P6" i="20"/>
  <c r="R6" i="18"/>
  <c r="N7" i="118"/>
  <c r="K62" i="117"/>
  <c r="M36" i="117"/>
  <c r="O73" i="192"/>
  <c r="N73" i="192"/>
  <c r="M73" i="192"/>
  <c r="M15" i="179"/>
  <c r="M66" i="179" s="1"/>
  <c r="N65" i="179" s="1"/>
  <c r="N22" i="180" s="1"/>
  <c r="R12" i="160"/>
  <c r="R65" i="160" s="1"/>
  <c r="M16" i="113"/>
  <c r="N13" i="114" s="1"/>
  <c r="BQ12" i="4" s="1"/>
  <c r="M62" i="113"/>
  <c r="AD52" i="49"/>
  <c r="Q7" i="26"/>
  <c r="Q64" i="26" s="1"/>
  <c r="K62" i="89"/>
  <c r="O10" i="150"/>
  <c r="O10" i="36"/>
  <c r="P23" i="58"/>
  <c r="K39" i="58"/>
  <c r="K38" i="58"/>
  <c r="K37" i="58"/>
  <c r="K10" i="58"/>
  <c r="W66" i="58" s="1"/>
  <c r="M7" i="59"/>
  <c r="R6" i="4" s="1"/>
  <c r="K36" i="58"/>
  <c r="R59" i="160"/>
  <c r="R60" i="160" s="1"/>
  <c r="Q13" i="59"/>
  <c r="D27" i="58"/>
  <c r="D27" i="25"/>
  <c r="D26" i="159"/>
  <c r="D27" i="35"/>
  <c r="D27" i="31"/>
  <c r="D27" i="51"/>
  <c r="H19" i="47"/>
  <c r="D26" i="15"/>
  <c r="D26" i="81"/>
  <c r="D26" i="23"/>
  <c r="D26" i="19"/>
  <c r="D26" i="21"/>
  <c r="D26" i="35"/>
  <c r="D19" i="47"/>
  <c r="D26" i="51"/>
  <c r="D26" i="103"/>
  <c r="D26" i="65"/>
  <c r="D26" i="163"/>
  <c r="D26" i="91"/>
  <c r="L19" i="47"/>
  <c r="N19" i="47"/>
  <c r="P19" i="47"/>
  <c r="C52" i="36"/>
  <c r="C53" i="36"/>
  <c r="S52" i="85"/>
  <c r="Q17" i="163"/>
  <c r="Q37" i="52"/>
  <c r="P62" i="51"/>
  <c r="I50" i="195"/>
  <c r="U50" i="195" s="1"/>
  <c r="I51" i="195"/>
  <c r="U51" i="195" s="1"/>
  <c r="I48" i="195"/>
  <c r="R48" i="195" s="1"/>
  <c r="I53" i="195"/>
  <c r="H48" i="163"/>
  <c r="T48" i="163" s="1"/>
  <c r="H48" i="58"/>
  <c r="K48" i="58" s="1"/>
  <c r="H48" i="25"/>
  <c r="H46" i="65"/>
  <c r="H52" i="163"/>
  <c r="K15" i="149"/>
  <c r="M12" i="150" s="1"/>
  <c r="M9" i="150"/>
  <c r="M74" i="150" s="1"/>
  <c r="N10" i="195"/>
  <c r="N36" i="196" s="1"/>
  <c r="V53" i="195"/>
  <c r="L10" i="111"/>
  <c r="M36" i="112" s="1"/>
  <c r="M8" i="112"/>
  <c r="O66" i="179"/>
  <c r="P65" i="179" s="1"/>
  <c r="O22" i="180" s="1"/>
  <c r="O12" i="180"/>
  <c r="H48" i="15"/>
  <c r="T48" i="15" s="1"/>
  <c r="H48" i="19"/>
  <c r="X48" i="19" s="1"/>
  <c r="H52" i="91"/>
  <c r="H46" i="31"/>
  <c r="T46" i="31" s="1"/>
  <c r="H46" i="35"/>
  <c r="V46" i="35" s="1"/>
  <c r="H48" i="81"/>
  <c r="H48" i="49"/>
  <c r="H49" i="17"/>
  <c r="T49" i="17" s="1"/>
  <c r="H46" i="17"/>
  <c r="U46" i="17" s="1"/>
  <c r="H46" i="19"/>
  <c r="H46" i="25"/>
  <c r="H46" i="21"/>
  <c r="U46" i="21" s="1"/>
  <c r="P66" i="59"/>
  <c r="P34" i="59"/>
  <c r="P41" i="82"/>
  <c r="P12" i="199"/>
  <c r="O11" i="200" s="1"/>
  <c r="O10" i="200"/>
  <c r="I36" i="146"/>
  <c r="N38" i="146" s="1"/>
  <c r="K11" i="43"/>
  <c r="L11" i="43" s="1"/>
  <c r="N9" i="150"/>
  <c r="N74" i="150" s="1"/>
  <c r="N23" i="103"/>
  <c r="O13" i="104" s="1"/>
  <c r="M16" i="151"/>
  <c r="N13" i="152"/>
  <c r="N9" i="66"/>
  <c r="M23" i="65"/>
  <c r="N13" i="66" s="1"/>
  <c r="K16" i="58"/>
  <c r="P9" i="32"/>
  <c r="W49" i="17"/>
  <c r="P37" i="59"/>
  <c r="O18" i="15"/>
  <c r="P10" i="16" s="1"/>
  <c r="M17" i="159"/>
  <c r="N9" i="160" s="1"/>
  <c r="M23" i="35"/>
  <c r="N13" i="36" s="1"/>
  <c r="O18" i="103"/>
  <c r="O19" i="103" s="1"/>
  <c r="P11" i="104" s="1"/>
  <c r="P11" i="111"/>
  <c r="P12" i="111" s="1"/>
  <c r="O11" i="112" s="1"/>
  <c r="K16" i="111"/>
  <c r="M13" i="112" s="1"/>
  <c r="O9" i="86"/>
  <c r="K16" i="201"/>
  <c r="M13" i="202" s="1"/>
  <c r="M16" i="77"/>
  <c r="N13" i="78" s="1"/>
  <c r="BF12" i="4" s="1"/>
  <c r="M15" i="151"/>
  <c r="M66" i="151" s="1"/>
  <c r="N65" i="151" s="1"/>
  <c r="N22" i="152" s="1"/>
  <c r="M9" i="190"/>
  <c r="C11" i="155"/>
  <c r="O9" i="200"/>
  <c r="O74" i="200" s="1"/>
  <c r="O15" i="199"/>
  <c r="O62" i="109"/>
  <c r="O9" i="110"/>
  <c r="BX9" i="4" s="1"/>
  <c r="O9" i="54"/>
  <c r="Y9" i="4" s="1"/>
  <c r="N11" i="53"/>
  <c r="K15" i="195"/>
  <c r="M12" i="196" s="1"/>
  <c r="N15" i="23"/>
  <c r="O8" i="24" s="1"/>
  <c r="Q22" i="58"/>
  <c r="R12" i="59"/>
  <c r="O15" i="147"/>
  <c r="M15" i="58"/>
  <c r="O15" i="83"/>
  <c r="O66" i="83"/>
  <c r="P65" i="83" s="1"/>
  <c r="O22" i="84" s="1"/>
  <c r="K16" i="83"/>
  <c r="M13" i="84" s="1"/>
  <c r="AP12" i="4" s="1"/>
  <c r="M15" i="187"/>
  <c r="M66" i="187" s="1"/>
  <c r="N65" i="187" s="1"/>
  <c r="N22" i="188" s="1"/>
  <c r="K15" i="189"/>
  <c r="M15" i="47"/>
  <c r="M66" i="47" s="1"/>
  <c r="N65" i="47" s="1"/>
  <c r="N22" i="48" s="1"/>
  <c r="M33" i="111"/>
  <c r="K36" i="87"/>
  <c r="M34" i="69"/>
  <c r="O36" i="201"/>
  <c r="P9" i="77"/>
  <c r="O8" i="78" s="1"/>
  <c r="BG7" i="4" s="1"/>
  <c r="O35" i="77"/>
  <c r="R6" i="22"/>
  <c r="P6" i="104"/>
  <c r="M14" i="103"/>
  <c r="K14" i="103" s="1"/>
  <c r="O11" i="117"/>
  <c r="O16" i="117" s="1"/>
  <c r="O13" i="118" s="1"/>
  <c r="N7" i="152"/>
  <c r="M35" i="151"/>
  <c r="M33" i="151"/>
  <c r="K36" i="191"/>
  <c r="K35" i="191"/>
  <c r="K34" i="191"/>
  <c r="K33" i="191"/>
  <c r="P17" i="25"/>
  <c r="P23" i="25" s="1"/>
  <c r="Q13" i="26" s="1"/>
  <c r="P22" i="58"/>
  <c r="P12" i="160"/>
  <c r="L12" i="109"/>
  <c r="M11" i="110" s="1"/>
  <c r="M10" i="110"/>
  <c r="BV8" i="4" s="1"/>
  <c r="W52" i="49"/>
  <c r="AC52" i="49"/>
  <c r="R9" i="57"/>
  <c r="Q23" i="56"/>
  <c r="Q22" i="56"/>
  <c r="R12" i="57" s="1"/>
  <c r="N10" i="188"/>
  <c r="N12" i="187"/>
  <c r="N11" i="188" s="1"/>
  <c r="O12" i="54"/>
  <c r="Y11" i="4" s="1"/>
  <c r="O66" i="53"/>
  <c r="P65" i="53" s="1"/>
  <c r="O22" i="54" s="1"/>
  <c r="P9" i="45"/>
  <c r="O8" i="46" s="1"/>
  <c r="AE7" i="4" s="1"/>
  <c r="O11" i="45"/>
  <c r="O33" i="193"/>
  <c r="O34" i="193"/>
  <c r="K35" i="193"/>
  <c r="K36" i="193"/>
  <c r="P9" i="181"/>
  <c r="P10" i="181" s="1"/>
  <c r="O36" i="182" s="1"/>
  <c r="O11" i="181"/>
  <c r="O16" i="181" s="1"/>
  <c r="O13" i="182" s="1"/>
  <c r="AD54" i="14"/>
  <c r="L9" i="69"/>
  <c r="M8" i="70" s="1"/>
  <c r="K35" i="69"/>
  <c r="K11" i="69"/>
  <c r="M9" i="70" s="1"/>
  <c r="AY9" i="4" s="1"/>
  <c r="P11" i="201"/>
  <c r="O62" i="201"/>
  <c r="N9" i="199"/>
  <c r="M34" i="199"/>
  <c r="M35" i="199"/>
  <c r="M11" i="199"/>
  <c r="N9" i="147"/>
  <c r="N8" i="148"/>
  <c r="N7" i="148"/>
  <c r="M35" i="147"/>
  <c r="M11" i="147"/>
  <c r="K16" i="43"/>
  <c r="M13" i="44"/>
  <c r="N9" i="43"/>
  <c r="M11" i="43"/>
  <c r="N7" i="44"/>
  <c r="O34" i="53"/>
  <c r="O36" i="53"/>
  <c r="O7" i="54"/>
  <c r="Y6" i="4" s="1"/>
  <c r="P9" i="53"/>
  <c r="O33" i="53"/>
  <c r="K34" i="53"/>
  <c r="L9" i="53"/>
  <c r="K11" i="53"/>
  <c r="K35" i="53"/>
  <c r="L68" i="67"/>
  <c r="L67" i="67" s="1"/>
  <c r="M23" i="68" s="1"/>
  <c r="N9" i="67"/>
  <c r="N8" i="68" s="1"/>
  <c r="AT7" i="4" s="1"/>
  <c r="M33" i="67"/>
  <c r="M36" i="195"/>
  <c r="M11" i="195"/>
  <c r="M7" i="84"/>
  <c r="AP6" i="4" s="1"/>
  <c r="K35" i="83"/>
  <c r="P9" i="73"/>
  <c r="O11" i="73"/>
  <c r="L9" i="73"/>
  <c r="K11" i="73"/>
  <c r="K9" i="49"/>
  <c r="M14" i="49"/>
  <c r="N7" i="50" s="1"/>
  <c r="N6" i="50"/>
  <c r="N9" i="187"/>
  <c r="M50" i="187" s="1"/>
  <c r="V50" i="187" s="1"/>
  <c r="M33" i="187"/>
  <c r="K8" i="91"/>
  <c r="M14" i="91"/>
  <c r="R7" i="22"/>
  <c r="Q17" i="21"/>
  <c r="Q22" i="21" s="1"/>
  <c r="R12" i="22" s="1"/>
  <c r="O6" i="164"/>
  <c r="N14" i="163"/>
  <c r="P9" i="105"/>
  <c r="O35" i="105"/>
  <c r="O11" i="105"/>
  <c r="L9" i="105"/>
  <c r="L10" i="105" s="1"/>
  <c r="M36" i="106" s="1"/>
  <c r="BM31" i="4" s="1"/>
  <c r="K35" i="105"/>
  <c r="K11" i="105"/>
  <c r="P9" i="119"/>
  <c r="O11" i="119"/>
  <c r="O16" i="119" s="1"/>
  <c r="O13" i="120" s="1"/>
  <c r="P14" i="19"/>
  <c r="P17" i="19" s="1"/>
  <c r="P22" i="19" s="1"/>
  <c r="Q12" i="20" s="1"/>
  <c r="Q6" i="20"/>
  <c r="O6" i="20"/>
  <c r="N14" i="19"/>
  <c r="O7" i="20" s="1"/>
  <c r="P11" i="117"/>
  <c r="P12" i="117" s="1"/>
  <c r="O11" i="118" s="1"/>
  <c r="N9" i="153"/>
  <c r="N8" i="154" s="1"/>
  <c r="M33" i="153"/>
  <c r="N9" i="157"/>
  <c r="M35" i="157"/>
  <c r="F54" i="12"/>
  <c r="C52" i="16"/>
  <c r="C53" i="16" s="1"/>
  <c r="N10" i="71"/>
  <c r="N36" i="72" s="1"/>
  <c r="AK31" i="4" s="1"/>
  <c r="R64" i="16"/>
  <c r="P7" i="82"/>
  <c r="M12" i="198"/>
  <c r="V51" i="53"/>
  <c r="AD52" i="163"/>
  <c r="M16" i="145"/>
  <c r="N13" i="146"/>
  <c r="K62" i="179"/>
  <c r="K15" i="179"/>
  <c r="O16" i="191"/>
  <c r="O13" i="192" s="1"/>
  <c r="CJ12" i="4" s="1"/>
  <c r="P18" i="51"/>
  <c r="Q9" i="52"/>
  <c r="O18" i="51"/>
  <c r="O51" i="51" s="1"/>
  <c r="O16" i="51"/>
  <c r="O77" i="51" s="1"/>
  <c r="O16" i="43"/>
  <c r="O13" i="44" s="1"/>
  <c r="M12" i="116"/>
  <c r="CB11" i="4" s="1"/>
  <c r="M8" i="114"/>
  <c r="BP7" i="4" s="1"/>
  <c r="K62" i="119"/>
  <c r="P8" i="66"/>
  <c r="K66" i="149"/>
  <c r="L65" i="149" s="1"/>
  <c r="M22" i="150" s="1"/>
  <c r="K66" i="153"/>
  <c r="L65" i="153" s="1"/>
  <c r="M22" i="154" s="1"/>
  <c r="O61" i="179"/>
  <c r="M16" i="197"/>
  <c r="N13" i="198" s="1"/>
  <c r="M15" i="197"/>
  <c r="N9" i="198"/>
  <c r="N74" i="198" s="1"/>
  <c r="N11" i="45"/>
  <c r="N10" i="46" s="1"/>
  <c r="AD8" i="4" s="1"/>
  <c r="N9" i="152"/>
  <c r="N23" i="35"/>
  <c r="O13" i="36" s="1"/>
  <c r="P9" i="160"/>
  <c r="M72" i="86"/>
  <c r="AX6" i="4"/>
  <c r="Q37" i="22"/>
  <c r="M15" i="81"/>
  <c r="N8" i="82" s="1"/>
  <c r="N7" i="160"/>
  <c r="M17" i="81"/>
  <c r="P17" i="23"/>
  <c r="Q9" i="24" s="1"/>
  <c r="K14" i="23"/>
  <c r="K10" i="23" s="1"/>
  <c r="W66" i="23" s="1"/>
  <c r="P22" i="65"/>
  <c r="Q12" i="66"/>
  <c r="P23" i="65"/>
  <c r="Q13" i="66"/>
  <c r="O18" i="23"/>
  <c r="O19" i="23" s="1"/>
  <c r="P11" i="24" s="1"/>
  <c r="Q18" i="23"/>
  <c r="R10" i="24" s="1"/>
  <c r="Q22" i="23"/>
  <c r="R12" i="24" s="1"/>
  <c r="P18" i="65"/>
  <c r="O16" i="35"/>
  <c r="O77" i="35" s="1"/>
  <c r="M62" i="201"/>
  <c r="O16" i="85"/>
  <c r="O13" i="86"/>
  <c r="AX12" i="4" s="1"/>
  <c r="N11" i="71"/>
  <c r="N10" i="72" s="1"/>
  <c r="K62" i="77"/>
  <c r="M15" i="77"/>
  <c r="N12" i="78" s="1"/>
  <c r="BF11" i="4" s="1"/>
  <c r="N9" i="78"/>
  <c r="BF9" i="4" s="1"/>
  <c r="O12" i="84"/>
  <c r="AR11" i="4" s="1"/>
  <c r="N12" i="54"/>
  <c r="X11" i="4" s="1"/>
  <c r="K62" i="109"/>
  <c r="M9" i="110"/>
  <c r="BV9" i="4" s="1"/>
  <c r="P11" i="53"/>
  <c r="K62" i="195"/>
  <c r="N8" i="26"/>
  <c r="N7" i="66"/>
  <c r="M15" i="157"/>
  <c r="N12" i="158" s="1"/>
  <c r="AA11" i="4" s="1"/>
  <c r="N11" i="157"/>
  <c r="M62" i="69"/>
  <c r="M16" i="69"/>
  <c r="N13" i="70" s="1"/>
  <c r="AZ12" i="4" s="1"/>
  <c r="K15" i="147"/>
  <c r="N17" i="31"/>
  <c r="O9" i="32" s="1"/>
  <c r="N8" i="54"/>
  <c r="M9" i="84"/>
  <c r="AP9" i="4" s="1"/>
  <c r="O17" i="25"/>
  <c r="M62" i="187"/>
  <c r="M16" i="187"/>
  <c r="N13" i="188" s="1"/>
  <c r="O9" i="190"/>
  <c r="M15" i="153"/>
  <c r="M66" i="153" s="1"/>
  <c r="N65" i="153" s="1"/>
  <c r="N22" i="154" s="1"/>
  <c r="M16" i="153"/>
  <c r="N13" i="154" s="1"/>
  <c r="N11" i="105"/>
  <c r="N9" i="106"/>
  <c r="BN9" i="4" s="1"/>
  <c r="O9" i="202"/>
  <c r="O74" i="202" s="1"/>
  <c r="O35" i="181"/>
  <c r="K11" i="193"/>
  <c r="K62" i="193" s="1"/>
  <c r="P9" i="193"/>
  <c r="P10" i="193" s="1"/>
  <c r="O36" i="194" s="1"/>
  <c r="AD72" i="14"/>
  <c r="AD27" i="14"/>
  <c r="P9" i="201"/>
  <c r="O34" i="201"/>
  <c r="P11" i="197"/>
  <c r="O10" i="198" s="1"/>
  <c r="O16" i="197"/>
  <c r="O13" i="198" s="1"/>
  <c r="N7" i="200"/>
  <c r="N72" i="200" s="1"/>
  <c r="P9" i="147"/>
  <c r="O8" i="148" s="1"/>
  <c r="O33" i="147"/>
  <c r="N9" i="109"/>
  <c r="M35" i="109"/>
  <c r="M11" i="109"/>
  <c r="N9" i="110" s="1"/>
  <c r="BW9" i="4" s="1"/>
  <c r="M16" i="85"/>
  <c r="N13" i="86" s="1"/>
  <c r="AW12" i="4" s="1"/>
  <c r="N11" i="85"/>
  <c r="N12" i="85" s="1"/>
  <c r="N11" i="86" s="1"/>
  <c r="N9" i="86"/>
  <c r="N74" i="86" s="1"/>
  <c r="P9" i="67"/>
  <c r="O8" i="68" s="1"/>
  <c r="AU7" i="4" s="1"/>
  <c r="O7" i="68"/>
  <c r="AU6" i="4" s="1"/>
  <c r="O35" i="67"/>
  <c r="O11" i="67"/>
  <c r="O62" i="67" s="1"/>
  <c r="L9" i="67"/>
  <c r="M8" i="68" s="1"/>
  <c r="AS7" i="4" s="1"/>
  <c r="M7" i="68"/>
  <c r="AS6" i="4" s="1"/>
  <c r="K35" i="67"/>
  <c r="K11" i="67"/>
  <c r="K62" i="67" s="1"/>
  <c r="K36" i="83"/>
  <c r="Q14" i="25"/>
  <c r="R6" i="26"/>
  <c r="P14" i="49"/>
  <c r="Q6" i="50"/>
  <c r="K8" i="65"/>
  <c r="Q6" i="160"/>
  <c r="Q17" i="81"/>
  <c r="R7" i="82"/>
  <c r="N6" i="82"/>
  <c r="N41" i="82" s="1"/>
  <c r="L11" i="113"/>
  <c r="M9" i="114"/>
  <c r="O7" i="106"/>
  <c r="BO6" i="4" s="1"/>
  <c r="K36" i="105"/>
  <c r="N9" i="105"/>
  <c r="M49" i="105" s="1"/>
  <c r="M34" i="105"/>
  <c r="N7" i="106"/>
  <c r="BN6" i="4" s="1"/>
  <c r="M33" i="105"/>
  <c r="P9" i="149"/>
  <c r="O8" i="150" s="1"/>
  <c r="O34" i="149"/>
  <c r="P14" i="15"/>
  <c r="P15" i="15" s="1"/>
  <c r="Q6" i="16"/>
  <c r="O6" i="16"/>
  <c r="N14" i="15"/>
  <c r="O6" i="52"/>
  <c r="N14" i="51"/>
  <c r="L11" i="117"/>
  <c r="K16" i="117"/>
  <c r="M13" i="118" s="1"/>
  <c r="P9" i="153"/>
  <c r="O8" i="154" s="1"/>
  <c r="O34" i="153"/>
  <c r="O35" i="153"/>
  <c r="O11" i="153"/>
  <c r="N7" i="158"/>
  <c r="AA6" i="4" s="1"/>
  <c r="L9" i="157"/>
  <c r="K51" i="157" s="1"/>
  <c r="S51" i="157" s="1"/>
  <c r="K52" i="157"/>
  <c r="S52" i="157" s="1"/>
  <c r="K11" i="157"/>
  <c r="K15" i="157" s="1"/>
  <c r="Q77" i="35"/>
  <c r="R37" i="36"/>
  <c r="M77" i="58"/>
  <c r="N37" i="59"/>
  <c r="N77" i="19"/>
  <c r="O37" i="20"/>
  <c r="K16" i="153"/>
  <c r="M13" i="154" s="1"/>
  <c r="AD78" i="14"/>
  <c r="AD56" i="14"/>
  <c r="AD43" i="14"/>
  <c r="AD39" i="14"/>
  <c r="AD35" i="14"/>
  <c r="AD31" i="14"/>
  <c r="K9" i="35"/>
  <c r="Q66" i="164"/>
  <c r="Q33" i="164"/>
  <c r="Q59" i="164"/>
  <c r="Q60" i="164" s="1"/>
  <c r="Q53" i="164"/>
  <c r="Q65" i="164"/>
  <c r="Q50" i="164"/>
  <c r="M40" i="82"/>
  <c r="N33" i="4"/>
  <c r="P59" i="59"/>
  <c r="P60" i="59" s="1"/>
  <c r="P65" i="59"/>
  <c r="P33" i="59"/>
  <c r="P53" i="59"/>
  <c r="P61" i="59"/>
  <c r="R65" i="59"/>
  <c r="L12" i="151"/>
  <c r="M11" i="152" s="1"/>
  <c r="M10" i="152"/>
  <c r="O12" i="150"/>
  <c r="O66" i="149"/>
  <c r="P65" i="149"/>
  <c r="O22" i="150" s="1"/>
  <c r="L12" i="111"/>
  <c r="M11" i="112" s="1"/>
  <c r="M10" i="112"/>
  <c r="R66" i="59"/>
  <c r="R34" i="59"/>
  <c r="R62" i="59"/>
  <c r="R62" i="50"/>
  <c r="R66" i="50"/>
  <c r="R34" i="50"/>
  <c r="L12" i="47"/>
  <c r="M11" i="48" s="1"/>
  <c r="M10" i="48"/>
  <c r="N77" i="103"/>
  <c r="C52" i="160"/>
  <c r="C53" i="160" s="1"/>
  <c r="C52" i="92"/>
  <c r="C53" i="92" s="1"/>
  <c r="N8" i="72"/>
  <c r="M51" i="71"/>
  <c r="V51" i="71" s="1"/>
  <c r="C52" i="24"/>
  <c r="C53" i="24" s="1"/>
  <c r="C52" i="57"/>
  <c r="C53" i="57" s="1"/>
  <c r="W53" i="163"/>
  <c r="V52" i="113"/>
  <c r="M66" i="87"/>
  <c r="N65" i="87" s="1"/>
  <c r="N22" i="88" s="1"/>
  <c r="N9" i="146"/>
  <c r="M17" i="15"/>
  <c r="M18" i="15" s="1"/>
  <c r="X53" i="163"/>
  <c r="O15" i="43"/>
  <c r="O9" i="44"/>
  <c r="O10" i="194"/>
  <c r="O66" i="189"/>
  <c r="P65" i="189" s="1"/>
  <c r="O22" i="190" s="1"/>
  <c r="K15" i="119"/>
  <c r="M12" i="120" s="1"/>
  <c r="M9" i="120"/>
  <c r="O15" i="193"/>
  <c r="O9" i="194"/>
  <c r="O62" i="193"/>
  <c r="P23" i="159"/>
  <c r="Q13" i="160" s="1"/>
  <c r="N10" i="154"/>
  <c r="N8" i="196"/>
  <c r="R9" i="32"/>
  <c r="M16" i="45"/>
  <c r="N13" i="46" s="1"/>
  <c r="AD12" i="4" s="1"/>
  <c r="P10" i="71"/>
  <c r="O36" i="72" s="1"/>
  <c r="AL31" i="4" s="1"/>
  <c r="L11" i="197"/>
  <c r="M10" i="198" s="1"/>
  <c r="M37" i="160"/>
  <c r="BK31" i="4" s="1"/>
  <c r="Q37" i="26"/>
  <c r="Q9" i="22"/>
  <c r="K11" i="23"/>
  <c r="O22" i="23"/>
  <c r="P12" i="24" s="1"/>
  <c r="M18" i="35"/>
  <c r="M19" i="35" s="1"/>
  <c r="N7" i="24"/>
  <c r="M17" i="23"/>
  <c r="K14" i="65"/>
  <c r="K39" i="65" s="1"/>
  <c r="O17" i="65"/>
  <c r="P9" i="66" s="1"/>
  <c r="K66" i="151"/>
  <c r="L65" i="151" s="1"/>
  <c r="M22" i="152" s="1"/>
  <c r="L12" i="85"/>
  <c r="M11" i="86" s="1"/>
  <c r="O10" i="112"/>
  <c r="CA8" i="4" s="1"/>
  <c r="O9" i="112"/>
  <c r="O62" i="111"/>
  <c r="K62" i="111"/>
  <c r="M15" i="201"/>
  <c r="N9" i="202"/>
  <c r="D9" i="155"/>
  <c r="N9" i="72"/>
  <c r="O62" i="149"/>
  <c r="K16" i="85"/>
  <c r="M13" i="86" s="1"/>
  <c r="AV12" i="4" s="1"/>
  <c r="M9" i="86"/>
  <c r="AV9" i="4" s="1"/>
  <c r="L11" i="77"/>
  <c r="L12" i="77" s="1"/>
  <c r="M11" i="78" s="1"/>
  <c r="N11" i="151"/>
  <c r="N12" i="151" s="1"/>
  <c r="N11" i="152" s="1"/>
  <c r="P11" i="151"/>
  <c r="O15" i="151"/>
  <c r="O66" i="151" s="1"/>
  <c r="P65" i="151" s="1"/>
  <c r="O22" i="152" s="1"/>
  <c r="K16" i="151"/>
  <c r="M13" i="152" s="1"/>
  <c r="M62" i="87"/>
  <c r="M9" i="106"/>
  <c r="L11" i="153"/>
  <c r="L12" i="153" s="1"/>
  <c r="M11" i="154" s="1"/>
  <c r="P9" i="145"/>
  <c r="O8" i="146" s="1"/>
  <c r="O7" i="146"/>
  <c r="M33" i="193"/>
  <c r="M35" i="193"/>
  <c r="N7" i="194"/>
  <c r="N72" i="194" s="1"/>
  <c r="M11" i="193"/>
  <c r="N9" i="194" s="1"/>
  <c r="N74" i="194" s="1"/>
  <c r="M36" i="193"/>
  <c r="P10" i="199"/>
  <c r="O36" i="200"/>
  <c r="O8" i="200"/>
  <c r="P15" i="35"/>
  <c r="P16" i="35" s="1"/>
  <c r="P17" i="35"/>
  <c r="P18" i="35"/>
  <c r="Q10" i="36" s="1"/>
  <c r="R7" i="66"/>
  <c r="Q17" i="65"/>
  <c r="P10" i="105"/>
  <c r="O36" i="106" s="1"/>
  <c r="BO31" i="4" s="1"/>
  <c r="O8" i="106"/>
  <c r="BO7" i="4" s="1"/>
  <c r="P15" i="19"/>
  <c r="Q8" i="20" s="1"/>
  <c r="K33" i="193"/>
  <c r="L9" i="193"/>
  <c r="K34" i="193"/>
  <c r="M7" i="194"/>
  <c r="M72" i="194" s="1"/>
  <c r="P17" i="81"/>
  <c r="Q7" i="82"/>
  <c r="M11" i="181"/>
  <c r="O33" i="181"/>
  <c r="M35" i="181"/>
  <c r="N7" i="182"/>
  <c r="O35" i="197"/>
  <c r="M33" i="197"/>
  <c r="M36" i="199"/>
  <c r="O34" i="199"/>
  <c r="K34" i="199"/>
  <c r="N7" i="108"/>
  <c r="BT6" i="4" s="1"/>
  <c r="K36" i="107"/>
  <c r="O11" i="107"/>
  <c r="M11" i="107"/>
  <c r="K11" i="107"/>
  <c r="M9" i="108" s="1"/>
  <c r="BS9" i="4" s="1"/>
  <c r="K36" i="147"/>
  <c r="R6" i="59"/>
  <c r="O7" i="110"/>
  <c r="BX6" i="4" s="1"/>
  <c r="M7" i="110"/>
  <c r="BV6" i="4" s="1"/>
  <c r="O36" i="109"/>
  <c r="M34" i="109"/>
  <c r="K34" i="43"/>
  <c r="O34" i="73"/>
  <c r="O34" i="77"/>
  <c r="O35" i="89"/>
  <c r="O7" i="188"/>
  <c r="N6" i="66"/>
  <c r="Q6" i="164"/>
  <c r="Q6" i="82"/>
  <c r="O6" i="82"/>
  <c r="O41" i="82" s="1"/>
  <c r="O7" i="114"/>
  <c r="BR6" i="4" s="1"/>
  <c r="M35" i="113"/>
  <c r="O34" i="105"/>
  <c r="M36" i="119"/>
  <c r="M11" i="117"/>
  <c r="L9" i="117"/>
  <c r="K35" i="117"/>
  <c r="O7" i="154"/>
  <c r="O36" i="153"/>
  <c r="L9" i="153"/>
  <c r="M8" i="154" s="1"/>
  <c r="K34" i="153"/>
  <c r="K36" i="153"/>
  <c r="M7" i="154"/>
  <c r="O35" i="151"/>
  <c r="K35" i="151"/>
  <c r="O33" i="151"/>
  <c r="K33" i="151"/>
  <c r="O62" i="117"/>
  <c r="N12" i="48"/>
  <c r="AH11" i="4" s="1"/>
  <c r="O66" i="147"/>
  <c r="P65" i="147" s="1"/>
  <c r="O22" i="148" s="1"/>
  <c r="O12" i="148"/>
  <c r="O66" i="199"/>
  <c r="P65" i="199" s="1"/>
  <c r="O22" i="200" s="1"/>
  <c r="O12" i="200"/>
  <c r="M22" i="159"/>
  <c r="N12" i="160" s="1"/>
  <c r="M18" i="159"/>
  <c r="M19" i="159" s="1"/>
  <c r="N11" i="160" s="1"/>
  <c r="M23" i="159"/>
  <c r="N13" i="160" s="1"/>
  <c r="M37" i="59"/>
  <c r="R31" i="4" s="1"/>
  <c r="K77" i="58"/>
  <c r="BY7" i="4"/>
  <c r="CE7" i="4"/>
  <c r="Q23" i="163"/>
  <c r="R13" i="164" s="1"/>
  <c r="M15" i="103"/>
  <c r="N7" i="104"/>
  <c r="M17" i="103"/>
  <c r="M22" i="103" s="1"/>
  <c r="M12" i="190"/>
  <c r="K66" i="189"/>
  <c r="L65" i="189" s="1"/>
  <c r="M22" i="190" s="1"/>
  <c r="N8" i="59"/>
  <c r="K15" i="58"/>
  <c r="K12" i="58"/>
  <c r="K66" i="195"/>
  <c r="L65" i="195" s="1"/>
  <c r="M22" i="196" s="1"/>
  <c r="AX9" i="4"/>
  <c r="O74" i="86"/>
  <c r="P10" i="104"/>
  <c r="K15" i="43"/>
  <c r="M9" i="44"/>
  <c r="P11" i="153"/>
  <c r="P12" i="153" s="1"/>
  <c r="O11" i="154" s="1"/>
  <c r="O16" i="153"/>
  <c r="O13" i="154" s="1"/>
  <c r="L12" i="117"/>
  <c r="M11" i="118" s="1"/>
  <c r="M10" i="118"/>
  <c r="Q7" i="16"/>
  <c r="N10" i="105"/>
  <c r="N36" i="106" s="1"/>
  <c r="BN31" i="4" s="1"/>
  <c r="N8" i="106"/>
  <c r="BN7" i="4" s="1"/>
  <c r="M50" i="105"/>
  <c r="V50" i="105" s="1"/>
  <c r="L12" i="113"/>
  <c r="M11" i="114" s="1"/>
  <c r="M10" i="114"/>
  <c r="BP8" i="4" s="1"/>
  <c r="R64" i="82"/>
  <c r="R57" i="82"/>
  <c r="Q7" i="50"/>
  <c r="Q64" i="50" s="1"/>
  <c r="P17" i="49"/>
  <c r="Q17" i="25"/>
  <c r="R7" i="26"/>
  <c r="P11" i="67"/>
  <c r="O9" i="68"/>
  <c r="AU9" i="4" s="1"/>
  <c r="O16" i="67"/>
  <c r="O13" i="68" s="1"/>
  <c r="AU12" i="4" s="1"/>
  <c r="AW9" i="4"/>
  <c r="L11" i="193"/>
  <c r="M10" i="194" s="1"/>
  <c r="K15" i="193"/>
  <c r="K66" i="193" s="1"/>
  <c r="L65" i="193" s="1"/>
  <c r="M22" i="194" s="1"/>
  <c r="N12" i="71"/>
  <c r="N11" i="72" s="1"/>
  <c r="N15" i="19"/>
  <c r="O8" i="20" s="1"/>
  <c r="P11" i="119"/>
  <c r="P12" i="119" s="1"/>
  <c r="O11" i="120" s="1"/>
  <c r="O9" i="120"/>
  <c r="K16" i="105"/>
  <c r="M13" i="106" s="1"/>
  <c r="BM12" i="4" s="1"/>
  <c r="L11" i="105"/>
  <c r="K62" i="105"/>
  <c r="K15" i="105"/>
  <c r="N15" i="163"/>
  <c r="O7" i="164"/>
  <c r="Q23" i="21"/>
  <c r="R13" i="22" s="1"/>
  <c r="R34" i="22" s="1"/>
  <c r="M15" i="91"/>
  <c r="M15" i="49"/>
  <c r="M61" i="49" s="1"/>
  <c r="M17" i="49"/>
  <c r="N9" i="50" s="1"/>
  <c r="K14" i="49"/>
  <c r="K38" i="49" s="1"/>
  <c r="K51" i="73"/>
  <c r="M8" i="74"/>
  <c r="AM7" i="4" s="1"/>
  <c r="K52" i="73"/>
  <c r="S52" i="73" s="1"/>
  <c r="L10" i="73"/>
  <c r="M36" i="74" s="1"/>
  <c r="O51" i="73"/>
  <c r="Y51" i="73" s="1"/>
  <c r="P10" i="73"/>
  <c r="O36" i="74"/>
  <c r="AO31" i="4" s="1"/>
  <c r="O8" i="74"/>
  <c r="AO7" i="4" s="1"/>
  <c r="O52" i="73"/>
  <c r="M8" i="54"/>
  <c r="W7" i="4" s="1"/>
  <c r="L10" i="53"/>
  <c r="M36" i="54"/>
  <c r="W31" i="4" s="1"/>
  <c r="K51" i="53"/>
  <c r="K52" i="53"/>
  <c r="S52" i="53" s="1"/>
  <c r="N11" i="43"/>
  <c r="M15" i="43"/>
  <c r="N9" i="44"/>
  <c r="M16" i="43"/>
  <c r="N13" i="44"/>
  <c r="M15" i="147"/>
  <c r="N11" i="147"/>
  <c r="M15" i="199"/>
  <c r="M16" i="199"/>
  <c r="N13" i="200" s="1"/>
  <c r="N11" i="199"/>
  <c r="N9" i="200"/>
  <c r="N74" i="200" s="1"/>
  <c r="M62" i="199"/>
  <c r="K16" i="69"/>
  <c r="M13" i="70" s="1"/>
  <c r="O9" i="182"/>
  <c r="O9" i="46"/>
  <c r="AE9" i="4" s="1"/>
  <c r="R13" i="57"/>
  <c r="R66" i="57" s="1"/>
  <c r="Q12" i="59"/>
  <c r="Q61" i="59" s="1"/>
  <c r="K14" i="25"/>
  <c r="K38" i="25" s="1"/>
  <c r="L11" i="157"/>
  <c r="M10" i="158" s="1"/>
  <c r="Z8" i="4" s="1"/>
  <c r="M9" i="158"/>
  <c r="Z9" i="4" s="1"/>
  <c r="K16" i="157"/>
  <c r="M13" i="158" s="1"/>
  <c r="Z12" i="4" s="1"/>
  <c r="N15" i="51"/>
  <c r="N16" i="51" s="1"/>
  <c r="N77" i="51" s="1"/>
  <c r="M74" i="114"/>
  <c r="BP9" i="4"/>
  <c r="Q23" i="81"/>
  <c r="R13" i="82" s="1"/>
  <c r="N10" i="86"/>
  <c r="AW8" i="4" s="1"/>
  <c r="M15" i="109"/>
  <c r="N12" i="110" s="1"/>
  <c r="BW11" i="4" s="1"/>
  <c r="M16" i="109"/>
  <c r="N13" i="110" s="1"/>
  <c r="BW12" i="4" s="1"/>
  <c r="P10" i="201"/>
  <c r="O36" i="202"/>
  <c r="O8" i="202"/>
  <c r="O52" i="193"/>
  <c r="Y52" i="193" s="1"/>
  <c r="N10" i="106"/>
  <c r="BN8" i="4" s="1"/>
  <c r="N12" i="105"/>
  <c r="N11" i="106" s="1"/>
  <c r="N12" i="154"/>
  <c r="K66" i="147"/>
  <c r="L65" i="147" s="1"/>
  <c r="M22" i="148" s="1"/>
  <c r="M12" i="148"/>
  <c r="P12" i="53"/>
  <c r="O11" i="54" s="1"/>
  <c r="O10" i="54"/>
  <c r="Y8" i="4" s="1"/>
  <c r="P37" i="36"/>
  <c r="N9" i="82"/>
  <c r="M22" i="81"/>
  <c r="N12" i="82" s="1"/>
  <c r="M18" i="81"/>
  <c r="N10" i="82" s="1"/>
  <c r="M23" i="81"/>
  <c r="N13" i="82" s="1"/>
  <c r="N12" i="198"/>
  <c r="M66" i="197"/>
  <c r="N65" i="197" s="1"/>
  <c r="N22" i="198" s="1"/>
  <c r="P37" i="52"/>
  <c r="M12" i="180"/>
  <c r="K66" i="179"/>
  <c r="L65" i="179" s="1"/>
  <c r="M22" i="180" s="1"/>
  <c r="M52" i="157"/>
  <c r="V52" i="157"/>
  <c r="N10" i="157"/>
  <c r="N36" i="158"/>
  <c r="AA31" i="4" s="1"/>
  <c r="N8" i="158"/>
  <c r="AA7" i="4" s="1"/>
  <c r="M51" i="157"/>
  <c r="V51" i="157" s="1"/>
  <c r="O10" i="118"/>
  <c r="O8" i="120"/>
  <c r="O16" i="105"/>
  <c r="O13" i="106" s="1"/>
  <c r="BO12" i="4" s="1"/>
  <c r="O62" i="105"/>
  <c r="P11" i="105"/>
  <c r="O15" i="105"/>
  <c r="O12" i="106" s="1"/>
  <c r="O9" i="106"/>
  <c r="BO9" i="4" s="1"/>
  <c r="O50" i="105"/>
  <c r="O49" i="105"/>
  <c r="Y49" i="105" s="1"/>
  <c r="R64" i="22"/>
  <c r="R57" i="22"/>
  <c r="L11" i="73"/>
  <c r="L12" i="73" s="1"/>
  <c r="M11" i="74" s="1"/>
  <c r="K15" i="73"/>
  <c r="M9" i="74"/>
  <c r="AM9" i="4" s="1"/>
  <c r="K16" i="73"/>
  <c r="M13" i="74" s="1"/>
  <c r="AM12" i="4" s="1"/>
  <c r="P11" i="73"/>
  <c r="O10" i="74"/>
  <c r="AO8" i="4" s="1"/>
  <c r="O9" i="74"/>
  <c r="AO9" i="4" s="1"/>
  <c r="O16" i="73"/>
  <c r="O13" i="74" s="1"/>
  <c r="AO12" i="4" s="1"/>
  <c r="O15" i="73"/>
  <c r="O66" i="73"/>
  <c r="P65" i="73" s="1"/>
  <c r="O22" i="74" s="1"/>
  <c r="M16" i="195"/>
  <c r="N13" i="196" s="1"/>
  <c r="M15" i="195"/>
  <c r="N12" i="196" s="1"/>
  <c r="N11" i="195"/>
  <c r="N9" i="196"/>
  <c r="N74" i="196" s="1"/>
  <c r="M62" i="195"/>
  <c r="P10" i="53"/>
  <c r="O36" i="54" s="1"/>
  <c r="Y31" i="4" s="1"/>
  <c r="O51" i="53"/>
  <c r="O8" i="54"/>
  <c r="Y7" i="4" s="1"/>
  <c r="O52" i="53"/>
  <c r="N8" i="44"/>
  <c r="N10" i="43"/>
  <c r="N36" i="44" s="1"/>
  <c r="M51" i="43"/>
  <c r="V51" i="43" s="1"/>
  <c r="M52" i="43"/>
  <c r="V52" i="43" s="1"/>
  <c r="P12" i="201"/>
  <c r="O11" i="202" s="1"/>
  <c r="O10" i="202"/>
  <c r="P22" i="25"/>
  <c r="Q12" i="26" s="1"/>
  <c r="Q9" i="26"/>
  <c r="L10" i="117"/>
  <c r="M36" i="118" s="1"/>
  <c r="M8" i="118"/>
  <c r="K52" i="117"/>
  <c r="S52" i="117" s="1"/>
  <c r="K51" i="117"/>
  <c r="Q41" i="82"/>
  <c r="R43" i="59"/>
  <c r="L11" i="107"/>
  <c r="L12" i="107" s="1"/>
  <c r="M11" i="108" s="1"/>
  <c r="K16" i="107"/>
  <c r="M13" i="108" s="1"/>
  <c r="BS12" i="4" s="1"/>
  <c r="K62" i="107"/>
  <c r="O62" i="107"/>
  <c r="M15" i="181"/>
  <c r="N12" i="182" s="1"/>
  <c r="M16" i="181"/>
  <c r="N13" i="182" s="1"/>
  <c r="M62" i="181"/>
  <c r="N11" i="181"/>
  <c r="N9" i="182"/>
  <c r="Q9" i="82"/>
  <c r="P22" i="81"/>
  <c r="Q12" i="82" s="1"/>
  <c r="P23" i="81"/>
  <c r="Q13" i="82" s="1"/>
  <c r="R64" i="66"/>
  <c r="R57" i="66"/>
  <c r="Q8" i="36"/>
  <c r="M62" i="193"/>
  <c r="M16" i="193"/>
  <c r="N13" i="194" s="1"/>
  <c r="N11" i="193"/>
  <c r="N12" i="193" s="1"/>
  <c r="N11" i="194" s="1"/>
  <c r="M10" i="154"/>
  <c r="O12" i="152"/>
  <c r="AK9" i="4"/>
  <c r="N74" i="202"/>
  <c r="CG8" i="4"/>
  <c r="K37" i="65"/>
  <c r="O74" i="194"/>
  <c r="M23" i="15"/>
  <c r="N13" i="16" s="1"/>
  <c r="N9" i="16"/>
  <c r="M22" i="15"/>
  <c r="N12" i="16" s="1"/>
  <c r="R61" i="32"/>
  <c r="R33" i="32"/>
  <c r="R53" i="32"/>
  <c r="N11" i="117"/>
  <c r="M15" i="117"/>
  <c r="M66" i="117" s="1"/>
  <c r="M16" i="117"/>
  <c r="N13" i="118" s="1"/>
  <c r="M62" i="117"/>
  <c r="N9" i="118"/>
  <c r="N11" i="107"/>
  <c r="N10" i="108" s="1"/>
  <c r="BT8" i="4" s="1"/>
  <c r="N9" i="108"/>
  <c r="BT9" i="4" s="1"/>
  <c r="M15" i="107"/>
  <c r="M62" i="107"/>
  <c r="M16" i="107"/>
  <c r="N13" i="108" s="1"/>
  <c r="BT12" i="4" s="1"/>
  <c r="M8" i="194"/>
  <c r="K53" i="193"/>
  <c r="S53" i="193" s="1"/>
  <c r="L10" i="193"/>
  <c r="M36" i="194" s="1"/>
  <c r="K52" i="193"/>
  <c r="S52" i="193" s="1"/>
  <c r="Q22" i="65"/>
  <c r="R12" i="66" s="1"/>
  <c r="R59" i="66" s="1"/>
  <c r="R60" i="66" s="1"/>
  <c r="Q23" i="65"/>
  <c r="R13" i="66" s="1"/>
  <c r="R9" i="66"/>
  <c r="P22" i="35"/>
  <c r="Q12" i="36" s="1"/>
  <c r="P23" i="35"/>
  <c r="BM9" i="4"/>
  <c r="P12" i="151"/>
  <c r="O11" i="152"/>
  <c r="O10" i="152"/>
  <c r="N12" i="202"/>
  <c r="M66" i="201"/>
  <c r="N65" i="201" s="1"/>
  <c r="N22" i="202" s="1"/>
  <c r="O23" i="65"/>
  <c r="L12" i="197"/>
  <c r="M11" i="198" s="1"/>
  <c r="O12" i="44"/>
  <c r="O66" i="43"/>
  <c r="P65" i="43" s="1"/>
  <c r="O22" i="44" s="1"/>
  <c r="AK7" i="4"/>
  <c r="D4" i="155"/>
  <c r="AG8" i="4"/>
  <c r="BY8" i="4"/>
  <c r="CE8" i="4"/>
  <c r="K66" i="43"/>
  <c r="L65" i="43" s="1"/>
  <c r="M22" i="44" s="1"/>
  <c r="M12" i="44"/>
  <c r="M8" i="59"/>
  <c r="R7" i="4" s="1"/>
  <c r="K13" i="58"/>
  <c r="N9" i="104"/>
  <c r="N10" i="160"/>
  <c r="N12" i="195"/>
  <c r="N11" i="196" s="1"/>
  <c r="N10" i="196"/>
  <c r="O12" i="74"/>
  <c r="AO11" i="4" s="1"/>
  <c r="P12" i="105"/>
  <c r="O11" i="106" s="1"/>
  <c r="O10" i="106"/>
  <c r="BO8" i="4" s="1"/>
  <c r="Q59" i="59"/>
  <c r="Q60" i="59" s="1"/>
  <c r="Q65" i="59"/>
  <c r="S51" i="73"/>
  <c r="M52" i="91"/>
  <c r="L12" i="105"/>
  <c r="M11" i="106" s="1"/>
  <c r="M10" i="106"/>
  <c r="BM8" i="4" s="1"/>
  <c r="O10" i="120"/>
  <c r="M12" i="194"/>
  <c r="L12" i="193"/>
  <c r="M11" i="194" s="1"/>
  <c r="P12" i="67"/>
  <c r="O11" i="68" s="1"/>
  <c r="O10" i="68"/>
  <c r="AU8" i="4" s="1"/>
  <c r="R9" i="26"/>
  <c r="Q22" i="25"/>
  <c r="R12" i="26" s="1"/>
  <c r="Q23" i="25"/>
  <c r="R13" i="26" s="1"/>
  <c r="Q57" i="50"/>
  <c r="Y52" i="53"/>
  <c r="Y50" i="105"/>
  <c r="BO11" i="4"/>
  <c r="V52" i="109"/>
  <c r="N12" i="199"/>
  <c r="N11" i="200" s="1"/>
  <c r="N10" i="200"/>
  <c r="M66" i="199"/>
  <c r="N65" i="199" s="1"/>
  <c r="N22" i="200" s="1"/>
  <c r="N12" i="200"/>
  <c r="N12" i="44"/>
  <c r="M66" i="43"/>
  <c r="N65" i="43" s="1"/>
  <c r="N22" i="44" s="1"/>
  <c r="S51" i="53"/>
  <c r="Y52" i="73"/>
  <c r="Q9" i="50"/>
  <c r="P22" i="49"/>
  <c r="Q12" i="50" s="1"/>
  <c r="Q53" i="50" s="1"/>
  <c r="Q13" i="36"/>
  <c r="R67" i="66"/>
  <c r="N65" i="117"/>
  <c r="N22" i="118" s="1"/>
  <c r="N12" i="118"/>
  <c r="R33" i="66"/>
  <c r="N12" i="108"/>
  <c r="BT11" i="4" s="1"/>
  <c r="M66" i="107"/>
  <c r="N65" i="107" s="1"/>
  <c r="N22" i="108" s="1"/>
  <c r="N12" i="107"/>
  <c r="N11" i="108" s="1"/>
  <c r="N12" i="117"/>
  <c r="N11" i="118" s="1"/>
  <c r="N10" i="118"/>
  <c r="N10" i="194"/>
  <c r="N12" i="181"/>
  <c r="N11" i="182" s="1"/>
  <c r="N10" i="182"/>
  <c r="S51" i="117"/>
  <c r="Q59" i="50"/>
  <c r="Q60" i="50" s="1"/>
  <c r="Q50" i="50"/>
  <c r="Q61" i="50"/>
  <c r="R50" i="22"/>
  <c r="N68" i="145"/>
  <c r="N67" i="145" s="1"/>
  <c r="N23" i="146" s="1"/>
  <c r="L68" i="147"/>
  <c r="L67" i="147" s="1"/>
  <c r="M23" i="148" s="1"/>
  <c r="P68" i="147"/>
  <c r="P67" i="147" s="1"/>
  <c r="O23" i="148" s="1"/>
  <c r="N68" i="69"/>
  <c r="N67" i="69" s="1"/>
  <c r="N23" i="70" s="1"/>
  <c r="L68" i="69"/>
  <c r="L67" i="69" s="1"/>
  <c r="M23" i="70" s="1"/>
  <c r="P68" i="69"/>
  <c r="P67" i="69" s="1"/>
  <c r="O23" i="70" s="1"/>
  <c r="L68" i="77"/>
  <c r="L67" i="77" s="1"/>
  <c r="M23" i="78" s="1"/>
  <c r="BE20" i="4" s="1"/>
  <c r="P68" i="77"/>
  <c r="P67" i="77" s="1"/>
  <c r="O23" i="78" s="1"/>
  <c r="BG20" i="4" s="1"/>
  <c r="N68" i="77"/>
  <c r="N67" i="77" s="1"/>
  <c r="N23" i="78" s="1"/>
  <c r="BF20" i="4" s="1"/>
  <c r="J2" i="200"/>
  <c r="J2" i="202"/>
  <c r="N68" i="189"/>
  <c r="N67" i="189" s="1"/>
  <c r="N23" i="190" s="1"/>
  <c r="L68" i="189"/>
  <c r="L67" i="189" s="1"/>
  <c r="M23" i="190" s="1"/>
  <c r="P68" i="189"/>
  <c r="P67" i="189" s="1"/>
  <c r="O23" i="190" s="1"/>
  <c r="P68" i="145"/>
  <c r="P67" i="145" s="1"/>
  <c r="O23" i="146" s="1"/>
  <c r="N70" i="58"/>
  <c r="M70" i="58"/>
  <c r="N68" i="67"/>
  <c r="N67" i="67" s="1"/>
  <c r="N23" i="68" s="1"/>
  <c r="P68" i="67"/>
  <c r="P67" i="67" s="1"/>
  <c r="O23" i="68" s="1"/>
  <c r="J2" i="44"/>
  <c r="L68" i="45"/>
  <c r="L67" i="45" s="1"/>
  <c r="M23" i="46" s="1"/>
  <c r="AC20" i="4" s="1"/>
  <c r="N68" i="45"/>
  <c r="N67" i="45" s="1"/>
  <c r="N23" i="46" s="1"/>
  <c r="AD20" i="4" s="1"/>
  <c r="O70" i="31"/>
  <c r="P70" i="31"/>
  <c r="L68" i="83"/>
  <c r="L67" i="83" s="1"/>
  <c r="M23" i="84" s="1"/>
  <c r="AP20" i="4" s="1"/>
  <c r="P68" i="83"/>
  <c r="P67" i="83" s="1"/>
  <c r="O23" i="84" s="1"/>
  <c r="AR20" i="4" s="1"/>
  <c r="N70" i="31"/>
  <c r="M70" i="31"/>
  <c r="N68" i="83"/>
  <c r="N67" i="83" s="1"/>
  <c r="N23" i="84" s="1"/>
  <c r="L68" i="151"/>
  <c r="L67" i="151" s="1"/>
  <c r="M23" i="152" s="1"/>
  <c r="P68" i="151"/>
  <c r="P67" i="151" s="1"/>
  <c r="O23" i="152" s="1"/>
  <c r="P68" i="45"/>
  <c r="P67" i="45" s="1"/>
  <c r="O23" i="46" s="1"/>
  <c r="AE20" i="4" s="1"/>
  <c r="Y31" i="12"/>
  <c r="Y18" i="12"/>
  <c r="Y16" i="12"/>
  <c r="I36" i="46"/>
  <c r="M38" i="46" s="1"/>
  <c r="AC33" i="4" s="1"/>
  <c r="AC31" i="4"/>
  <c r="M66" i="157"/>
  <c r="N65" i="157" s="1"/>
  <c r="N22" i="158" s="1"/>
  <c r="M8" i="158"/>
  <c r="Z7" i="4" s="1"/>
  <c r="L10" i="157"/>
  <c r="M36" i="158"/>
  <c r="Z31" i="4" s="1"/>
  <c r="M23" i="49"/>
  <c r="N13" i="50" s="1"/>
  <c r="P23" i="51"/>
  <c r="Q13" i="52" s="1"/>
  <c r="M22" i="49"/>
  <c r="K10" i="25"/>
  <c r="W66" i="25" s="1"/>
  <c r="M7" i="26"/>
  <c r="P6" i="4" s="1"/>
  <c r="K37" i="25"/>
  <c r="K39" i="25"/>
  <c r="K36" i="25"/>
  <c r="O15" i="81"/>
  <c r="P8" i="82" s="1"/>
  <c r="O17" i="81"/>
  <c r="O23" i="81" s="1"/>
  <c r="K37" i="23"/>
  <c r="P10" i="24"/>
  <c r="O9" i="24"/>
  <c r="K17" i="23"/>
  <c r="M9" i="24" s="1"/>
  <c r="J9" i="4" s="1"/>
  <c r="N23" i="23"/>
  <c r="O13" i="24" s="1"/>
  <c r="N22" i="23"/>
  <c r="O12" i="24" s="1"/>
  <c r="N18" i="23"/>
  <c r="K38" i="23"/>
  <c r="K39" i="23"/>
  <c r="M7" i="24"/>
  <c r="J6" i="4" s="1"/>
  <c r="M22" i="23"/>
  <c r="K39" i="103"/>
  <c r="K11" i="103"/>
  <c r="K10" i="103"/>
  <c r="W66" i="103" s="1"/>
  <c r="M7" i="104"/>
  <c r="I6" i="4" s="1"/>
  <c r="N53" i="103"/>
  <c r="N18" i="103"/>
  <c r="N12" i="104"/>
  <c r="M23" i="103"/>
  <c r="N13" i="104" s="1"/>
  <c r="K17" i="103"/>
  <c r="M9" i="104" s="1"/>
  <c r="I9" i="4" s="1"/>
  <c r="N10" i="16"/>
  <c r="D27" i="49"/>
  <c r="D26" i="25"/>
  <c r="D26" i="31"/>
  <c r="N12" i="50"/>
  <c r="P9" i="82"/>
  <c r="N19" i="103"/>
  <c r="O11" i="104" s="1"/>
  <c r="D26" i="17"/>
  <c r="O22" i="65"/>
  <c r="P13" i="66"/>
  <c r="O18" i="65"/>
  <c r="P10" i="66" s="1"/>
  <c r="K17" i="65"/>
  <c r="K21" i="65" s="1"/>
  <c r="M19" i="65"/>
  <c r="M7" i="66"/>
  <c r="K38" i="65"/>
  <c r="M34" i="181"/>
  <c r="BI31" i="4"/>
  <c r="N11" i="89"/>
  <c r="N12" i="89" s="1"/>
  <c r="N11" i="90" s="1"/>
  <c r="M62" i="89"/>
  <c r="K15" i="89"/>
  <c r="M12" i="90" s="1"/>
  <c r="BH11" i="4" s="1"/>
  <c r="L11" i="89"/>
  <c r="L12" i="89" s="1"/>
  <c r="M11" i="90" s="1"/>
  <c r="P12" i="187"/>
  <c r="O11" i="188"/>
  <c r="O10" i="188"/>
  <c r="O9" i="188"/>
  <c r="K62" i="187"/>
  <c r="K15" i="187"/>
  <c r="K66" i="187" s="1"/>
  <c r="L65" i="187" s="1"/>
  <c r="M22" i="188" s="1"/>
  <c r="N9" i="190"/>
  <c r="M62" i="189"/>
  <c r="M16" i="189"/>
  <c r="N13" i="190" s="1"/>
  <c r="O8" i="88"/>
  <c r="BD7" i="4" s="1"/>
  <c r="O51" i="87"/>
  <c r="Y51" i="87" s="1"/>
  <c r="P10" i="87"/>
  <c r="O36" i="88" s="1"/>
  <c r="O50" i="87"/>
  <c r="M51" i="87"/>
  <c r="N8" i="88"/>
  <c r="BC7" i="4" s="1"/>
  <c r="N10" i="87"/>
  <c r="N36" i="88" s="1"/>
  <c r="M50" i="87"/>
  <c r="M15" i="69"/>
  <c r="M66" i="69" s="1"/>
  <c r="N65" i="69" s="1"/>
  <c r="N22" i="70" s="1"/>
  <c r="P11" i="83"/>
  <c r="N11" i="83"/>
  <c r="N10" i="84" s="1"/>
  <c r="S51" i="83"/>
  <c r="N8" i="74"/>
  <c r="E4" i="155" s="1"/>
  <c r="M51" i="73"/>
  <c r="M52" i="73"/>
  <c r="N10" i="73"/>
  <c r="N36" i="74" s="1"/>
  <c r="M11" i="73"/>
  <c r="M15" i="73" s="1"/>
  <c r="P12" i="66"/>
  <c r="N11" i="66"/>
  <c r="M10" i="90"/>
  <c r="BH8" i="4" s="1"/>
  <c r="Y50" i="87"/>
  <c r="V51" i="87"/>
  <c r="P12" i="83"/>
  <c r="O11" i="84" s="1"/>
  <c r="O10" i="84"/>
  <c r="AR8" i="4" s="1"/>
  <c r="V51" i="73"/>
  <c r="V52" i="73"/>
  <c r="AN7" i="4"/>
  <c r="I36" i="152"/>
  <c r="BU31" i="4"/>
  <c r="I36" i="148"/>
  <c r="M38" i="148" s="1"/>
  <c r="BP31" i="4"/>
  <c r="K11" i="65"/>
  <c r="K36" i="65"/>
  <c r="K10" i="65"/>
  <c r="W66" i="65" s="1"/>
  <c r="N17" i="163"/>
  <c r="N8" i="164"/>
  <c r="M16" i="163"/>
  <c r="N37" i="164" s="1"/>
  <c r="M53" i="163"/>
  <c r="M52" i="163"/>
  <c r="M17" i="163"/>
  <c r="M54" i="181"/>
  <c r="V54" i="181" s="1"/>
  <c r="N10" i="181"/>
  <c r="N36" i="182" s="1"/>
  <c r="N8" i="182"/>
  <c r="M53" i="181"/>
  <c r="O11" i="89"/>
  <c r="BI12" i="4"/>
  <c r="K16" i="89"/>
  <c r="M13" i="90"/>
  <c r="BH12" i="4" s="1"/>
  <c r="L9" i="89"/>
  <c r="BJ31" i="4"/>
  <c r="O10" i="78"/>
  <c r="BG8" i="4" s="1"/>
  <c r="K33" i="77"/>
  <c r="BG31" i="4"/>
  <c r="O51" i="187"/>
  <c r="O50" i="187"/>
  <c r="Y50" i="187" s="1"/>
  <c r="P10" i="187"/>
  <c r="O36" i="188" s="1"/>
  <c r="O8" i="188"/>
  <c r="O62" i="189"/>
  <c r="N11" i="189"/>
  <c r="N12" i="189" s="1"/>
  <c r="N11" i="190" s="1"/>
  <c r="K51" i="87"/>
  <c r="M8" i="88"/>
  <c r="BB7" i="4" s="1"/>
  <c r="L10" i="87"/>
  <c r="M36" i="88" s="1"/>
  <c r="K50" i="87"/>
  <c r="S50" i="87" s="1"/>
  <c r="Y51" i="83"/>
  <c r="V51" i="83"/>
  <c r="N10" i="83"/>
  <c r="N36" i="84" s="1"/>
  <c r="AQ31" i="4" s="1"/>
  <c r="N8" i="84"/>
  <c r="M12" i="84"/>
  <c r="AP11" i="4" s="1"/>
  <c r="P12" i="73"/>
  <c r="O11" i="74" s="1"/>
  <c r="M10" i="74"/>
  <c r="AM8" i="4" s="1"/>
  <c r="P11" i="71"/>
  <c r="O10" i="72" s="1"/>
  <c r="AL8" i="4" s="1"/>
  <c r="O16" i="71"/>
  <c r="O13" i="72" s="1"/>
  <c r="O9" i="72"/>
  <c r="AL9" i="4" s="1"/>
  <c r="O15" i="71"/>
  <c r="V52" i="71"/>
  <c r="AK12" i="4"/>
  <c r="AJ31" i="4"/>
  <c r="N12" i="69"/>
  <c r="N11" i="70" s="1"/>
  <c r="N10" i="70"/>
  <c r="AZ8" i="4" s="1"/>
  <c r="AY12" i="4"/>
  <c r="AY7" i="4"/>
  <c r="AY31" i="4"/>
  <c r="I36" i="70"/>
  <c r="M38" i="70" s="1"/>
  <c r="AY33" i="4" s="1"/>
  <c r="AD11" i="4"/>
  <c r="AD31" i="4"/>
  <c r="K16" i="45"/>
  <c r="M13" i="46" s="1"/>
  <c r="P62" i="35"/>
  <c r="J62" i="35" s="1"/>
  <c r="P19" i="35"/>
  <c r="Q11" i="36" s="1"/>
  <c r="Q9" i="36"/>
  <c r="O23" i="35"/>
  <c r="N11" i="36"/>
  <c r="M16" i="35"/>
  <c r="M77" i="35" s="1"/>
  <c r="N8" i="36"/>
  <c r="M22" i="35"/>
  <c r="N12" i="36" s="1"/>
  <c r="N22" i="31"/>
  <c r="N18" i="31"/>
  <c r="N23" i="31"/>
  <c r="O13" i="32" s="1"/>
  <c r="O12" i="59"/>
  <c r="P13" i="52"/>
  <c r="O37" i="52"/>
  <c r="O16" i="25"/>
  <c r="P37" i="26" s="1"/>
  <c r="P8" i="26"/>
  <c r="O61" i="25"/>
  <c r="O52" i="25"/>
  <c r="K11" i="25"/>
  <c r="N9" i="26"/>
  <c r="M18" i="25"/>
  <c r="N10" i="26" s="1"/>
  <c r="M22" i="25"/>
  <c r="M23" i="25"/>
  <c r="N13" i="26" s="1"/>
  <c r="O18" i="81"/>
  <c r="P10" i="82" s="1"/>
  <c r="K36" i="23"/>
  <c r="Q7" i="24"/>
  <c r="P8" i="24"/>
  <c r="O53" i="23"/>
  <c r="O52" i="23"/>
  <c r="O16" i="23"/>
  <c r="K20" i="103"/>
  <c r="P7" i="57"/>
  <c r="K16" i="67"/>
  <c r="M13" i="68" s="1"/>
  <c r="M9" i="68"/>
  <c r="AS9" i="4" s="1"/>
  <c r="M18" i="163"/>
  <c r="N10" i="164" s="1"/>
  <c r="M23" i="163"/>
  <c r="N13" i="164" s="1"/>
  <c r="M22" i="163"/>
  <c r="N12" i="164" s="1"/>
  <c r="N9" i="164"/>
  <c r="O16" i="89"/>
  <c r="O13" i="90" s="1"/>
  <c r="BJ12" i="4" s="1"/>
  <c r="O62" i="89"/>
  <c r="O15" i="89"/>
  <c r="O12" i="90" s="1"/>
  <c r="BJ11" i="4" s="1"/>
  <c r="P11" i="89"/>
  <c r="O9" i="90"/>
  <c r="BJ9" i="4" s="1"/>
  <c r="K54" i="89"/>
  <c r="S54" i="89" s="1"/>
  <c r="L10" i="89"/>
  <c r="M36" i="90" s="1"/>
  <c r="Y51" i="187"/>
  <c r="S51" i="87"/>
  <c r="O66" i="71"/>
  <c r="P65" i="71" s="1"/>
  <c r="O22" i="72" s="1"/>
  <c r="O12" i="72"/>
  <c r="AL11" i="4" s="1"/>
  <c r="P12" i="71"/>
  <c r="O11" i="72" s="1"/>
  <c r="P13" i="36"/>
  <c r="O10" i="32"/>
  <c r="O12" i="32"/>
  <c r="N12" i="26"/>
  <c r="P37" i="24"/>
  <c r="O77" i="23"/>
  <c r="M19" i="163"/>
  <c r="N11" i="164" s="1"/>
  <c r="Q10" i="52" l="1"/>
  <c r="P51" i="51"/>
  <c r="P10" i="52"/>
  <c r="O77" i="25"/>
  <c r="Q9" i="20"/>
  <c r="K16" i="19"/>
  <c r="P23" i="19"/>
  <c r="Q18" i="19"/>
  <c r="P18" i="19"/>
  <c r="Q22" i="19"/>
  <c r="R12" i="20" s="1"/>
  <c r="O17" i="19"/>
  <c r="N37" i="20"/>
  <c r="O15" i="19"/>
  <c r="P8" i="20" s="1"/>
  <c r="J49" i="17"/>
  <c r="AD49" i="17"/>
  <c r="X49" i="17"/>
  <c r="Q57" i="17" s="1"/>
  <c r="Q58" i="17" s="1"/>
  <c r="R36" i="18" s="1"/>
  <c r="R7" i="18"/>
  <c r="R64" i="18" s="1"/>
  <c r="Q17" i="17"/>
  <c r="M23" i="17"/>
  <c r="N13" i="18" s="1"/>
  <c r="N17" i="17"/>
  <c r="O14" i="17"/>
  <c r="R10" i="18"/>
  <c r="R56" i="18" s="1"/>
  <c r="AD50" i="17"/>
  <c r="K9" i="17"/>
  <c r="K8" i="17"/>
  <c r="K9" i="21"/>
  <c r="P7" i="22"/>
  <c r="O17" i="21"/>
  <c r="P9" i="22" s="1"/>
  <c r="Q65" i="82"/>
  <c r="Q59" i="82"/>
  <c r="Q60" i="82" s="1"/>
  <c r="Q61" i="82"/>
  <c r="Q53" i="82"/>
  <c r="R43" i="82"/>
  <c r="R41" i="82"/>
  <c r="K9" i="81"/>
  <c r="N14" i="81"/>
  <c r="K8" i="81"/>
  <c r="AD53" i="56"/>
  <c r="O8" i="57"/>
  <c r="O9" i="57"/>
  <c r="N22" i="56"/>
  <c r="O12" i="57" s="1"/>
  <c r="O17" i="56"/>
  <c r="N18" i="56"/>
  <c r="N19" i="56" s="1"/>
  <c r="O11" i="57" s="1"/>
  <c r="O53" i="56"/>
  <c r="O16" i="56"/>
  <c r="O52" i="56"/>
  <c r="P8" i="57"/>
  <c r="R62" i="57"/>
  <c r="R34" i="57"/>
  <c r="M14" i="56"/>
  <c r="K8" i="56"/>
  <c r="N6" i="57"/>
  <c r="W53" i="56"/>
  <c r="M14" i="21"/>
  <c r="K14" i="21" s="1"/>
  <c r="N6" i="22"/>
  <c r="N41" i="22" s="1"/>
  <c r="R41" i="22"/>
  <c r="Q41" i="22"/>
  <c r="K8" i="21"/>
  <c r="R37" i="22"/>
  <c r="K49" i="17"/>
  <c r="J21" i="14"/>
  <c r="L21" i="14"/>
  <c r="N21" i="14"/>
  <c r="J20" i="14"/>
  <c r="L20" i="14"/>
  <c r="N20" i="14"/>
  <c r="I49" i="157"/>
  <c r="U49" i="157" s="1"/>
  <c r="I45" i="109"/>
  <c r="R45" i="109" s="1"/>
  <c r="I45" i="195"/>
  <c r="U45" i="195" s="1"/>
  <c r="I47" i="67"/>
  <c r="X47" i="67" s="1"/>
  <c r="I51" i="71"/>
  <c r="U51" i="71" s="1"/>
  <c r="I49" i="53"/>
  <c r="U49" i="53" s="1"/>
  <c r="I46" i="43"/>
  <c r="R46" i="43" s="1"/>
  <c r="I45" i="189"/>
  <c r="R45" i="189" s="1"/>
  <c r="I47" i="199"/>
  <c r="I49" i="77"/>
  <c r="U49" i="77" s="1"/>
  <c r="H47" i="56"/>
  <c r="I46" i="113"/>
  <c r="X46" i="113" s="1"/>
  <c r="H47" i="65"/>
  <c r="W47" i="65" s="1"/>
  <c r="I47" i="89"/>
  <c r="X47" i="89" s="1"/>
  <c r="H47" i="103"/>
  <c r="K47" i="103" s="1"/>
  <c r="I50" i="197"/>
  <c r="R50" i="197" s="1"/>
  <c r="I50" i="119"/>
  <c r="I47" i="117"/>
  <c r="I46" i="69"/>
  <c r="R46" i="69" s="1"/>
  <c r="I48" i="189"/>
  <c r="R48" i="189" s="1"/>
  <c r="I49" i="105"/>
  <c r="R49" i="105" s="1"/>
  <c r="I47" i="109"/>
  <c r="U47" i="109" s="1"/>
  <c r="I50" i="149"/>
  <c r="R50" i="149" s="1"/>
  <c r="I49" i="153"/>
  <c r="X49" i="153" s="1"/>
  <c r="I50" i="105"/>
  <c r="X50" i="105" s="1"/>
  <c r="I50" i="191"/>
  <c r="X50" i="191" s="1"/>
  <c r="I45" i="119"/>
  <c r="X45" i="119" s="1"/>
  <c r="I51" i="191"/>
  <c r="R51" i="191" s="1"/>
  <c r="I47" i="53"/>
  <c r="R47" i="53" s="1"/>
  <c r="I46" i="47"/>
  <c r="X46" i="47" s="1"/>
  <c r="I48" i="149"/>
  <c r="R48" i="149" s="1"/>
  <c r="I50" i="199"/>
  <c r="X50" i="199" s="1"/>
  <c r="I51" i="85"/>
  <c r="R51" i="85" s="1"/>
  <c r="I47" i="187"/>
  <c r="R47" i="187" s="1"/>
  <c r="I47" i="151"/>
  <c r="I50" i="113"/>
  <c r="U50" i="113" s="1"/>
  <c r="I48" i="117"/>
  <c r="X48" i="117" s="1"/>
  <c r="I47" i="157"/>
  <c r="U47" i="157" s="1"/>
  <c r="I47" i="47"/>
  <c r="U47" i="47" s="1"/>
  <c r="I49" i="181"/>
  <c r="X49" i="181" s="1"/>
  <c r="I49" i="151"/>
  <c r="U49" i="151" s="1"/>
  <c r="I49" i="71"/>
  <c r="X49" i="71" s="1"/>
  <c r="I53" i="181"/>
  <c r="I48" i="43"/>
  <c r="U48" i="43" s="1"/>
  <c r="I45" i="187"/>
  <c r="U45" i="187" s="1"/>
  <c r="I45" i="115"/>
  <c r="U45" i="115" s="1"/>
  <c r="I48" i="105"/>
  <c r="U48" i="105" s="1"/>
  <c r="I46" i="157"/>
  <c r="U46" i="157" s="1"/>
  <c r="I49" i="149"/>
  <c r="I51" i="187"/>
  <c r="X51" i="187" s="1"/>
  <c r="I49" i="147"/>
  <c r="U49" i="147" s="1"/>
  <c r="I55" i="199"/>
  <c r="X55" i="199" s="1"/>
  <c r="I47" i="179"/>
  <c r="X47" i="179" s="1"/>
  <c r="I53" i="193"/>
  <c r="U53" i="193" s="1"/>
  <c r="I50" i="53"/>
  <c r="U50" i="53" s="1"/>
  <c r="I48" i="107"/>
  <c r="X48" i="107" s="1"/>
  <c r="I48" i="111"/>
  <c r="U48" i="111" s="1"/>
  <c r="I47" i="71"/>
  <c r="I47" i="197"/>
  <c r="U47" i="197" s="1"/>
  <c r="I47" i="191"/>
  <c r="R47" i="191" s="1"/>
  <c r="I48" i="153"/>
  <c r="U48" i="153" s="1"/>
  <c r="H47" i="19"/>
  <c r="W47" i="19" s="1"/>
  <c r="I52" i="117"/>
  <c r="U52" i="117" s="1"/>
  <c r="I47" i="105"/>
  <c r="U47" i="105" s="1"/>
  <c r="I51" i="111"/>
  <c r="X51" i="111" s="1"/>
  <c r="I50" i="201"/>
  <c r="X50" i="201" s="1"/>
  <c r="I49" i="43"/>
  <c r="U49" i="43" s="1"/>
  <c r="I48" i="145"/>
  <c r="U48" i="145" s="1"/>
  <c r="I45" i="197"/>
  <c r="U45" i="197" s="1"/>
  <c r="I53" i="199"/>
  <c r="X53" i="199" s="1"/>
  <c r="I50" i="179"/>
  <c r="R50" i="179" s="1"/>
  <c r="I49" i="199"/>
  <c r="U49" i="199" s="1"/>
  <c r="I51" i="47"/>
  <c r="U51" i="47" s="1"/>
  <c r="I46" i="115"/>
  <c r="X46" i="115" s="1"/>
  <c r="I45" i="151"/>
  <c r="X45" i="151" s="1"/>
  <c r="I51" i="193"/>
  <c r="R51" i="193" s="1"/>
  <c r="I52" i="109"/>
  <c r="X52" i="109" s="1"/>
  <c r="I46" i="87"/>
  <c r="R46" i="87" s="1"/>
  <c r="I46" i="77"/>
  <c r="R46" i="77" s="1"/>
  <c r="I50" i="47"/>
  <c r="R50" i="47" s="1"/>
  <c r="H47" i="31"/>
  <c r="I47" i="189"/>
  <c r="R47" i="189" s="1"/>
  <c r="I47" i="113"/>
  <c r="U47" i="113" s="1"/>
  <c r="I46" i="105"/>
  <c r="R46" i="105" s="1"/>
  <c r="I49" i="87"/>
  <c r="R49" i="87" s="1"/>
  <c r="I45" i="69"/>
  <c r="X45" i="69" s="1"/>
  <c r="I52" i="193"/>
  <c r="U52" i="193" s="1"/>
  <c r="I50" i="193"/>
  <c r="U50" i="193" s="1"/>
  <c r="I51" i="109"/>
  <c r="I50" i="67"/>
  <c r="U50" i="67" s="1"/>
  <c r="I50" i="107"/>
  <c r="I49" i="113"/>
  <c r="R49" i="113" s="1"/>
  <c r="I48" i="157"/>
  <c r="R48" i="157" s="1"/>
  <c r="I45" i="181"/>
  <c r="U45" i="181" s="1"/>
  <c r="I46" i="189"/>
  <c r="U46" i="189" s="1"/>
  <c r="I47" i="73"/>
  <c r="U47" i="73" s="1"/>
  <c r="I51" i="43"/>
  <c r="I48" i="147"/>
  <c r="R48" i="147" s="1"/>
  <c r="I46" i="197"/>
  <c r="R46" i="197" s="1"/>
  <c r="I54" i="193"/>
  <c r="U54" i="193" s="1"/>
  <c r="I49" i="189"/>
  <c r="X49" i="189" s="1"/>
  <c r="I52" i="53"/>
  <c r="U52" i="53" s="1"/>
  <c r="H47" i="23"/>
  <c r="X47" i="23" s="1"/>
  <c r="I50" i="187"/>
  <c r="X50" i="187" s="1"/>
  <c r="I45" i="153"/>
  <c r="N37" i="36"/>
  <c r="Q33" i="22"/>
  <c r="Q53" i="22"/>
  <c r="Q65" i="22"/>
  <c r="Q61" i="22"/>
  <c r="Q59" i="22"/>
  <c r="Q60" i="22" s="1"/>
  <c r="Q50" i="22"/>
  <c r="P41" i="22"/>
  <c r="M7" i="182"/>
  <c r="K53" i="181"/>
  <c r="S53" i="181" s="1"/>
  <c r="L10" i="181"/>
  <c r="M36" i="182" s="1"/>
  <c r="M8" i="182"/>
  <c r="K54" i="181"/>
  <c r="S54" i="181" s="1"/>
  <c r="K34" i="181"/>
  <c r="K33" i="181"/>
  <c r="K35" i="181"/>
  <c r="K36" i="181"/>
  <c r="K11" i="181"/>
  <c r="P11" i="181"/>
  <c r="O8" i="182"/>
  <c r="O62" i="181"/>
  <c r="O15" i="181"/>
  <c r="O12" i="182" s="1"/>
  <c r="Q59" i="17"/>
  <c r="R25" i="18" s="1"/>
  <c r="Q67" i="160"/>
  <c r="Q34" i="160"/>
  <c r="Q62" i="160"/>
  <c r="K53" i="89"/>
  <c r="S53" i="89" s="1"/>
  <c r="M8" i="90"/>
  <c r="BH7" i="4" s="1"/>
  <c r="R64" i="26"/>
  <c r="R57" i="26"/>
  <c r="P11" i="107"/>
  <c r="O10" i="108" s="1"/>
  <c r="BU8" i="4" s="1"/>
  <c r="O9" i="108"/>
  <c r="BU9" i="4" s="1"/>
  <c r="Q62" i="59"/>
  <c r="Q66" i="59"/>
  <c r="M77" i="25"/>
  <c r="N37" i="26"/>
  <c r="X52" i="91"/>
  <c r="Q57" i="91" s="1"/>
  <c r="Q58" i="91" s="1"/>
  <c r="R36" i="92" s="1"/>
  <c r="AD52" i="91"/>
  <c r="Q43" i="91" s="1"/>
  <c r="R24" i="92" s="1"/>
  <c r="Q62" i="82"/>
  <c r="Q34" i="82"/>
  <c r="Q66" i="82"/>
  <c r="O10" i="154"/>
  <c r="R62" i="82"/>
  <c r="R66" i="82"/>
  <c r="N12" i="147"/>
  <c r="N11" i="148" s="1"/>
  <c r="N10" i="148"/>
  <c r="M18" i="23"/>
  <c r="N9" i="24"/>
  <c r="M23" i="23"/>
  <c r="N13" i="24" s="1"/>
  <c r="N12" i="157"/>
  <c r="N11" i="158" s="1"/>
  <c r="N10" i="158"/>
  <c r="AA8" i="4" s="1"/>
  <c r="O53" i="119"/>
  <c r="Y53" i="119" s="1"/>
  <c r="P10" i="119"/>
  <c r="O36" i="120" s="1"/>
  <c r="O52" i="119"/>
  <c r="Y52" i="119" s="1"/>
  <c r="R53" i="59"/>
  <c r="R50" i="59"/>
  <c r="R59" i="59"/>
  <c r="R60" i="59" s="1"/>
  <c r="R61" i="59"/>
  <c r="R33" i="59"/>
  <c r="O10" i="182"/>
  <c r="P12" i="181"/>
  <c r="O11" i="182" s="1"/>
  <c r="O66" i="193"/>
  <c r="P65" i="193" s="1"/>
  <c r="O22" i="194" s="1"/>
  <c r="O12" i="194"/>
  <c r="P9" i="26"/>
  <c r="O23" i="25"/>
  <c r="P13" i="26" s="1"/>
  <c r="R61" i="22"/>
  <c r="R53" i="22"/>
  <c r="R33" i="22"/>
  <c r="R59" i="22"/>
  <c r="R60" i="22" s="1"/>
  <c r="Q57" i="82"/>
  <c r="Q64" i="82"/>
  <c r="K15" i="53"/>
  <c r="K16" i="53"/>
  <c r="M13" i="54" s="1"/>
  <c r="W12" i="4" s="1"/>
  <c r="M9" i="54"/>
  <c r="W9" i="4" s="1"/>
  <c r="K8" i="31"/>
  <c r="M14" i="31"/>
  <c r="N6" i="32"/>
  <c r="P12" i="89"/>
  <c r="O11" i="90" s="1"/>
  <c r="O10" i="90"/>
  <c r="BJ8" i="4" s="1"/>
  <c r="R50" i="57"/>
  <c r="R61" i="57"/>
  <c r="R66" i="22"/>
  <c r="R62" i="22"/>
  <c r="CG9" i="4"/>
  <c r="CA9" i="4"/>
  <c r="O62" i="153"/>
  <c r="O15" i="153"/>
  <c r="O9" i="154"/>
  <c r="O7" i="16"/>
  <c r="N17" i="15"/>
  <c r="N15" i="15"/>
  <c r="Q22" i="81"/>
  <c r="R12" i="82" s="1"/>
  <c r="R9" i="82"/>
  <c r="N8" i="110"/>
  <c r="BW7" i="4" s="1"/>
  <c r="V51" i="109"/>
  <c r="P11" i="45"/>
  <c r="O10" i="46" s="1"/>
  <c r="AE8" i="4" s="1"/>
  <c r="O16" i="45"/>
  <c r="O13" i="46" s="1"/>
  <c r="AE12" i="4" s="1"/>
  <c r="O15" i="45"/>
  <c r="O12" i="46" s="1"/>
  <c r="AE11" i="4" s="1"/>
  <c r="O9" i="164"/>
  <c r="N22" i="163"/>
  <c r="O12" i="164" s="1"/>
  <c r="N8" i="188"/>
  <c r="M51" i="187"/>
  <c r="V51" i="187" s="1"/>
  <c r="C49" i="22"/>
  <c r="C50" i="22" s="1"/>
  <c r="C51" i="22"/>
  <c r="O6" i="160"/>
  <c r="O43" i="160" s="1"/>
  <c r="K9" i="159"/>
  <c r="K8" i="159"/>
  <c r="N14" i="159"/>
  <c r="M66" i="147"/>
  <c r="N65" i="147" s="1"/>
  <c r="N22" i="148" s="1"/>
  <c r="N12" i="148"/>
  <c r="N23" i="163"/>
  <c r="O13" i="164" s="1"/>
  <c r="K20" i="65"/>
  <c r="L11" i="53"/>
  <c r="Q10" i="66"/>
  <c r="P19" i="65"/>
  <c r="Q11" i="66" s="1"/>
  <c r="N9" i="148"/>
  <c r="M16" i="147"/>
  <c r="N13" i="148" s="1"/>
  <c r="M62" i="147"/>
  <c r="N8" i="200"/>
  <c r="N10" i="199"/>
  <c r="N36" i="200" s="1"/>
  <c r="N12" i="43"/>
  <c r="N11" i="44" s="1"/>
  <c r="N10" i="44"/>
  <c r="R34" i="164"/>
  <c r="R62" i="164"/>
  <c r="O51" i="85"/>
  <c r="Y51" i="85" s="1"/>
  <c r="O8" i="86"/>
  <c r="AX7" i="4" s="1"/>
  <c r="O52" i="85"/>
  <c r="Y52" i="85" s="1"/>
  <c r="P5" i="102"/>
  <c r="P6" i="102" s="1"/>
  <c r="P10" i="85"/>
  <c r="O36" i="86" s="1"/>
  <c r="AX31" i="4" s="1"/>
  <c r="Q62" i="50"/>
  <c r="Q34" i="50"/>
  <c r="R8" i="16"/>
  <c r="R29" i="16" s="1"/>
  <c r="F4" i="155"/>
  <c r="AQ7" i="4"/>
  <c r="N19" i="23"/>
  <c r="O11" i="24" s="1"/>
  <c r="O10" i="24"/>
  <c r="R65" i="22"/>
  <c r="N16" i="163"/>
  <c r="N52" i="163"/>
  <c r="O8" i="164"/>
  <c r="N12" i="53"/>
  <c r="N11" i="54" s="1"/>
  <c r="N10" i="54"/>
  <c r="M10" i="44"/>
  <c r="L12" i="43"/>
  <c r="M11" i="44" s="1"/>
  <c r="Q22" i="163"/>
  <c r="R12" i="164" s="1"/>
  <c r="R9" i="164"/>
  <c r="Q17" i="51"/>
  <c r="R7" i="52"/>
  <c r="Q15" i="51"/>
  <c r="R67" i="164"/>
  <c r="K39" i="49"/>
  <c r="K37" i="49"/>
  <c r="M7" i="50"/>
  <c r="O6" i="4" s="1"/>
  <c r="K36" i="49"/>
  <c r="K66" i="105"/>
  <c r="L65" i="105" s="1"/>
  <c r="M22" i="106" s="1"/>
  <c r="M12" i="106"/>
  <c r="BM11" i="4" s="1"/>
  <c r="M16" i="103"/>
  <c r="N8" i="104"/>
  <c r="K15" i="103"/>
  <c r="N11" i="73"/>
  <c r="L12" i="157"/>
  <c r="M11" i="158" s="1"/>
  <c r="O53" i="181"/>
  <c r="Y53" i="181" s="1"/>
  <c r="N17" i="19"/>
  <c r="M9" i="194"/>
  <c r="M74" i="194" s="1"/>
  <c r="I52" i="201"/>
  <c r="X52" i="201" s="1"/>
  <c r="I45" i="67"/>
  <c r="X45" i="67" s="1"/>
  <c r="I45" i="77"/>
  <c r="U45" i="77" s="1"/>
  <c r="I49" i="117"/>
  <c r="R49" i="117" s="1"/>
  <c r="I45" i="87"/>
  <c r="X45" i="87" s="1"/>
  <c r="K51" i="111"/>
  <c r="S51" i="111" s="1"/>
  <c r="K50" i="111"/>
  <c r="S50" i="111" s="1"/>
  <c r="M16" i="87"/>
  <c r="N13" i="88" s="1"/>
  <c r="BC12" i="4" s="1"/>
  <c r="N9" i="88"/>
  <c r="BC9" i="4" s="1"/>
  <c r="N11" i="87"/>
  <c r="P11" i="145"/>
  <c r="O16" i="145"/>
  <c r="O13" i="146" s="1"/>
  <c r="O9" i="146"/>
  <c r="O62" i="145"/>
  <c r="M8" i="108"/>
  <c r="BS7" i="4" s="1"/>
  <c r="K51" i="107"/>
  <c r="S51" i="107" s="1"/>
  <c r="K50" i="107"/>
  <c r="S50" i="107" s="1"/>
  <c r="O19" i="65"/>
  <c r="P11" i="66" s="1"/>
  <c r="O54" i="181"/>
  <c r="Y54" i="181" s="1"/>
  <c r="K16" i="193"/>
  <c r="M13" i="194" s="1"/>
  <c r="C4" i="155"/>
  <c r="X7" i="4"/>
  <c r="P37" i="104"/>
  <c r="R50" i="160"/>
  <c r="AD52" i="56"/>
  <c r="Q43" i="56" s="1"/>
  <c r="R24" i="57" s="1"/>
  <c r="I49" i="109"/>
  <c r="R49" i="109" s="1"/>
  <c r="I52" i="43"/>
  <c r="R52" i="43" s="1"/>
  <c r="I48" i="73"/>
  <c r="U48" i="73" s="1"/>
  <c r="H47" i="51"/>
  <c r="V47" i="51" s="1"/>
  <c r="I47" i="153"/>
  <c r="R47" i="153" s="1"/>
  <c r="Q8" i="16"/>
  <c r="O62" i="77"/>
  <c r="O9" i="78"/>
  <c r="BG9" i="4" s="1"/>
  <c r="O15" i="77"/>
  <c r="O12" i="78" s="1"/>
  <c r="BG11" i="4" s="1"/>
  <c r="N11" i="149"/>
  <c r="M15" i="149"/>
  <c r="M16" i="149"/>
  <c r="N13" i="150" s="1"/>
  <c r="L9" i="145"/>
  <c r="M8" i="146" s="1"/>
  <c r="K35" i="145"/>
  <c r="K11" i="145"/>
  <c r="K36" i="145"/>
  <c r="M7" i="146"/>
  <c r="K33" i="145"/>
  <c r="P9" i="69"/>
  <c r="O8" i="70" s="1"/>
  <c r="BA7" i="4" s="1"/>
  <c r="O34" i="69"/>
  <c r="O35" i="69"/>
  <c r="O33" i="69"/>
  <c r="O7" i="70"/>
  <c r="BA6" i="4" s="1"/>
  <c r="O11" i="69"/>
  <c r="F8" i="155"/>
  <c r="AQ8" i="4"/>
  <c r="AQ20" i="4"/>
  <c r="O8" i="194"/>
  <c r="L11" i="69"/>
  <c r="K50" i="105"/>
  <c r="S50" i="105" s="1"/>
  <c r="P17" i="15"/>
  <c r="N12" i="152"/>
  <c r="R66" i="160"/>
  <c r="R52" i="195"/>
  <c r="C52" i="20"/>
  <c r="C53" i="20" s="1"/>
  <c r="C55" i="20"/>
  <c r="C56" i="20" s="1"/>
  <c r="C57" i="20" s="1"/>
  <c r="C58" i="20" s="1"/>
  <c r="M15" i="119"/>
  <c r="M16" i="119"/>
  <c r="N13" i="120" s="1"/>
  <c r="N11" i="119"/>
  <c r="N12" i="119" s="1"/>
  <c r="N11" i="120" s="1"/>
  <c r="N9" i="52"/>
  <c r="M23" i="51"/>
  <c r="N13" i="52" s="1"/>
  <c r="M18" i="51"/>
  <c r="M22" i="51"/>
  <c r="N12" i="52" s="1"/>
  <c r="N12" i="70"/>
  <c r="AZ11" i="4" s="1"/>
  <c r="M19" i="81"/>
  <c r="N11" i="82" s="1"/>
  <c r="Q53" i="59"/>
  <c r="O53" i="193"/>
  <c r="Y53" i="193" s="1"/>
  <c r="K62" i="69"/>
  <c r="M16" i="91"/>
  <c r="N8" i="92"/>
  <c r="K49" i="105"/>
  <c r="S49" i="105" s="1"/>
  <c r="P18" i="23"/>
  <c r="M17" i="91"/>
  <c r="N9" i="92" s="1"/>
  <c r="N7" i="92"/>
  <c r="M16" i="179"/>
  <c r="N13" i="180" s="1"/>
  <c r="H46" i="159"/>
  <c r="V46" i="159" s="1"/>
  <c r="I49" i="85"/>
  <c r="U49" i="85" s="1"/>
  <c r="I52" i="71"/>
  <c r="X52" i="71" s="1"/>
  <c r="I48" i="77"/>
  <c r="X48" i="77" s="1"/>
  <c r="O15" i="191"/>
  <c r="P11" i="191"/>
  <c r="I45" i="45"/>
  <c r="R45" i="45" s="1"/>
  <c r="I50" i="153"/>
  <c r="X50" i="153" s="1"/>
  <c r="I45" i="193"/>
  <c r="R45" i="193" s="1"/>
  <c r="I46" i="153"/>
  <c r="U46" i="153" s="1"/>
  <c r="I46" i="181"/>
  <c r="U46" i="181" s="1"/>
  <c r="K16" i="195"/>
  <c r="M13" i="196" s="1"/>
  <c r="L11" i="195"/>
  <c r="M9" i="196"/>
  <c r="M74" i="196" s="1"/>
  <c r="P11" i="109"/>
  <c r="O16" i="109"/>
  <c r="O13" i="110" s="1"/>
  <c r="BX12" i="4" s="1"/>
  <c r="O15" i="109"/>
  <c r="O66" i="109" s="1"/>
  <c r="P65" i="109" s="1"/>
  <c r="O22" i="110" s="1"/>
  <c r="CF21" i="4"/>
  <c r="BZ21" i="4"/>
  <c r="K15" i="69"/>
  <c r="R9" i="22"/>
  <c r="M8" i="106"/>
  <c r="BM7" i="4" s="1"/>
  <c r="P22" i="23"/>
  <c r="Q12" i="24" s="1"/>
  <c r="N53" i="23"/>
  <c r="K14" i="51"/>
  <c r="K39" i="51" s="1"/>
  <c r="N12" i="180"/>
  <c r="W52" i="56"/>
  <c r="H47" i="215"/>
  <c r="H53" i="215"/>
  <c r="K53" i="215" s="1"/>
  <c r="H48" i="215"/>
  <c r="H46" i="215"/>
  <c r="H49" i="215"/>
  <c r="H47" i="213"/>
  <c r="H48" i="213"/>
  <c r="H46" i="213"/>
  <c r="H49" i="213"/>
  <c r="H48" i="211"/>
  <c r="H46" i="211"/>
  <c r="H47" i="211"/>
  <c r="H49" i="211"/>
  <c r="H47" i="209"/>
  <c r="H47" i="207"/>
  <c r="H46" i="209"/>
  <c r="H48" i="207"/>
  <c r="H46" i="207"/>
  <c r="H48" i="209"/>
  <c r="H46" i="81"/>
  <c r="K46" i="81" s="1"/>
  <c r="I45" i="113"/>
  <c r="U45" i="113" s="1"/>
  <c r="I49" i="187"/>
  <c r="X49" i="187" s="1"/>
  <c r="I45" i="47"/>
  <c r="R45" i="47" s="1"/>
  <c r="I52" i="119"/>
  <c r="X52" i="119" s="1"/>
  <c r="I45" i="145"/>
  <c r="X45" i="145" s="1"/>
  <c r="I46" i="147"/>
  <c r="R46" i="147" s="1"/>
  <c r="I50" i="115"/>
  <c r="U50" i="115" s="1"/>
  <c r="I49" i="115"/>
  <c r="R49" i="115" s="1"/>
  <c r="I48" i="181"/>
  <c r="U48" i="181" s="1"/>
  <c r="I52" i="113"/>
  <c r="U52" i="113" s="1"/>
  <c r="I47" i="77"/>
  <c r="U47" i="77" s="1"/>
  <c r="I50" i="85"/>
  <c r="R50" i="85" s="1"/>
  <c r="I49" i="73"/>
  <c r="U49" i="73" s="1"/>
  <c r="I47" i="87"/>
  <c r="X47" i="87" s="1"/>
  <c r="I51" i="119"/>
  <c r="R51" i="119" s="1"/>
  <c r="I52" i="197"/>
  <c r="X52" i="197" s="1"/>
  <c r="I51" i="201"/>
  <c r="X51" i="201" s="1"/>
  <c r="H47" i="21"/>
  <c r="K47" i="21" s="1"/>
  <c r="I45" i="117"/>
  <c r="R45" i="117" s="1"/>
  <c r="I45" i="107"/>
  <c r="X45" i="107" s="1"/>
  <c r="I50" i="73"/>
  <c r="X50" i="73" s="1"/>
  <c r="I50" i="151"/>
  <c r="U50" i="151" s="1"/>
  <c r="I47" i="195"/>
  <c r="U47" i="195" s="1"/>
  <c r="I51" i="115"/>
  <c r="X51" i="115" s="1"/>
  <c r="H46" i="91"/>
  <c r="W46" i="91" s="1"/>
  <c r="H48" i="51"/>
  <c r="T48" i="51" s="1"/>
  <c r="H46" i="103"/>
  <c r="T46" i="103" s="1"/>
  <c r="H46" i="49"/>
  <c r="K46" i="49" s="1"/>
  <c r="I46" i="67"/>
  <c r="X46" i="67" s="1"/>
  <c r="I48" i="67"/>
  <c r="U48" i="67" s="1"/>
  <c r="I48" i="151"/>
  <c r="X48" i="151" s="1"/>
  <c r="I48" i="89"/>
  <c r="R48" i="89" s="1"/>
  <c r="I50" i="111"/>
  <c r="R50" i="111" s="1"/>
  <c r="I46" i="179"/>
  <c r="X46" i="179" s="1"/>
  <c r="I49" i="69"/>
  <c r="U49" i="69" s="1"/>
  <c r="I53" i="119"/>
  <c r="R53" i="119" s="1"/>
  <c r="H46" i="163"/>
  <c r="V46" i="163" s="1"/>
  <c r="I53" i="197"/>
  <c r="X53" i="197" s="1"/>
  <c r="I50" i="87"/>
  <c r="U50" i="87" s="1"/>
  <c r="I48" i="115"/>
  <c r="U48" i="115" s="1"/>
  <c r="I49" i="89"/>
  <c r="R49" i="89" s="1"/>
  <c r="I46" i="191"/>
  <c r="X46" i="191" s="1"/>
  <c r="I49" i="179"/>
  <c r="R49" i="179" s="1"/>
  <c r="I47" i="43"/>
  <c r="U47" i="43" s="1"/>
  <c r="I47" i="83"/>
  <c r="U47" i="83" s="1"/>
  <c r="I46" i="119"/>
  <c r="R46" i="119" s="1"/>
  <c r="I48" i="191"/>
  <c r="U48" i="191" s="1"/>
  <c r="I48" i="187"/>
  <c r="U48" i="187" s="1"/>
  <c r="I47" i="85"/>
  <c r="U47" i="85" s="1"/>
  <c r="I49" i="47"/>
  <c r="R49" i="47" s="1"/>
  <c r="I46" i="201"/>
  <c r="U46" i="201" s="1"/>
  <c r="I45" i="179"/>
  <c r="X45" i="179" s="1"/>
  <c r="I46" i="187"/>
  <c r="X46" i="187" s="1"/>
  <c r="I48" i="87"/>
  <c r="X48" i="87" s="1"/>
  <c r="I47" i="193"/>
  <c r="X47" i="193" s="1"/>
  <c r="H49" i="31"/>
  <c r="K49" i="31" s="1"/>
  <c r="I52" i="191"/>
  <c r="R52" i="191" s="1"/>
  <c r="I47" i="107"/>
  <c r="U47" i="107" s="1"/>
  <c r="I50" i="117"/>
  <c r="X50" i="117" s="1"/>
  <c r="I45" i="199"/>
  <c r="U45" i="199" s="1"/>
  <c r="I46" i="151"/>
  <c r="X46" i="151" s="1"/>
  <c r="H47" i="35"/>
  <c r="W47" i="35" s="1"/>
  <c r="I46" i="199"/>
  <c r="R46" i="199" s="1"/>
  <c r="I48" i="83"/>
  <c r="R48" i="83" s="1"/>
  <c r="I46" i="71"/>
  <c r="X46" i="71" s="1"/>
  <c r="I48" i="47"/>
  <c r="R48" i="47" s="1"/>
  <c r="I46" i="89"/>
  <c r="X46" i="89" s="1"/>
  <c r="I52" i="85"/>
  <c r="U52" i="85" s="1"/>
  <c r="I46" i="117"/>
  <c r="R46" i="117" s="1"/>
  <c r="I53" i="201"/>
  <c r="R53" i="201" s="1"/>
  <c r="H47" i="91"/>
  <c r="V47" i="91" s="1"/>
  <c r="I51" i="83"/>
  <c r="R51" i="83" s="1"/>
  <c r="I49" i="67"/>
  <c r="X49" i="67" s="1"/>
  <c r="I49" i="145"/>
  <c r="U49" i="145" s="1"/>
  <c r="I46" i="107"/>
  <c r="U46" i="107" s="1"/>
  <c r="H47" i="163"/>
  <c r="V47" i="163" s="1"/>
  <c r="I47" i="69"/>
  <c r="U47" i="69" s="1"/>
  <c r="I48" i="113"/>
  <c r="U48" i="113" s="1"/>
  <c r="I45" i="201"/>
  <c r="R45" i="201" s="1"/>
  <c r="I53" i="113"/>
  <c r="X53" i="113" s="1"/>
  <c r="H47" i="81"/>
  <c r="V47" i="81" s="1"/>
  <c r="H47" i="15"/>
  <c r="W47" i="15" s="1"/>
  <c r="H48" i="103"/>
  <c r="V48" i="103" s="1"/>
  <c r="H51" i="31"/>
  <c r="K51" i="31" s="1"/>
  <c r="I47" i="149"/>
  <c r="X47" i="149" s="1"/>
  <c r="I48" i="69"/>
  <c r="R48" i="69" s="1"/>
  <c r="H47" i="159"/>
  <c r="V47" i="159" s="1"/>
  <c r="I51" i="87"/>
  <c r="X51" i="87" s="1"/>
  <c r="I51" i="149"/>
  <c r="U51" i="149" s="1"/>
  <c r="H48" i="65"/>
  <c r="U48" i="65" s="1"/>
  <c r="I49" i="83"/>
  <c r="R49" i="83" s="1"/>
  <c r="I49" i="193"/>
  <c r="U49" i="193" s="1"/>
  <c r="I54" i="199"/>
  <c r="U54" i="199" s="1"/>
  <c r="I46" i="109"/>
  <c r="R46" i="109" s="1"/>
  <c r="I50" i="71"/>
  <c r="X50" i="71" s="1"/>
  <c r="H47" i="17"/>
  <c r="V47" i="17" s="1"/>
  <c r="I48" i="179"/>
  <c r="U48" i="179" s="1"/>
  <c r="I47" i="201"/>
  <c r="X47" i="201" s="1"/>
  <c r="I47" i="147"/>
  <c r="X47" i="147" s="1"/>
  <c r="I45" i="105"/>
  <c r="U45" i="105" s="1"/>
  <c r="I52" i="73"/>
  <c r="R52" i="73" s="1"/>
  <c r="I51" i="107"/>
  <c r="X51" i="107" s="1"/>
  <c r="I47" i="119"/>
  <c r="U47" i="119" s="1"/>
  <c r="I51" i="53"/>
  <c r="R51" i="53" s="1"/>
  <c r="I48" i="193"/>
  <c r="U48" i="193" s="1"/>
  <c r="I46" i="83"/>
  <c r="R46" i="83" s="1"/>
  <c r="I45" i="43"/>
  <c r="U45" i="43" s="1"/>
  <c r="I47" i="111"/>
  <c r="U47" i="111" s="1"/>
  <c r="I49" i="195"/>
  <c r="U49" i="195" s="1"/>
  <c r="I47" i="181"/>
  <c r="R47" i="181" s="1"/>
  <c r="I45" i="85"/>
  <c r="R45" i="85" s="1"/>
  <c r="I49" i="119"/>
  <c r="R49" i="119" s="1"/>
  <c r="I51" i="199"/>
  <c r="R51" i="199" s="1"/>
  <c r="I48" i="119"/>
  <c r="U48" i="119" s="1"/>
  <c r="H47" i="25"/>
  <c r="T47" i="25" s="1"/>
  <c r="H47" i="49"/>
  <c r="T47" i="49" s="1"/>
  <c r="H46" i="51"/>
  <c r="T46" i="51" s="1"/>
  <c r="H47" i="58"/>
  <c r="K47" i="58" s="1"/>
  <c r="I50" i="83"/>
  <c r="X50" i="83" s="1"/>
  <c r="I47" i="145"/>
  <c r="X47" i="145" s="1"/>
  <c r="I50" i="157"/>
  <c r="X50" i="157" s="1"/>
  <c r="I51" i="197"/>
  <c r="R51" i="197" s="1"/>
  <c r="I45" i="89"/>
  <c r="U45" i="89" s="1"/>
  <c r="I47" i="115"/>
  <c r="U47" i="115" s="1"/>
  <c r="I49" i="111"/>
  <c r="X49" i="111" s="1"/>
  <c r="I46" i="111"/>
  <c r="U46" i="111" s="1"/>
  <c r="I46" i="85"/>
  <c r="X46" i="85" s="1"/>
  <c r="I45" i="149"/>
  <c r="U45" i="149" s="1"/>
  <c r="I48" i="71"/>
  <c r="U48" i="71" s="1"/>
  <c r="I53" i="89"/>
  <c r="X53" i="89" s="1"/>
  <c r="I51" i="113"/>
  <c r="X51" i="113" s="1"/>
  <c r="I52" i="199"/>
  <c r="X52" i="199" s="1"/>
  <c r="I52" i="115"/>
  <c r="X52" i="115" s="1"/>
  <c r="I50" i="43"/>
  <c r="U50" i="43" s="1"/>
  <c r="I50" i="109"/>
  <c r="R50" i="109" s="1"/>
  <c r="I48" i="199"/>
  <c r="X48" i="199" s="1"/>
  <c r="I46" i="195"/>
  <c r="X46" i="195" s="1"/>
  <c r="I46" i="193"/>
  <c r="U46" i="193" s="1"/>
  <c r="I51" i="73"/>
  <c r="X51" i="73" s="1"/>
  <c r="I46" i="149"/>
  <c r="U46" i="149" s="1"/>
  <c r="I45" i="147"/>
  <c r="X45" i="147" s="1"/>
  <c r="I51" i="117"/>
  <c r="U51" i="117" s="1"/>
  <c r="H48" i="17"/>
  <c r="U48" i="17" s="1"/>
  <c r="H48" i="91"/>
  <c r="T48" i="91" s="1"/>
  <c r="H48" i="35"/>
  <c r="K48" i="35" s="1"/>
  <c r="O18" i="35"/>
  <c r="P9" i="36"/>
  <c r="L11" i="71"/>
  <c r="M9" i="72"/>
  <c r="AJ9" i="4" s="1"/>
  <c r="O9" i="116"/>
  <c r="CD9" i="4" s="1"/>
  <c r="O15" i="115"/>
  <c r="O12" i="116" s="1"/>
  <c r="CD11" i="4" s="1"/>
  <c r="O16" i="115"/>
  <c r="O13" i="116" s="1"/>
  <c r="CD12" i="4" s="1"/>
  <c r="P11" i="115"/>
  <c r="R50" i="66"/>
  <c r="Q50" i="59"/>
  <c r="Q19" i="23"/>
  <c r="R11" i="24" s="1"/>
  <c r="K15" i="67"/>
  <c r="N16" i="23"/>
  <c r="N52" i="56"/>
  <c r="O22" i="51"/>
  <c r="P12" i="52" s="1"/>
  <c r="Q57" i="26"/>
  <c r="I45" i="191"/>
  <c r="U45" i="191" s="1"/>
  <c r="I45" i="111"/>
  <c r="U45" i="111" s="1"/>
  <c r="I48" i="85"/>
  <c r="X48" i="85" s="1"/>
  <c r="P9" i="52"/>
  <c r="C52" i="32"/>
  <c r="C53" i="32" s="1"/>
  <c r="C55" i="32"/>
  <c r="C56" i="32" s="1"/>
  <c r="C57" i="32" s="1"/>
  <c r="C58" i="32" s="1"/>
  <c r="I49" i="107"/>
  <c r="X49" i="107" s="1"/>
  <c r="I46" i="145"/>
  <c r="U46" i="145" s="1"/>
  <c r="I48" i="53"/>
  <c r="X48" i="53" s="1"/>
  <c r="I48" i="109"/>
  <c r="X48" i="109" s="1"/>
  <c r="I49" i="191"/>
  <c r="U49" i="191" s="1"/>
  <c r="O62" i="115"/>
  <c r="M52" i="25"/>
  <c r="M61" i="25"/>
  <c r="O23" i="56"/>
  <c r="P13" i="57" s="1"/>
  <c r="M35" i="179"/>
  <c r="M9" i="188"/>
  <c r="K16" i="147"/>
  <c r="M13" i="148" s="1"/>
  <c r="M9" i="148"/>
  <c r="L9" i="197"/>
  <c r="K34" i="197"/>
  <c r="N15" i="49"/>
  <c r="N17" i="49"/>
  <c r="N8" i="114"/>
  <c r="BQ7" i="4" s="1"/>
  <c r="Q23" i="19"/>
  <c r="R13" i="20" s="1"/>
  <c r="N18" i="58"/>
  <c r="O10" i="59" s="1"/>
  <c r="N22" i="65"/>
  <c r="N7" i="180"/>
  <c r="N72" i="180" s="1"/>
  <c r="O7" i="24"/>
  <c r="L9" i="199"/>
  <c r="K35" i="199"/>
  <c r="M7" i="200"/>
  <c r="M72" i="200" s="1"/>
  <c r="K11" i="199"/>
  <c r="O11" i="157"/>
  <c r="O33" i="157"/>
  <c r="P9" i="157"/>
  <c r="F44" i="12"/>
  <c r="K36" i="109"/>
  <c r="K35" i="109"/>
  <c r="L9" i="109"/>
  <c r="K33" i="109"/>
  <c r="P14" i="91"/>
  <c r="Q6" i="92"/>
  <c r="Q43" i="92" s="1"/>
  <c r="P43" i="20"/>
  <c r="L12" i="115"/>
  <c r="M11" i="116" s="1"/>
  <c r="L11" i="201"/>
  <c r="M10" i="202" s="1"/>
  <c r="M9" i="116"/>
  <c r="CB9" i="4" s="1"/>
  <c r="G49" i="17"/>
  <c r="P9" i="47"/>
  <c r="O35" i="47"/>
  <c r="O11" i="47"/>
  <c r="AC51" i="25"/>
  <c r="P43" i="25" s="1"/>
  <c r="Q24" i="26" s="1"/>
  <c r="N12" i="86"/>
  <c r="AW11" i="4" s="1"/>
  <c r="M66" i="85"/>
  <c r="N65" i="85" s="1"/>
  <c r="N22" i="86" s="1"/>
  <c r="O40" i="20"/>
  <c r="H47" i="119"/>
  <c r="M17" i="19"/>
  <c r="M15" i="19"/>
  <c r="N23" i="58"/>
  <c r="O13" i="59" s="1"/>
  <c r="Q37" i="57"/>
  <c r="M17" i="58"/>
  <c r="O17" i="91"/>
  <c r="P7" i="92"/>
  <c r="O34" i="145"/>
  <c r="F9" i="155"/>
  <c r="G47" i="19"/>
  <c r="H51" i="85"/>
  <c r="G35" i="102"/>
  <c r="G36" i="102" s="1"/>
  <c r="G37" i="102" s="1"/>
  <c r="I37" i="102" s="1"/>
  <c r="M7" i="44"/>
  <c r="L56" i="65"/>
  <c r="L55" i="159"/>
  <c r="O35" i="191"/>
  <c r="Q78" i="58"/>
  <c r="R38" i="59" s="1"/>
  <c r="R40" i="59" s="1"/>
  <c r="M35" i="89"/>
  <c r="N43" i="36"/>
  <c r="L49" i="65"/>
  <c r="R8" i="92"/>
  <c r="R29" i="92" s="1"/>
  <c r="R43" i="22"/>
  <c r="N43" i="160"/>
  <c r="L56" i="159"/>
  <c r="P78" i="15"/>
  <c r="Q38" i="16" s="1"/>
  <c r="G53" i="215"/>
  <c r="H49" i="145"/>
  <c r="H48" i="195"/>
  <c r="H50" i="199"/>
  <c r="H49" i="193"/>
  <c r="H47" i="157"/>
  <c r="H45" i="187"/>
  <c r="M34" i="89"/>
  <c r="K49" i="65"/>
  <c r="N14" i="91"/>
  <c r="Q14" i="91"/>
  <c r="R6" i="92"/>
  <c r="K56" i="159"/>
  <c r="L49" i="159"/>
  <c r="O14" i="163"/>
  <c r="K14" i="163" s="1"/>
  <c r="K8" i="163"/>
  <c r="K35" i="47"/>
  <c r="Q78" i="15"/>
  <c r="R38" i="16" s="1"/>
  <c r="R40" i="16" s="1"/>
  <c r="G46" i="163"/>
  <c r="AN5" i="4"/>
  <c r="L9" i="147"/>
  <c r="M8" i="148" s="1"/>
  <c r="L52" i="65"/>
  <c r="K51" i="65"/>
  <c r="L51" i="159"/>
  <c r="M59" i="17"/>
  <c r="N25" i="18" s="1"/>
  <c r="P43" i="16"/>
  <c r="M11" i="191"/>
  <c r="K23" i="209"/>
  <c r="M13" i="210" s="1"/>
  <c r="M12" i="4" s="1"/>
  <c r="K51" i="159"/>
  <c r="N78" i="15"/>
  <c r="O38" i="16" s="1"/>
  <c r="Q78" i="211"/>
  <c r="P78" i="211"/>
  <c r="G48" i="58"/>
  <c r="G48" i="65"/>
  <c r="H48" i="193"/>
  <c r="H50" i="117"/>
  <c r="H47" i="73"/>
  <c r="R43" i="26"/>
  <c r="L54" i="65"/>
  <c r="K53" i="65"/>
  <c r="R11" i="92"/>
  <c r="R58" i="92" s="1"/>
  <c r="L53" i="159"/>
  <c r="K52" i="159"/>
  <c r="M34" i="151"/>
  <c r="O78" i="58"/>
  <c r="P38" i="59" s="1"/>
  <c r="P40" i="59" s="1"/>
  <c r="K20" i="209"/>
  <c r="R43" i="50"/>
  <c r="H52" i="199"/>
  <c r="G48" i="25"/>
  <c r="T54" i="117"/>
  <c r="H50" i="115"/>
  <c r="H48" i="151"/>
  <c r="H48" i="179"/>
  <c r="H47" i="43"/>
  <c r="H45" i="105"/>
  <c r="H54" i="199"/>
  <c r="G48" i="103"/>
  <c r="H45" i="197"/>
  <c r="H48" i="43"/>
  <c r="G48" i="163"/>
  <c r="H46" i="153"/>
  <c r="H49" i="181"/>
  <c r="H51" i="113"/>
  <c r="H50" i="71"/>
  <c r="H48" i="67"/>
  <c r="H48" i="189"/>
  <c r="H50" i="201"/>
  <c r="H48" i="105"/>
  <c r="H48" i="145"/>
  <c r="H47" i="193"/>
  <c r="H51" i="195"/>
  <c r="H45" i="149"/>
  <c r="H47" i="53"/>
  <c r="H46" i="149"/>
  <c r="H48" i="53"/>
  <c r="H46" i="151"/>
  <c r="H50" i="113"/>
  <c r="H48" i="107"/>
  <c r="H49" i="149"/>
  <c r="H47" i="109"/>
  <c r="H49" i="195"/>
  <c r="H48" i="109"/>
  <c r="H47" i="145"/>
  <c r="H47" i="191"/>
  <c r="H49" i="151"/>
  <c r="H49" i="187"/>
  <c r="H47" i="77"/>
  <c r="H54" i="193"/>
  <c r="H45" i="47"/>
  <c r="H48" i="85"/>
  <c r="H48" i="111"/>
  <c r="H49" i="191"/>
  <c r="H48" i="73"/>
  <c r="H47" i="85"/>
  <c r="H45" i="191"/>
  <c r="H48" i="47"/>
  <c r="G48" i="49"/>
  <c r="H49" i="77"/>
  <c r="H45" i="193"/>
  <c r="H49" i="85"/>
  <c r="H46" i="113"/>
  <c r="H51" i="197"/>
  <c r="H47" i="111"/>
  <c r="H50" i="109"/>
  <c r="H49" i="111"/>
  <c r="G48" i="19"/>
  <c r="G48" i="35"/>
  <c r="H45" i="113"/>
  <c r="H45" i="147"/>
  <c r="G48" i="23"/>
  <c r="H45" i="45"/>
  <c r="H50" i="43"/>
  <c r="H49" i="153"/>
  <c r="H47" i="149"/>
  <c r="H45" i="69"/>
  <c r="H49" i="71"/>
  <c r="H50" i="157"/>
  <c r="G48" i="17"/>
  <c r="H45" i="153"/>
  <c r="H50" i="73"/>
  <c r="H49" i="147"/>
  <c r="H46" i="43"/>
  <c r="H48" i="199"/>
  <c r="H51" i="149"/>
  <c r="H47" i="197"/>
  <c r="H48" i="191"/>
  <c r="G48" i="56"/>
  <c r="H50" i="149"/>
  <c r="H49" i="43"/>
  <c r="H50" i="53"/>
  <c r="H48" i="87"/>
  <c r="H50" i="191"/>
  <c r="H50" i="197"/>
  <c r="H55" i="199"/>
  <c r="H47" i="187"/>
  <c r="H49" i="179"/>
  <c r="H47" i="107"/>
  <c r="H47" i="89"/>
  <c r="G48" i="15"/>
  <c r="H49" i="113"/>
  <c r="H51" i="193"/>
  <c r="H45" i="85"/>
  <c r="G51" i="31"/>
  <c r="H45" i="109"/>
  <c r="H48" i="147"/>
  <c r="H45" i="67"/>
  <c r="H47" i="195"/>
  <c r="H45" i="77"/>
  <c r="H45" i="181"/>
  <c r="G48" i="91"/>
  <c r="H47" i="153"/>
  <c r="H49" i="107"/>
  <c r="H49" i="157"/>
  <c r="H45" i="189"/>
  <c r="H49" i="199"/>
  <c r="H49" i="53"/>
  <c r="H50" i="119"/>
  <c r="H47" i="115"/>
  <c r="G48" i="81"/>
  <c r="H45" i="89"/>
  <c r="H48" i="153"/>
  <c r="H49" i="73"/>
  <c r="H50" i="151"/>
  <c r="H47" i="201"/>
  <c r="H47" i="47"/>
  <c r="H45" i="195"/>
  <c r="H49" i="47"/>
  <c r="H45" i="201"/>
  <c r="H47" i="71"/>
  <c r="H46" i="199"/>
  <c r="H47" i="179"/>
  <c r="H49" i="83"/>
  <c r="H49" i="67"/>
  <c r="H50" i="195"/>
  <c r="H45" i="145"/>
  <c r="H47" i="147"/>
  <c r="H45" i="87"/>
  <c r="H50" i="83"/>
  <c r="H45" i="119"/>
  <c r="H45" i="117"/>
  <c r="L54" i="147"/>
  <c r="H45" i="151"/>
  <c r="H46" i="109"/>
  <c r="H45" i="111"/>
  <c r="H47" i="87"/>
  <c r="H48" i="187"/>
  <c r="H45" i="115"/>
  <c r="H49" i="87"/>
  <c r="H45" i="179"/>
  <c r="H48" i="115"/>
  <c r="H46" i="119"/>
  <c r="H47" i="67"/>
  <c r="H47" i="199"/>
  <c r="H48" i="113"/>
  <c r="H50" i="67"/>
  <c r="H46" i="115"/>
  <c r="H49" i="189"/>
  <c r="H50" i="85"/>
  <c r="H53" i="199"/>
  <c r="H49" i="119"/>
  <c r="H47" i="83"/>
  <c r="H49" i="109"/>
  <c r="H50" i="193"/>
  <c r="H48" i="157"/>
  <c r="H50" i="153"/>
  <c r="H49" i="89"/>
  <c r="H50" i="179"/>
  <c r="H47" i="117"/>
  <c r="H47" i="69"/>
  <c r="H48" i="119"/>
  <c r="H47" i="181"/>
  <c r="G49" i="31"/>
  <c r="H47" i="189"/>
  <c r="H48" i="69"/>
  <c r="G48" i="21"/>
  <c r="H48" i="149"/>
  <c r="H46" i="117"/>
  <c r="G48" i="159"/>
  <c r="H49" i="69"/>
  <c r="H51" i="119"/>
  <c r="H45" i="43"/>
  <c r="H47" i="105"/>
  <c r="H48" i="117"/>
  <c r="H51" i="201"/>
  <c r="H45" i="107"/>
  <c r="J19" i="14"/>
  <c r="L18" i="14"/>
  <c r="L69" i="14" s="1"/>
  <c r="L17" i="14"/>
  <c r="L16" i="14"/>
  <c r="N19" i="14"/>
  <c r="L33" i="14" s="1"/>
  <c r="N18" i="14"/>
  <c r="J16" i="14"/>
  <c r="L46" i="14" s="1"/>
  <c r="N46" i="14" s="1"/>
  <c r="N16" i="14"/>
  <c r="H46" i="67"/>
  <c r="H46" i="181"/>
  <c r="H46" i="69"/>
  <c r="H46" i="187"/>
  <c r="H46" i="191"/>
  <c r="H46" i="145"/>
  <c r="H46" i="105"/>
  <c r="T50" i="145"/>
  <c r="O43" i="22"/>
  <c r="P43" i="164"/>
  <c r="K36" i="4"/>
  <c r="P43" i="66"/>
  <c r="O43" i="24"/>
  <c r="P43" i="22"/>
  <c r="G36" i="4"/>
  <c r="P43" i="82"/>
  <c r="CF36" i="4"/>
  <c r="Q43" i="26"/>
  <c r="O43" i="104"/>
  <c r="P43" i="32"/>
  <c r="Q43" i="22"/>
  <c r="Q43" i="24"/>
  <c r="P43" i="104"/>
  <c r="R43" i="104"/>
  <c r="P43" i="24"/>
  <c r="N43" i="24"/>
  <c r="Q43" i="104"/>
  <c r="M67" i="49"/>
  <c r="N23" i="50" s="1"/>
  <c r="X52" i="149"/>
  <c r="P59" i="49"/>
  <c r="Q25" i="50" s="1"/>
  <c r="R38" i="36"/>
  <c r="R40" i="36" s="1"/>
  <c r="Q67" i="25"/>
  <c r="R23" i="26" s="1"/>
  <c r="Q67" i="81"/>
  <c r="R23" i="82" s="1"/>
  <c r="M67" i="81"/>
  <c r="N23" i="82" s="1"/>
  <c r="N67" i="159"/>
  <c r="O23" i="160" s="1"/>
  <c r="W54" i="115"/>
  <c r="L55" i="107"/>
  <c r="C17" i="203"/>
  <c r="D26" i="49"/>
  <c r="D20" i="43"/>
  <c r="D26" i="58"/>
  <c r="I38" i="102"/>
  <c r="I10" i="102" s="1"/>
  <c r="L55" i="187"/>
  <c r="P55" i="187"/>
  <c r="N53" i="77"/>
  <c r="W55" i="107"/>
  <c r="R54" i="107"/>
  <c r="T55" i="187"/>
  <c r="P53" i="47"/>
  <c r="P43" i="26"/>
  <c r="P36" i="4"/>
  <c r="N43" i="82"/>
  <c r="R43" i="160"/>
  <c r="Q79" i="31"/>
  <c r="P55" i="179"/>
  <c r="U53" i="111"/>
  <c r="N55" i="179"/>
  <c r="R55" i="117"/>
  <c r="L53" i="111"/>
  <c r="T54" i="147"/>
  <c r="N51" i="147"/>
  <c r="Q40" i="164"/>
  <c r="Q67" i="19"/>
  <c r="R23" i="20" s="1"/>
  <c r="M67" i="19"/>
  <c r="N23" i="20" s="1"/>
  <c r="Z55" i="107"/>
  <c r="T55" i="107"/>
  <c r="P50" i="145"/>
  <c r="Z51" i="147"/>
  <c r="P52" i="145"/>
  <c r="R53" i="111"/>
  <c r="W52" i="145"/>
  <c r="R55" i="145"/>
  <c r="T45" i="157"/>
  <c r="X53" i="115"/>
  <c r="L54" i="117"/>
  <c r="N50" i="145"/>
  <c r="T51" i="147"/>
  <c r="L52" i="145"/>
  <c r="T54" i="111"/>
  <c r="L54" i="111"/>
  <c r="R55" i="193"/>
  <c r="P59" i="58"/>
  <c r="Q25" i="59" s="1"/>
  <c r="P67" i="81"/>
  <c r="Q23" i="82" s="1"/>
  <c r="P67" i="19"/>
  <c r="Q23" i="20" s="1"/>
  <c r="O67" i="19"/>
  <c r="P23" i="20" s="1"/>
  <c r="O67" i="17"/>
  <c r="P23" i="18" s="1"/>
  <c r="N67" i="17"/>
  <c r="O23" i="18" s="1"/>
  <c r="N59" i="17"/>
  <c r="O25" i="18" s="1"/>
  <c r="I2" i="18"/>
  <c r="O67" i="15"/>
  <c r="P23" i="16" s="1"/>
  <c r="N67" i="15"/>
  <c r="O23" i="16" s="1"/>
  <c r="Q59" i="15"/>
  <c r="R25" i="16" s="1"/>
  <c r="N67" i="51"/>
  <c r="O23" i="52" s="1"/>
  <c r="P52" i="69"/>
  <c r="X55" i="193"/>
  <c r="L45" i="157"/>
  <c r="R53" i="117"/>
  <c r="W55" i="179"/>
  <c r="T55" i="179"/>
  <c r="N55" i="107"/>
  <c r="W54" i="111"/>
  <c r="L50" i="145"/>
  <c r="O59" i="58"/>
  <c r="P25" i="59" s="1"/>
  <c r="O67" i="159"/>
  <c r="P23" i="160" s="1"/>
  <c r="Q67" i="163"/>
  <c r="R23" i="164" s="1"/>
  <c r="U53" i="109"/>
  <c r="T48" i="23"/>
  <c r="Z55" i="67"/>
  <c r="V46" i="21"/>
  <c r="X55" i="195"/>
  <c r="T53" i="189"/>
  <c r="L55" i="191"/>
  <c r="R51" i="111"/>
  <c r="T55" i="147"/>
  <c r="X53" i="109"/>
  <c r="T53" i="153"/>
  <c r="W53" i="189"/>
  <c r="O38" i="32"/>
  <c r="O40" i="32" s="1"/>
  <c r="N79" i="31"/>
  <c r="T55" i="111"/>
  <c r="L55" i="111"/>
  <c r="U55" i="179"/>
  <c r="X55" i="179"/>
  <c r="N53" i="69"/>
  <c r="L53" i="69"/>
  <c r="T54" i="109"/>
  <c r="Z54" i="109"/>
  <c r="T53" i="67"/>
  <c r="Z53" i="67"/>
  <c r="P53" i="67"/>
  <c r="T51" i="67"/>
  <c r="P51" i="67"/>
  <c r="N54" i="77"/>
  <c r="L54" i="77"/>
  <c r="T51" i="77"/>
  <c r="P51" i="77"/>
  <c r="N51" i="77"/>
  <c r="R55" i="89"/>
  <c r="U55" i="89"/>
  <c r="U55" i="187"/>
  <c r="R55" i="187"/>
  <c r="X55" i="187"/>
  <c r="R52" i="189"/>
  <c r="U52" i="189"/>
  <c r="U50" i="189"/>
  <c r="X50" i="189"/>
  <c r="P59" i="56"/>
  <c r="Q25" i="57" s="1"/>
  <c r="X53" i="77"/>
  <c r="L55" i="85"/>
  <c r="L51" i="67"/>
  <c r="T55" i="67"/>
  <c r="T52" i="107"/>
  <c r="L53" i="67"/>
  <c r="W53" i="87"/>
  <c r="U48" i="147"/>
  <c r="P53" i="189"/>
  <c r="X47" i="113"/>
  <c r="R47" i="113"/>
  <c r="Z51" i="77"/>
  <c r="L53" i="189"/>
  <c r="L51" i="69"/>
  <c r="N51" i="69"/>
  <c r="P67" i="25"/>
  <c r="Q23" i="26" s="1"/>
  <c r="L69" i="25"/>
  <c r="O67" i="49"/>
  <c r="P23" i="50" s="1"/>
  <c r="N67" i="65"/>
  <c r="O23" i="66" s="1"/>
  <c r="U54" i="149"/>
  <c r="R54" i="149"/>
  <c r="X52" i="189"/>
  <c r="W55" i="67"/>
  <c r="X54" i="77"/>
  <c r="X55" i="89"/>
  <c r="U53" i="77"/>
  <c r="N54" i="109"/>
  <c r="N51" i="67"/>
  <c r="W53" i="67"/>
  <c r="N55" i="67"/>
  <c r="T54" i="77"/>
  <c r="N55" i="85"/>
  <c r="Z54" i="77"/>
  <c r="P55" i="67"/>
  <c r="T53" i="69"/>
  <c r="W51" i="77"/>
  <c r="Z51" i="67"/>
  <c r="N53" i="67"/>
  <c r="W54" i="77"/>
  <c r="R55" i="195"/>
  <c r="Z55" i="85"/>
  <c r="W54" i="109"/>
  <c r="Z53" i="189"/>
  <c r="Q59" i="49"/>
  <c r="R25" i="50" s="1"/>
  <c r="N67" i="35"/>
  <c r="O23" i="36" s="1"/>
  <c r="R38" i="20"/>
  <c r="R40" i="20" s="1"/>
  <c r="M67" i="25"/>
  <c r="N23" i="26" s="1"/>
  <c r="P67" i="49"/>
  <c r="Q23" i="50" s="1"/>
  <c r="P67" i="35"/>
  <c r="Q23" i="36" s="1"/>
  <c r="O67" i="65"/>
  <c r="P23" i="66" s="1"/>
  <c r="Q67" i="91"/>
  <c r="R23" i="92" s="1"/>
  <c r="Q59" i="56"/>
  <c r="R25" i="57" s="1"/>
  <c r="Q59" i="103"/>
  <c r="R25" i="104" s="1"/>
  <c r="X47" i="117"/>
  <c r="U47" i="117"/>
  <c r="N55" i="47"/>
  <c r="L55" i="47"/>
  <c r="W55" i="47"/>
  <c r="W55" i="191"/>
  <c r="N54" i="149"/>
  <c r="L54" i="87"/>
  <c r="T54" i="87"/>
  <c r="R53" i="69"/>
  <c r="U53" i="69"/>
  <c r="T54" i="195"/>
  <c r="W54" i="195"/>
  <c r="L54" i="113"/>
  <c r="N54" i="113"/>
  <c r="R38" i="92"/>
  <c r="R40" i="92" s="1"/>
  <c r="Q79" i="91"/>
  <c r="Q38" i="160"/>
  <c r="Q40" i="160" s="1"/>
  <c r="P79" i="159"/>
  <c r="R55" i="47"/>
  <c r="U52" i="153"/>
  <c r="P55" i="109"/>
  <c r="R47" i="117"/>
  <c r="T55" i="47"/>
  <c r="V48" i="19"/>
  <c r="N79" i="19"/>
  <c r="Z54" i="113"/>
  <c r="Q59" i="31"/>
  <c r="R25" i="32" s="1"/>
  <c r="R53" i="47"/>
  <c r="X52" i="151"/>
  <c r="X55" i="113"/>
  <c r="X45" i="195"/>
  <c r="R45" i="195"/>
  <c r="N67" i="19"/>
  <c r="O23" i="20" s="1"/>
  <c r="Q67" i="17"/>
  <c r="R23" i="18" s="1"/>
  <c r="P59" i="17"/>
  <c r="Q25" i="18" s="1"/>
  <c r="Q67" i="15"/>
  <c r="R23" i="16" s="1"/>
  <c r="Q67" i="51"/>
  <c r="R23" i="52" s="1"/>
  <c r="U55" i="145"/>
  <c r="L69" i="19"/>
  <c r="T50" i="189"/>
  <c r="Z55" i="179"/>
  <c r="Z54" i="111"/>
  <c r="Z50" i="145"/>
  <c r="N54" i="111"/>
  <c r="M79" i="31"/>
  <c r="K55" i="159"/>
  <c r="X51" i="67"/>
  <c r="U51" i="67"/>
  <c r="R51" i="77"/>
  <c r="U51" i="77"/>
  <c r="P54" i="149"/>
  <c r="L54" i="149"/>
  <c r="N52" i="149"/>
  <c r="Z52" i="149"/>
  <c r="T52" i="149"/>
  <c r="W52" i="149"/>
  <c r="L55" i="117"/>
  <c r="T55" i="117"/>
  <c r="W55" i="117"/>
  <c r="R54" i="117"/>
  <c r="U54" i="117"/>
  <c r="W53" i="153"/>
  <c r="L53" i="153"/>
  <c r="N53" i="153"/>
  <c r="Z53" i="153"/>
  <c r="Z53" i="151"/>
  <c r="P53" i="151"/>
  <c r="N53" i="151"/>
  <c r="W53" i="151"/>
  <c r="L55" i="115"/>
  <c r="Z55" i="115"/>
  <c r="P55" i="115"/>
  <c r="R54" i="115"/>
  <c r="U54" i="115"/>
  <c r="W54" i="47"/>
  <c r="Z54" i="47"/>
  <c r="R45" i="157"/>
  <c r="U45" i="157"/>
  <c r="X45" i="157"/>
  <c r="P55" i="191"/>
  <c r="N55" i="191"/>
  <c r="R38" i="164"/>
  <c r="R40" i="164" s="1"/>
  <c r="Q79" i="163"/>
  <c r="Z55" i="191"/>
  <c r="X53" i="47"/>
  <c r="L54" i="47"/>
  <c r="L52" i="149"/>
  <c r="U55" i="113"/>
  <c r="N55" i="109"/>
  <c r="P55" i="47"/>
  <c r="R54" i="109"/>
  <c r="R51" i="43"/>
  <c r="X51" i="43"/>
  <c r="X54" i="117"/>
  <c r="L55" i="87"/>
  <c r="Z55" i="87"/>
  <c r="N55" i="69"/>
  <c r="P55" i="69"/>
  <c r="T54" i="47"/>
  <c r="Z55" i="47"/>
  <c r="R52" i="151"/>
  <c r="R52" i="153"/>
  <c r="T54" i="149"/>
  <c r="L70" i="31"/>
  <c r="T53" i="151"/>
  <c r="Z54" i="149"/>
  <c r="R49" i="71"/>
  <c r="V46" i="17"/>
  <c r="T46" i="17"/>
  <c r="K48" i="15"/>
  <c r="V48" i="15"/>
  <c r="T48" i="58"/>
  <c r="U48" i="58"/>
  <c r="R50" i="191"/>
  <c r="U50" i="201"/>
  <c r="R50" i="201"/>
  <c r="N55" i="117"/>
  <c r="P55" i="117"/>
  <c r="Z54" i="147"/>
  <c r="W54" i="147"/>
  <c r="P54" i="147"/>
  <c r="X53" i="147"/>
  <c r="U53" i="147"/>
  <c r="L51" i="147"/>
  <c r="W51" i="147"/>
  <c r="X52" i="67"/>
  <c r="R52" i="67"/>
  <c r="P59" i="21"/>
  <c r="Q25" i="22" s="1"/>
  <c r="L70" i="163"/>
  <c r="L69" i="15"/>
  <c r="N38" i="59"/>
  <c r="N40" i="59" s="1"/>
  <c r="R53" i="147"/>
  <c r="X54" i="107"/>
  <c r="P53" i="69"/>
  <c r="Z53" i="69"/>
  <c r="X50" i="69"/>
  <c r="U50" i="69"/>
  <c r="R55" i="197"/>
  <c r="U55" i="197"/>
  <c r="L70" i="25"/>
  <c r="N67" i="25"/>
  <c r="O23" i="26" s="1"/>
  <c r="Q67" i="49"/>
  <c r="R23" i="50" s="1"/>
  <c r="Q67" i="65"/>
  <c r="R23" i="66" s="1"/>
  <c r="P67" i="65"/>
  <c r="Q23" i="66" s="1"/>
  <c r="K54" i="65"/>
  <c r="L70" i="91"/>
  <c r="L70" i="56"/>
  <c r="Q59" i="21"/>
  <c r="R25" i="22" s="1"/>
  <c r="Q59" i="58"/>
  <c r="R25" i="59" s="1"/>
  <c r="M59" i="58"/>
  <c r="N25" i="59" s="1"/>
  <c r="N59" i="58"/>
  <c r="O25" i="59" s="1"/>
  <c r="Q67" i="159"/>
  <c r="R23" i="160" s="1"/>
  <c r="M67" i="159"/>
  <c r="N23" i="160" s="1"/>
  <c r="L69" i="159"/>
  <c r="P67" i="163"/>
  <c r="Q23" i="164" s="1"/>
  <c r="O67" i="51"/>
  <c r="P23" i="52" s="1"/>
  <c r="Q43" i="164"/>
  <c r="Q43" i="82"/>
  <c r="O43" i="57"/>
  <c r="R43" i="16"/>
  <c r="N43" i="16"/>
  <c r="O79" i="15"/>
  <c r="O43" i="82"/>
  <c r="N43" i="57"/>
  <c r="N43" i="32"/>
  <c r="N43" i="164"/>
  <c r="Q43" i="57"/>
  <c r="N79" i="17"/>
  <c r="R43" i="32"/>
  <c r="N43" i="20"/>
  <c r="R43" i="164"/>
  <c r="R43" i="57"/>
  <c r="N36" i="4"/>
  <c r="Q38" i="32"/>
  <c r="Q40" i="32" s="1"/>
  <c r="Q43" i="50"/>
  <c r="O43" i="16"/>
  <c r="N43" i="59"/>
  <c r="CA36" i="4"/>
  <c r="P79" i="17"/>
  <c r="P43" i="50"/>
  <c r="O36" i="4"/>
  <c r="F36" i="4"/>
  <c r="P79" i="58"/>
  <c r="M38" i="146"/>
  <c r="O79" i="31"/>
  <c r="N43" i="50"/>
  <c r="O43" i="164"/>
  <c r="Q43" i="16"/>
  <c r="P43" i="160"/>
  <c r="P43" i="57"/>
  <c r="O43" i="59"/>
  <c r="P43" i="52"/>
  <c r="Q43" i="59"/>
  <c r="Q40" i="59"/>
  <c r="O43" i="50"/>
  <c r="R43" i="36"/>
  <c r="O43" i="32"/>
  <c r="R45" i="153"/>
  <c r="X45" i="153"/>
  <c r="K46" i="19"/>
  <c r="V46" i="19"/>
  <c r="T46" i="19"/>
  <c r="U48" i="81"/>
  <c r="T48" i="81"/>
  <c r="K48" i="81"/>
  <c r="K48" i="19"/>
  <c r="W48" i="19"/>
  <c r="U48" i="19"/>
  <c r="U48" i="25"/>
  <c r="V48" i="25"/>
  <c r="K48" i="25"/>
  <c r="X47" i="187"/>
  <c r="N55" i="111"/>
  <c r="Z55" i="111"/>
  <c r="R54" i="111"/>
  <c r="X54" i="111"/>
  <c r="Z53" i="145"/>
  <c r="T53" i="145"/>
  <c r="W53" i="145"/>
  <c r="N53" i="145"/>
  <c r="X52" i="145"/>
  <c r="R52" i="145"/>
  <c r="U52" i="145"/>
  <c r="X50" i="145"/>
  <c r="U50" i="145"/>
  <c r="R53" i="87"/>
  <c r="U53" i="87"/>
  <c r="W54" i="69"/>
  <c r="L54" i="69"/>
  <c r="T51" i="69"/>
  <c r="W51" i="69"/>
  <c r="P51" i="69"/>
  <c r="T55" i="201"/>
  <c r="N55" i="201"/>
  <c r="W55" i="201"/>
  <c r="T54" i="197"/>
  <c r="W54" i="197"/>
  <c r="N54" i="197"/>
  <c r="R55" i="107"/>
  <c r="X55" i="107"/>
  <c r="U55" i="107"/>
  <c r="Z52" i="107"/>
  <c r="W52" i="107"/>
  <c r="N52" i="107"/>
  <c r="Z55" i="147"/>
  <c r="W55" i="147"/>
  <c r="L55" i="147"/>
  <c r="U54" i="147"/>
  <c r="R54" i="147"/>
  <c r="X54" i="147"/>
  <c r="R51" i="147"/>
  <c r="U51" i="147"/>
  <c r="X51" i="147"/>
  <c r="W53" i="109"/>
  <c r="T53" i="109"/>
  <c r="Z53" i="109"/>
  <c r="N54" i="85"/>
  <c r="P54" i="85"/>
  <c r="Z54" i="85"/>
  <c r="T54" i="85"/>
  <c r="R53" i="67"/>
  <c r="U53" i="67"/>
  <c r="X53" i="67"/>
  <c r="N54" i="195"/>
  <c r="L54" i="195"/>
  <c r="Z54" i="195"/>
  <c r="P54" i="195"/>
  <c r="P55" i="77"/>
  <c r="W55" i="77"/>
  <c r="N55" i="77"/>
  <c r="T55" i="77"/>
  <c r="W54" i="189"/>
  <c r="N54" i="189"/>
  <c r="P54" i="189"/>
  <c r="T54" i="189"/>
  <c r="U53" i="189"/>
  <c r="X53" i="189"/>
  <c r="Z51" i="189"/>
  <c r="W51" i="189"/>
  <c r="P51" i="189"/>
  <c r="L55" i="105"/>
  <c r="T55" i="105"/>
  <c r="P55" i="105"/>
  <c r="N55" i="105"/>
  <c r="L54" i="119"/>
  <c r="Z54" i="119"/>
  <c r="P54" i="119"/>
  <c r="T54" i="119"/>
  <c r="X51" i="77"/>
  <c r="Z55" i="77"/>
  <c r="L53" i="109"/>
  <c r="L53" i="145"/>
  <c r="T48" i="19"/>
  <c r="P55" i="201"/>
  <c r="X54" i="149"/>
  <c r="N54" i="119"/>
  <c r="R55" i="179"/>
  <c r="Z51" i="69"/>
  <c r="U54" i="111"/>
  <c r="V48" i="56"/>
  <c r="W55" i="111"/>
  <c r="L54" i="197"/>
  <c r="T54" i="69"/>
  <c r="N54" i="69"/>
  <c r="Z53" i="187"/>
  <c r="T53" i="187"/>
  <c r="T54" i="113"/>
  <c r="W54" i="113"/>
  <c r="W53" i="187"/>
  <c r="X54" i="87"/>
  <c r="R54" i="87"/>
  <c r="P54" i="109"/>
  <c r="L54" i="109"/>
  <c r="X54" i="151"/>
  <c r="R54" i="151"/>
  <c r="V48" i="81"/>
  <c r="X46" i="19"/>
  <c r="L54" i="189"/>
  <c r="U45" i="153"/>
  <c r="W55" i="105"/>
  <c r="T51" i="189"/>
  <c r="R54" i="77"/>
  <c r="X55" i="67"/>
  <c r="R55" i="115"/>
  <c r="U46" i="19"/>
  <c r="P54" i="197"/>
  <c r="P54" i="69"/>
  <c r="R51" i="67"/>
  <c r="R53" i="189"/>
  <c r="L51" i="189"/>
  <c r="R50" i="145"/>
  <c r="P55" i="111"/>
  <c r="N54" i="87"/>
  <c r="N55" i="147"/>
  <c r="P52" i="107"/>
  <c r="U55" i="67"/>
  <c r="R50" i="119"/>
  <c r="X50" i="119"/>
  <c r="W47" i="31"/>
  <c r="U47" i="31"/>
  <c r="U47" i="56"/>
  <c r="K47" i="56"/>
  <c r="V47" i="56"/>
  <c r="T47" i="56"/>
  <c r="P54" i="113"/>
  <c r="Z55" i="201"/>
  <c r="R48" i="43"/>
  <c r="K46" i="15"/>
  <c r="U46" i="15"/>
  <c r="R51" i="47"/>
  <c r="K46" i="21"/>
  <c r="T46" i="21"/>
  <c r="V46" i="31"/>
  <c r="W46" i="31"/>
  <c r="K48" i="163"/>
  <c r="U48" i="163"/>
  <c r="T55" i="109"/>
  <c r="T52" i="163"/>
  <c r="W45" i="157"/>
  <c r="U53" i="117"/>
  <c r="X52" i="77"/>
  <c r="P45" i="157"/>
  <c r="T53" i="111"/>
  <c r="L55" i="109"/>
  <c r="W53" i="147"/>
  <c r="N53" i="111"/>
  <c r="X48" i="147"/>
  <c r="N52" i="189"/>
  <c r="U54" i="109"/>
  <c r="K46" i="31"/>
  <c r="R47" i="197"/>
  <c r="X47" i="197"/>
  <c r="X54" i="191"/>
  <c r="L54" i="179"/>
  <c r="T54" i="179"/>
  <c r="H48" i="71"/>
  <c r="H46" i="147"/>
  <c r="H46" i="195"/>
  <c r="H46" i="179"/>
  <c r="H46" i="85"/>
  <c r="H46" i="87"/>
  <c r="H46" i="157"/>
  <c r="H45" i="199"/>
  <c r="H46" i="189"/>
  <c r="H49" i="117"/>
  <c r="H46" i="193"/>
  <c r="H47" i="113"/>
  <c r="H46" i="111"/>
  <c r="H46" i="201"/>
  <c r="H46" i="77"/>
  <c r="H46" i="47"/>
  <c r="H46" i="197"/>
  <c r="H46" i="89"/>
  <c r="H48" i="83"/>
  <c r="H49" i="115"/>
  <c r="H46" i="107"/>
  <c r="T55" i="87"/>
  <c r="N55" i="87"/>
  <c r="W55" i="87"/>
  <c r="P55" i="87"/>
  <c r="R54" i="85"/>
  <c r="U54" i="85"/>
  <c r="Q43" i="163"/>
  <c r="R24" i="164" s="1"/>
  <c r="K46" i="56"/>
  <c r="V46" i="56"/>
  <c r="T46" i="56"/>
  <c r="G46" i="81"/>
  <c r="G46" i="49"/>
  <c r="H51" i="87"/>
  <c r="H52" i="73"/>
  <c r="H51" i="83"/>
  <c r="H50" i="111"/>
  <c r="H52" i="119"/>
  <c r="T55" i="85"/>
  <c r="W55" i="85"/>
  <c r="L53" i="85"/>
  <c r="W53" i="85"/>
  <c r="P53" i="85"/>
  <c r="T53" i="85"/>
  <c r="N54" i="117"/>
  <c r="Z54" i="117"/>
  <c r="U55" i="153"/>
  <c r="X55" i="153"/>
  <c r="R55" i="153"/>
  <c r="Z52" i="153"/>
  <c r="W52" i="153"/>
  <c r="L52" i="153"/>
  <c r="P52" i="153"/>
  <c r="R55" i="151"/>
  <c r="X55" i="151"/>
  <c r="Z54" i="115"/>
  <c r="N54" i="115"/>
  <c r="L53" i="47"/>
  <c r="T53" i="47"/>
  <c r="R52" i="47"/>
  <c r="U52" i="47"/>
  <c r="U52" i="77"/>
  <c r="Z55" i="187"/>
  <c r="T46" i="15"/>
  <c r="U46" i="31"/>
  <c r="L54" i="115"/>
  <c r="W55" i="187"/>
  <c r="U45" i="109"/>
  <c r="V46" i="15"/>
  <c r="P54" i="115"/>
  <c r="Z53" i="85"/>
  <c r="W55" i="109"/>
  <c r="X45" i="109"/>
  <c r="N52" i="153"/>
  <c r="R48" i="111"/>
  <c r="X48" i="111"/>
  <c r="W46" i="35"/>
  <c r="U46" i="35"/>
  <c r="K46" i="35"/>
  <c r="U48" i="56"/>
  <c r="T48" i="56"/>
  <c r="H48" i="181"/>
  <c r="X49" i="157"/>
  <c r="R49" i="157"/>
  <c r="Z45" i="157"/>
  <c r="T48" i="25"/>
  <c r="W46" i="19"/>
  <c r="H47" i="151"/>
  <c r="G48" i="51"/>
  <c r="M79" i="17"/>
  <c r="Q38" i="20"/>
  <c r="Q40" i="20" s="1"/>
  <c r="M79" i="15"/>
  <c r="Q43" i="160"/>
  <c r="BK36" i="4"/>
  <c r="P43" i="92"/>
  <c r="N43" i="18"/>
  <c r="Q43" i="66"/>
  <c r="O38" i="150"/>
  <c r="O43" i="52"/>
  <c r="Q43" i="20"/>
  <c r="O43" i="92"/>
  <c r="O43" i="66"/>
  <c r="N43" i="52"/>
  <c r="Q43" i="36"/>
  <c r="P43" i="36"/>
  <c r="R43" i="20"/>
  <c r="N43" i="26"/>
  <c r="M38" i="150"/>
  <c r="N43" i="66"/>
  <c r="O43" i="20"/>
  <c r="N43" i="92"/>
  <c r="R43" i="52"/>
  <c r="R43" i="92"/>
  <c r="Q43" i="52"/>
  <c r="R43" i="24"/>
  <c r="O43" i="36"/>
  <c r="U48" i="49"/>
  <c r="K48" i="49"/>
  <c r="T48" i="49"/>
  <c r="W46" i="65"/>
  <c r="V46" i="65"/>
  <c r="U46" i="65"/>
  <c r="K46" i="65"/>
  <c r="R53" i="195"/>
  <c r="U53" i="195"/>
  <c r="X53" i="195"/>
  <c r="U47" i="199"/>
  <c r="R47" i="199"/>
  <c r="X55" i="111"/>
  <c r="U55" i="111"/>
  <c r="R55" i="111"/>
  <c r="W55" i="181"/>
  <c r="N55" i="181"/>
  <c r="T55" i="181"/>
  <c r="P55" i="181"/>
  <c r="U54" i="69"/>
  <c r="R54" i="69"/>
  <c r="X54" i="69"/>
  <c r="U55" i="201"/>
  <c r="R55" i="201"/>
  <c r="U54" i="197"/>
  <c r="X54" i="197"/>
  <c r="T53" i="107"/>
  <c r="W53" i="107"/>
  <c r="X55" i="147"/>
  <c r="U55" i="147"/>
  <c r="Q57" i="31"/>
  <c r="Q58" i="31" s="1"/>
  <c r="R36" i="32" s="1"/>
  <c r="Q57" i="58"/>
  <c r="Q58" i="58" s="1"/>
  <c r="R36" i="59" s="1"/>
  <c r="P57" i="58"/>
  <c r="P58" i="58" s="1"/>
  <c r="Q36" i="59" s="1"/>
  <c r="P43" i="49"/>
  <c r="Q24" i="50" s="1"/>
  <c r="P57" i="21"/>
  <c r="P58" i="21" s="1"/>
  <c r="Q36" i="22" s="1"/>
  <c r="N67" i="81"/>
  <c r="O23" i="82" s="1"/>
  <c r="L69" i="81"/>
  <c r="Q57" i="81"/>
  <c r="Q58" i="81" s="1"/>
  <c r="R36" i="82" s="1"/>
  <c r="Q43" i="159"/>
  <c r="R24" i="160" s="1"/>
  <c r="P53" i="149"/>
  <c r="N53" i="149"/>
  <c r="M67" i="17"/>
  <c r="N23" i="18" s="1"/>
  <c r="L70" i="17"/>
  <c r="M67" i="15"/>
  <c r="N23" i="16" s="1"/>
  <c r="L70" i="15"/>
  <c r="L69" i="51"/>
  <c r="P67" i="51"/>
  <c r="Q23" i="52" s="1"/>
  <c r="X54" i="153"/>
  <c r="R54" i="153"/>
  <c r="X51" i="153"/>
  <c r="U51" i="153"/>
  <c r="U51" i="151"/>
  <c r="R51" i="151"/>
  <c r="R38" i="66"/>
  <c r="R40" i="66" s="1"/>
  <c r="Q79" i="65"/>
  <c r="P52" i="47"/>
  <c r="R49" i="151"/>
  <c r="X47" i="189"/>
  <c r="U47" i="189"/>
  <c r="N38" i="20"/>
  <c r="M79" i="19"/>
  <c r="R52" i="111"/>
  <c r="U52" i="111"/>
  <c r="R51" i="145"/>
  <c r="U51" i="145"/>
  <c r="P18" i="119"/>
  <c r="O16" i="120" s="1"/>
  <c r="T52" i="47"/>
  <c r="W52" i="111"/>
  <c r="P55" i="193"/>
  <c r="P51" i="145"/>
  <c r="L69" i="65"/>
  <c r="Z55" i="181"/>
  <c r="X47" i="199"/>
  <c r="R54" i="197"/>
  <c r="U46" i="23"/>
  <c r="V46" i="23"/>
  <c r="K46" i="23"/>
  <c r="W46" i="23"/>
  <c r="T46" i="23"/>
  <c r="V48" i="23"/>
  <c r="K48" i="23"/>
  <c r="K47" i="31"/>
  <c r="V47" i="31"/>
  <c r="T47" i="31"/>
  <c r="U46" i="25"/>
  <c r="T46" i="25"/>
  <c r="V46" i="25"/>
  <c r="K46" i="25"/>
  <c r="X50" i="107"/>
  <c r="U50" i="107"/>
  <c r="R50" i="107"/>
  <c r="T52" i="111"/>
  <c r="P52" i="111"/>
  <c r="L52" i="111"/>
  <c r="N54" i="145"/>
  <c r="L54" i="145"/>
  <c r="W54" i="145"/>
  <c r="Z54" i="145"/>
  <c r="T54" i="145"/>
  <c r="X53" i="145"/>
  <c r="R53" i="145"/>
  <c r="U53" i="145"/>
  <c r="L51" i="145"/>
  <c r="W51" i="145"/>
  <c r="T51" i="145"/>
  <c r="Z51" i="145"/>
  <c r="R55" i="87"/>
  <c r="X55" i="87"/>
  <c r="U55" i="87"/>
  <c r="Z55" i="69"/>
  <c r="W55" i="69"/>
  <c r="U51" i="69"/>
  <c r="R51" i="69"/>
  <c r="X51" i="69"/>
  <c r="Z50" i="147"/>
  <c r="N50" i="147"/>
  <c r="Q43" i="31"/>
  <c r="R24" i="32" s="1"/>
  <c r="Q43" i="58"/>
  <c r="R24" i="59" s="1"/>
  <c r="P43" i="58"/>
  <c r="Q24" i="59" s="1"/>
  <c r="O43" i="58"/>
  <c r="P24" i="59" s="1"/>
  <c r="N67" i="49"/>
  <c r="O23" i="50" s="1"/>
  <c r="L70" i="49"/>
  <c r="L69" i="49"/>
  <c r="P57" i="49"/>
  <c r="P58" i="49" s="1"/>
  <c r="Q36" i="50" s="1"/>
  <c r="O57" i="49"/>
  <c r="O58" i="49" s="1"/>
  <c r="P36" i="50" s="1"/>
  <c r="Q57" i="49"/>
  <c r="Q58" i="49" s="1"/>
  <c r="R36" i="50" s="1"/>
  <c r="L70" i="65"/>
  <c r="Q43" i="65"/>
  <c r="R24" i="66" s="1"/>
  <c r="P43" i="21"/>
  <c r="Q24" i="22" s="1"/>
  <c r="Q57" i="103"/>
  <c r="Q58" i="103" s="1"/>
  <c r="R36" i="104" s="1"/>
  <c r="L70" i="81"/>
  <c r="O67" i="81"/>
  <c r="P23" i="82" s="1"/>
  <c r="Q43" i="81"/>
  <c r="R24" i="82" s="1"/>
  <c r="P57" i="159"/>
  <c r="P58" i="159" s="1"/>
  <c r="Q36" i="160" s="1"/>
  <c r="Q57" i="163"/>
  <c r="Q58" i="163" s="1"/>
  <c r="R36" i="164" s="1"/>
  <c r="T55" i="149"/>
  <c r="W55" i="149"/>
  <c r="P55" i="149"/>
  <c r="P67" i="17"/>
  <c r="Q23" i="18" s="1"/>
  <c r="L69" i="17"/>
  <c r="M67" i="51"/>
  <c r="N23" i="52" s="1"/>
  <c r="L70" i="51"/>
  <c r="R38" i="160"/>
  <c r="R40" i="160" s="1"/>
  <c r="Q79" i="159"/>
  <c r="T55" i="69"/>
  <c r="Z54" i="179"/>
  <c r="Z53" i="107"/>
  <c r="L55" i="69"/>
  <c r="N54" i="179"/>
  <c r="Z52" i="111"/>
  <c r="O67" i="25"/>
  <c r="P23" i="26" s="1"/>
  <c r="R47" i="67"/>
  <c r="P38" i="20"/>
  <c r="P40" i="20" s="1"/>
  <c r="O79" i="19"/>
  <c r="O38" i="59"/>
  <c r="O40" i="59" s="1"/>
  <c r="N79" i="58"/>
  <c r="R54" i="179"/>
  <c r="U54" i="179"/>
  <c r="L70" i="19"/>
  <c r="O59" i="17"/>
  <c r="P25" i="18" s="1"/>
  <c r="X49" i="147"/>
  <c r="R50" i="105"/>
  <c r="X49" i="151"/>
  <c r="R49" i="147"/>
  <c r="P67" i="159"/>
  <c r="Q23" i="160" s="1"/>
  <c r="T46" i="65"/>
  <c r="Q79" i="17"/>
  <c r="L55" i="151"/>
  <c r="P67" i="15"/>
  <c r="Q23" i="16" s="1"/>
  <c r="T54" i="67"/>
  <c r="M67" i="65"/>
  <c r="N23" i="66" s="1"/>
  <c r="L55" i="181"/>
  <c r="R50" i="67"/>
  <c r="U50" i="119"/>
  <c r="U47" i="67"/>
  <c r="X50" i="67"/>
  <c r="X55" i="201"/>
  <c r="O59" i="49"/>
  <c r="P25" i="50" s="1"/>
  <c r="T48" i="159"/>
  <c r="K48" i="159"/>
  <c r="U48" i="159"/>
  <c r="V48" i="21"/>
  <c r="T48" i="21"/>
  <c r="U48" i="21"/>
  <c r="K48" i="21"/>
  <c r="U51" i="85"/>
  <c r="X51" i="85"/>
  <c r="L70" i="159"/>
  <c r="X46" i="105"/>
  <c r="U46" i="105"/>
  <c r="AZ20" i="4"/>
  <c r="Q59" i="25"/>
  <c r="R25" i="26" s="1"/>
  <c r="O57" i="58"/>
  <c r="O58" i="58" s="1"/>
  <c r="P36" i="59" s="1"/>
  <c r="Q57" i="25"/>
  <c r="Q58" i="25" s="1"/>
  <c r="R36" i="26" s="1"/>
  <c r="P43" i="56"/>
  <c r="Q24" i="57" s="1"/>
  <c r="Q57" i="21"/>
  <c r="Q58" i="21" s="1"/>
  <c r="R36" i="22" s="1"/>
  <c r="P57" i="81"/>
  <c r="P58" i="81" s="1"/>
  <c r="Q36" i="82" s="1"/>
  <c r="P43" i="81"/>
  <c r="Q24" i="82" s="1"/>
  <c r="P43" i="159"/>
  <c r="Q24" i="160" s="1"/>
  <c r="U53" i="115"/>
  <c r="W55" i="113"/>
  <c r="L54" i="85"/>
  <c r="W53" i="47"/>
  <c r="N55" i="113"/>
  <c r="P79" i="163"/>
  <c r="R54" i="191"/>
  <c r="T52" i="151"/>
  <c r="Z53" i="47"/>
  <c r="W52" i="151"/>
  <c r="U55" i="151"/>
  <c r="L18" i="113"/>
  <c r="M16" i="114" s="1"/>
  <c r="M16" i="74"/>
  <c r="M16" i="188"/>
  <c r="N18" i="113"/>
  <c r="N16" i="114" s="1"/>
  <c r="M16" i="158"/>
  <c r="L18" i="147"/>
  <c r="M16" i="148" s="1"/>
  <c r="O16" i="46"/>
  <c r="M16" i="112"/>
  <c r="N16" i="68"/>
  <c r="O16" i="188"/>
  <c r="L18" i="117"/>
  <c r="M16" i="118" s="1"/>
  <c r="N18" i="115"/>
  <c r="N16" i="116" s="1"/>
  <c r="O16" i="70"/>
  <c r="P18" i="115"/>
  <c r="O16" i="116" s="1"/>
  <c r="M16" i="192"/>
  <c r="N16" i="112"/>
  <c r="M16" i="194"/>
  <c r="P18" i="147"/>
  <c r="O16" i="148" s="1"/>
  <c r="M16" i="110"/>
  <c r="M16" i="196"/>
  <c r="O16" i="72"/>
  <c r="P18" i="113"/>
  <c r="O16" i="114" s="1"/>
  <c r="L18" i="153"/>
  <c r="M16" i="154" s="1"/>
  <c r="P19" i="149"/>
  <c r="O16" i="150" s="1"/>
  <c r="O16" i="194"/>
  <c r="N16" i="70"/>
  <c r="P18" i="197"/>
  <c r="O16" i="198" s="1"/>
  <c r="O16" i="192"/>
  <c r="N16" i="46"/>
  <c r="O16" i="112"/>
  <c r="M16" i="180"/>
  <c r="O16" i="146"/>
  <c r="N16" i="146"/>
  <c r="M16" i="88"/>
  <c r="O16" i="88"/>
  <c r="L18" i="201"/>
  <c r="M16" i="202" s="1"/>
  <c r="L18" i="197"/>
  <c r="M16" i="198" s="1"/>
  <c r="L18" i="199"/>
  <c r="M16" i="200" s="1"/>
  <c r="N18" i="199"/>
  <c r="N16" i="200" s="1"/>
  <c r="P18" i="107"/>
  <c r="O16" i="108" s="1"/>
  <c r="N16" i="110"/>
  <c r="O16" i="54"/>
  <c r="O16" i="86"/>
  <c r="N16" i="86"/>
  <c r="M16" i="68"/>
  <c r="O16" i="196"/>
  <c r="N16" i="196"/>
  <c r="N16" i="72"/>
  <c r="M16" i="84"/>
  <c r="O16" i="74"/>
  <c r="N16" i="74"/>
  <c r="N16" i="188"/>
  <c r="L18" i="189"/>
  <c r="M16" i="190" s="1"/>
  <c r="O16" i="106"/>
  <c r="M16" i="150"/>
  <c r="L18" i="119"/>
  <c r="M16" i="120" s="1"/>
  <c r="P18" i="117"/>
  <c r="O16" i="118" s="1"/>
  <c r="N18" i="153"/>
  <c r="N16" i="154" s="1"/>
  <c r="N18" i="151"/>
  <c r="N16" i="152" s="1"/>
  <c r="L18" i="115"/>
  <c r="M16" i="116" s="1"/>
  <c r="N16" i="158"/>
  <c r="N16" i="192"/>
  <c r="M16" i="46"/>
  <c r="N16" i="180"/>
  <c r="O16" i="180"/>
  <c r="M16" i="146"/>
  <c r="N16" i="194"/>
  <c r="N16" i="88"/>
  <c r="M16" i="70"/>
  <c r="N18" i="201"/>
  <c r="N16" i="202" s="1"/>
  <c r="P18" i="201"/>
  <c r="O16" i="202" s="1"/>
  <c r="N18" i="197"/>
  <c r="N16" i="198" s="1"/>
  <c r="P18" i="199"/>
  <c r="O16" i="200" s="1"/>
  <c r="L18" i="107"/>
  <c r="M16" i="108" s="1"/>
  <c r="N18" i="107"/>
  <c r="N16" i="108" s="1"/>
  <c r="N18" i="147"/>
  <c r="N16" i="148" s="1"/>
  <c r="O16" i="110"/>
  <c r="M16" i="54"/>
  <c r="N16" i="54"/>
  <c r="M16" i="86"/>
  <c r="O16" i="68"/>
  <c r="M16" i="72"/>
  <c r="N16" i="84"/>
  <c r="O16" i="84"/>
  <c r="N18" i="189"/>
  <c r="N16" i="190" s="1"/>
  <c r="P18" i="189"/>
  <c r="O16" i="190" s="1"/>
  <c r="M16" i="106"/>
  <c r="N16" i="106"/>
  <c r="N18" i="119"/>
  <c r="N16" i="120" s="1"/>
  <c r="N18" i="117"/>
  <c r="N16" i="118" s="1"/>
  <c r="P18" i="153"/>
  <c r="O16" i="154" s="1"/>
  <c r="P18" i="151"/>
  <c r="O16" i="152" s="1"/>
  <c r="L18" i="151"/>
  <c r="M16" i="152" s="1"/>
  <c r="O16" i="158"/>
  <c r="N19" i="149"/>
  <c r="N16" i="150" s="1"/>
  <c r="N16" i="48"/>
  <c r="O16" i="48"/>
  <c r="M16" i="48"/>
  <c r="O43" i="18"/>
  <c r="R43" i="18"/>
  <c r="O40" i="18"/>
  <c r="P43" i="18"/>
  <c r="R57" i="18"/>
  <c r="Q43" i="18"/>
  <c r="Q40" i="18"/>
  <c r="X53" i="181"/>
  <c r="R53" i="181"/>
  <c r="X51" i="109"/>
  <c r="Z52" i="147"/>
  <c r="N52" i="147"/>
  <c r="L52" i="147"/>
  <c r="W52" i="147"/>
  <c r="T52" i="147"/>
  <c r="L50" i="147"/>
  <c r="W50" i="147"/>
  <c r="R55" i="109"/>
  <c r="X55" i="109"/>
  <c r="N54" i="67"/>
  <c r="L54" i="67"/>
  <c r="L52" i="67"/>
  <c r="N52" i="67"/>
  <c r="X54" i="195"/>
  <c r="U54" i="195"/>
  <c r="R55" i="77"/>
  <c r="U55" i="77"/>
  <c r="P52" i="77"/>
  <c r="L52" i="77"/>
  <c r="T52" i="77"/>
  <c r="W50" i="77"/>
  <c r="Z50" i="77"/>
  <c r="L50" i="77"/>
  <c r="T50" i="77"/>
  <c r="L55" i="189"/>
  <c r="W55" i="189"/>
  <c r="P55" i="189"/>
  <c r="T55" i="189"/>
  <c r="Z55" i="189"/>
  <c r="N55" i="189"/>
  <c r="R51" i="189"/>
  <c r="X51" i="189"/>
  <c r="R54" i="119"/>
  <c r="U54" i="119"/>
  <c r="L54" i="153"/>
  <c r="Z54" i="153"/>
  <c r="W54" i="153"/>
  <c r="N54" i="153"/>
  <c r="U53" i="153"/>
  <c r="X53" i="153"/>
  <c r="L51" i="153"/>
  <c r="Z51" i="153"/>
  <c r="N51" i="153"/>
  <c r="W51" i="153"/>
  <c r="T51" i="153"/>
  <c r="P51" i="153"/>
  <c r="L54" i="151"/>
  <c r="Z54" i="151"/>
  <c r="N54" i="151"/>
  <c r="T54" i="151"/>
  <c r="R53" i="151"/>
  <c r="U53" i="151"/>
  <c r="L51" i="151"/>
  <c r="W51" i="151"/>
  <c r="T51" i="151"/>
  <c r="P51" i="151"/>
  <c r="U54" i="47"/>
  <c r="R54" i="47"/>
  <c r="R55" i="191"/>
  <c r="X55" i="191"/>
  <c r="U55" i="191"/>
  <c r="U55" i="47"/>
  <c r="X54" i="113"/>
  <c r="X50" i="195"/>
  <c r="U55" i="109"/>
  <c r="W52" i="67"/>
  <c r="P50" i="147"/>
  <c r="N52" i="77"/>
  <c r="T52" i="67"/>
  <c r="R53" i="153"/>
  <c r="T55" i="145"/>
  <c r="Z55" i="145"/>
  <c r="U54" i="145"/>
  <c r="R54" i="145"/>
  <c r="X54" i="145"/>
  <c r="W55" i="193"/>
  <c r="T55" i="193"/>
  <c r="Z55" i="193"/>
  <c r="G47" i="207"/>
  <c r="G47" i="209"/>
  <c r="G47" i="65"/>
  <c r="G47" i="163"/>
  <c r="G47" i="23"/>
  <c r="G47" i="35"/>
  <c r="G47" i="15"/>
  <c r="G47" i="51"/>
  <c r="G47" i="103"/>
  <c r="G47" i="21"/>
  <c r="G47" i="58"/>
  <c r="G47" i="49"/>
  <c r="G47" i="91"/>
  <c r="G47" i="25"/>
  <c r="G47" i="159"/>
  <c r="H51" i="199"/>
  <c r="G47" i="17"/>
  <c r="G47" i="81"/>
  <c r="G47" i="31"/>
  <c r="H53" i="89"/>
  <c r="H53" i="181"/>
  <c r="H50" i="47"/>
  <c r="H49" i="105"/>
  <c r="H50" i="87"/>
  <c r="H52" i="201"/>
  <c r="H51" i="117"/>
  <c r="H51" i="71"/>
  <c r="H50" i="187"/>
  <c r="H51" i="109"/>
  <c r="H51" i="43"/>
  <c r="H51" i="115"/>
  <c r="H51" i="53"/>
  <c r="H51" i="191"/>
  <c r="H52" i="197"/>
  <c r="H52" i="193"/>
  <c r="H51" i="73"/>
  <c r="H52" i="113"/>
  <c r="H52" i="195"/>
  <c r="H50" i="107"/>
  <c r="Z53" i="87"/>
  <c r="L53" i="87"/>
  <c r="T53" i="87"/>
  <c r="U55" i="69"/>
  <c r="X55" i="69"/>
  <c r="L52" i="69"/>
  <c r="N52" i="69"/>
  <c r="Z52" i="69"/>
  <c r="W52" i="69"/>
  <c r="L55" i="197"/>
  <c r="W55" i="197"/>
  <c r="P55" i="197"/>
  <c r="T55" i="197"/>
  <c r="N55" i="197"/>
  <c r="Z55" i="197"/>
  <c r="N54" i="107"/>
  <c r="L54" i="107"/>
  <c r="T54" i="107"/>
  <c r="P54" i="107"/>
  <c r="U52" i="147"/>
  <c r="X52" i="147"/>
  <c r="R50" i="147"/>
  <c r="U50" i="147"/>
  <c r="P55" i="89"/>
  <c r="W55" i="89"/>
  <c r="Z55" i="89"/>
  <c r="L55" i="89"/>
  <c r="R54" i="187"/>
  <c r="X54" i="187"/>
  <c r="U55" i="189"/>
  <c r="R55" i="189"/>
  <c r="W52" i="189"/>
  <c r="P52" i="189"/>
  <c r="T52" i="189"/>
  <c r="W50" i="189"/>
  <c r="P50" i="189"/>
  <c r="Z50" i="189"/>
  <c r="Q43" i="21"/>
  <c r="R24" i="22" s="1"/>
  <c r="Q57" i="159"/>
  <c r="Q58" i="159" s="1"/>
  <c r="R36" i="160" s="1"/>
  <c r="L55" i="113"/>
  <c r="T55" i="113"/>
  <c r="P55" i="113"/>
  <c r="R53" i="149"/>
  <c r="X53" i="149"/>
  <c r="L53" i="117"/>
  <c r="T53" i="117"/>
  <c r="N53" i="117"/>
  <c r="P53" i="117"/>
  <c r="Z53" i="117"/>
  <c r="T55" i="153"/>
  <c r="P55" i="153"/>
  <c r="L55" i="153"/>
  <c r="N55" i="153"/>
  <c r="W55" i="153"/>
  <c r="P55" i="151"/>
  <c r="Z55" i="151"/>
  <c r="L53" i="115"/>
  <c r="P53" i="115"/>
  <c r="T53" i="115"/>
  <c r="N52" i="47"/>
  <c r="Z52" i="47"/>
  <c r="P54" i="191"/>
  <c r="T54" i="191"/>
  <c r="P53" i="107"/>
  <c r="U51" i="189"/>
  <c r="U50" i="77"/>
  <c r="X55" i="85"/>
  <c r="N54" i="191"/>
  <c r="L52" i="47"/>
  <c r="U54" i="151"/>
  <c r="U55" i="119"/>
  <c r="W53" i="149"/>
  <c r="U54" i="113"/>
  <c r="X50" i="77"/>
  <c r="X52" i="111"/>
  <c r="W55" i="145"/>
  <c r="W53" i="111"/>
  <c r="L53" i="147"/>
  <c r="N53" i="109"/>
  <c r="P53" i="77"/>
  <c r="P53" i="109"/>
  <c r="T53" i="147"/>
  <c r="P53" i="111"/>
  <c r="U51" i="109"/>
  <c r="N55" i="151"/>
  <c r="P52" i="67"/>
  <c r="T55" i="89"/>
  <c r="L52" i="189"/>
  <c r="P50" i="77"/>
  <c r="Z52" i="77"/>
  <c r="U52" i="67"/>
  <c r="R53" i="85"/>
  <c r="U55" i="181"/>
  <c r="X49" i="109"/>
  <c r="Z52" i="67"/>
  <c r="W54" i="85"/>
  <c r="R49" i="43"/>
  <c r="X52" i="107"/>
  <c r="R52" i="147"/>
  <c r="W54" i="107"/>
  <c r="N55" i="193"/>
  <c r="T50" i="147"/>
  <c r="P54" i="153"/>
  <c r="G47" i="56"/>
  <c r="X47" i="71"/>
  <c r="R47" i="71"/>
  <c r="U47" i="71"/>
  <c r="T54" i="153"/>
  <c r="T53" i="77"/>
  <c r="N54" i="187"/>
  <c r="Z54" i="187"/>
  <c r="L54" i="187"/>
  <c r="X53" i="187"/>
  <c r="R53" i="187"/>
  <c r="R54" i="189"/>
  <c r="X54" i="189"/>
  <c r="Q57" i="65"/>
  <c r="Q58" i="65" s="1"/>
  <c r="R36" i="66" s="1"/>
  <c r="R55" i="105"/>
  <c r="U55" i="105"/>
  <c r="L55" i="119"/>
  <c r="P55" i="119"/>
  <c r="N55" i="119"/>
  <c r="W55" i="119"/>
  <c r="Z55" i="119"/>
  <c r="T53" i="149"/>
  <c r="L55" i="149"/>
  <c r="N53" i="107"/>
  <c r="X49" i="43"/>
  <c r="Z55" i="149"/>
  <c r="Z54" i="67"/>
  <c r="X53" i="85"/>
  <c r="R54" i="195"/>
  <c r="Q57" i="56"/>
  <c r="Q58" i="56" s="1"/>
  <c r="R36" i="57" s="1"/>
  <c r="W54" i="187"/>
  <c r="X46" i="69"/>
  <c r="U46" i="69"/>
  <c r="G49" i="215"/>
  <c r="G49" i="213"/>
  <c r="G49" i="211"/>
  <c r="G46" i="207"/>
  <c r="G46" i="209"/>
  <c r="G46" i="159"/>
  <c r="G46" i="65"/>
  <c r="G46" i="103"/>
  <c r="G46" i="19"/>
  <c r="G46" i="58"/>
  <c r="G46" i="91"/>
  <c r="H48" i="77"/>
  <c r="H48" i="89"/>
  <c r="G46" i="15"/>
  <c r="G46" i="23"/>
  <c r="G46" i="25"/>
  <c r="G46" i="56"/>
  <c r="G46" i="21"/>
  <c r="G46" i="31"/>
  <c r="G46" i="51"/>
  <c r="G46" i="17"/>
  <c r="H50" i="105"/>
  <c r="H53" i="119"/>
  <c r="H52" i="117"/>
  <c r="H52" i="109"/>
  <c r="H52" i="191"/>
  <c r="H51" i="111"/>
  <c r="H53" i="193"/>
  <c r="H51" i="107"/>
  <c r="H52" i="71"/>
  <c r="H52" i="115"/>
  <c r="H51" i="187"/>
  <c r="H53" i="201"/>
  <c r="H52" i="43"/>
  <c r="H52" i="85"/>
  <c r="H53" i="113"/>
  <c r="H51" i="47"/>
  <c r="H52" i="53"/>
  <c r="H53" i="195"/>
  <c r="T50" i="69"/>
  <c r="P50" i="69"/>
  <c r="W50" i="69"/>
  <c r="N50" i="69"/>
  <c r="Z50" i="69"/>
  <c r="U53" i="107"/>
  <c r="X53" i="107"/>
  <c r="R54" i="67"/>
  <c r="U54" i="67"/>
  <c r="P55" i="195"/>
  <c r="Z55" i="195"/>
  <c r="T55" i="195"/>
  <c r="N55" i="195"/>
  <c r="U53" i="181"/>
  <c r="L53" i="77"/>
  <c r="U55" i="85"/>
  <c r="W54" i="191"/>
  <c r="R51" i="153"/>
  <c r="U54" i="153"/>
  <c r="U55" i="117"/>
  <c r="R55" i="119"/>
  <c r="Z53" i="149"/>
  <c r="L53" i="149"/>
  <c r="N55" i="149"/>
  <c r="W53" i="77"/>
  <c r="N50" i="189"/>
  <c r="X55" i="115"/>
  <c r="X51" i="145"/>
  <c r="N53" i="147"/>
  <c r="P53" i="147"/>
  <c r="L53" i="107"/>
  <c r="N55" i="145"/>
  <c r="T55" i="151"/>
  <c r="X55" i="77"/>
  <c r="P54" i="67"/>
  <c r="N55" i="89"/>
  <c r="X55" i="189"/>
  <c r="P54" i="187"/>
  <c r="R55" i="147"/>
  <c r="P55" i="145"/>
  <c r="R55" i="181"/>
  <c r="R50" i="195"/>
  <c r="R52" i="107"/>
  <c r="P52" i="147"/>
  <c r="R55" i="69"/>
  <c r="X54" i="179"/>
  <c r="H53" i="197"/>
  <c r="G46" i="35"/>
  <c r="G52" i="91"/>
  <c r="G52" i="163"/>
  <c r="P53" i="87"/>
  <c r="X55" i="105"/>
  <c r="Z51" i="151"/>
  <c r="N52" i="145"/>
  <c r="T52" i="145"/>
  <c r="H46" i="83"/>
  <c r="H46" i="71"/>
  <c r="J14" i="14"/>
  <c r="J17" i="14"/>
  <c r="L47" i="14" s="1"/>
  <c r="N47" i="14" s="1"/>
  <c r="L14" i="14"/>
  <c r="L62" i="14" s="1"/>
  <c r="L11" i="14"/>
  <c r="N17" i="14"/>
  <c r="L28" i="14" s="1"/>
  <c r="N14" i="14"/>
  <c r="J15" i="14"/>
  <c r="J18" i="14"/>
  <c r="L66" i="14" s="1"/>
  <c r="L15" i="14"/>
  <c r="L19" i="14"/>
  <c r="N15" i="14"/>
  <c r="P54" i="87"/>
  <c r="Z54" i="87"/>
  <c r="X52" i="69"/>
  <c r="U52" i="69"/>
  <c r="P57" i="25"/>
  <c r="P58" i="25" s="1"/>
  <c r="Q36" i="26" s="1"/>
  <c r="G48" i="215"/>
  <c r="G48" i="213"/>
  <c r="G48" i="211"/>
  <c r="G48" i="209"/>
  <c r="G48" i="207"/>
  <c r="G47" i="215"/>
  <c r="G47" i="213"/>
  <c r="G47" i="211"/>
  <c r="K56" i="65"/>
  <c r="K52" i="65"/>
  <c r="G46" i="215"/>
  <c r="G46" i="213"/>
  <c r="G46" i="211"/>
  <c r="O38" i="148"/>
  <c r="O38" i="70"/>
  <c r="BA33" i="4" s="1"/>
  <c r="P59" i="25"/>
  <c r="Q25" i="26" s="1"/>
  <c r="W48" i="15"/>
  <c r="M53" i="103"/>
  <c r="M52" i="103"/>
  <c r="P19" i="103"/>
  <c r="Q11" i="104" s="1"/>
  <c r="P77" i="103"/>
  <c r="Q37" i="104"/>
  <c r="Q8" i="104"/>
  <c r="P52" i="103"/>
  <c r="P53" i="103"/>
  <c r="R40" i="32"/>
  <c r="R65" i="26"/>
  <c r="R59" i="26"/>
  <c r="R60" i="26" s="1"/>
  <c r="R50" i="26"/>
  <c r="R33" i="26"/>
  <c r="Q33" i="26"/>
  <c r="Q53" i="26"/>
  <c r="Q61" i="26"/>
  <c r="R66" i="26"/>
  <c r="R62" i="26"/>
  <c r="Q34" i="26"/>
  <c r="Q66" i="26"/>
  <c r="Q62" i="26"/>
  <c r="O43" i="26"/>
  <c r="Q50" i="82"/>
  <c r="Q33" i="82"/>
  <c r="K21" i="209"/>
  <c r="K22" i="207"/>
  <c r="M12" i="208" s="1"/>
  <c r="L11" i="4" s="1"/>
  <c r="P8" i="22"/>
  <c r="O16" i="21"/>
  <c r="N15" i="21"/>
  <c r="N17" i="21"/>
  <c r="O7" i="22"/>
  <c r="R64" i="104"/>
  <c r="R57" i="104"/>
  <c r="N43" i="104"/>
  <c r="M77" i="103"/>
  <c r="K16" i="103"/>
  <c r="N37" i="104"/>
  <c r="Q7" i="18"/>
  <c r="P17" i="17"/>
  <c r="W50" i="17"/>
  <c r="P57" i="17" s="1"/>
  <c r="P58" i="17" s="1"/>
  <c r="Q36" i="18" s="1"/>
  <c r="AC50" i="17"/>
  <c r="P43" i="17" s="1"/>
  <c r="Q24" i="18" s="1"/>
  <c r="Q37" i="16"/>
  <c r="K14" i="15"/>
  <c r="N38" i="70"/>
  <c r="AZ33" i="4" s="1"/>
  <c r="N38" i="46"/>
  <c r="AD33" i="4" s="1"/>
  <c r="O38" i="146"/>
  <c r="O37" i="210"/>
  <c r="N77" i="209"/>
  <c r="N11" i="210"/>
  <c r="K22" i="209"/>
  <c r="M12" i="210" s="1"/>
  <c r="M11" i="4" s="1"/>
  <c r="K16" i="209"/>
  <c r="O10" i="210"/>
  <c r="N19" i="209"/>
  <c r="O11" i="210" s="1"/>
  <c r="O37" i="208"/>
  <c r="N77" i="207"/>
  <c r="N11" i="208"/>
  <c r="M9" i="208"/>
  <c r="L9" i="4" s="1"/>
  <c r="K20" i="207"/>
  <c r="K16" i="207"/>
  <c r="O10" i="208"/>
  <c r="N19" i="207"/>
  <c r="O11" i="208" s="1"/>
  <c r="K18" i="207"/>
  <c r="M10" i="208" s="1"/>
  <c r="L8" i="4" s="1"/>
  <c r="K23" i="207"/>
  <c r="M13" i="208" s="1"/>
  <c r="L12" i="4" s="1"/>
  <c r="K21" i="207"/>
  <c r="P8" i="16"/>
  <c r="CE31" i="4"/>
  <c r="BY31" i="4"/>
  <c r="O23" i="159"/>
  <c r="P13" i="160" s="1"/>
  <c r="O7" i="78"/>
  <c r="BG6" i="4" s="1"/>
  <c r="N10" i="190"/>
  <c r="M62" i="67"/>
  <c r="AS31" i="4"/>
  <c r="I36" i="68"/>
  <c r="P12" i="197"/>
  <c r="O11" i="198" s="1"/>
  <c r="N12" i="197"/>
  <c r="N11" i="198" s="1"/>
  <c r="N10" i="198"/>
  <c r="M62" i="197"/>
  <c r="O9" i="196"/>
  <c r="O74" i="196" s="1"/>
  <c r="O10" i="196"/>
  <c r="P12" i="195"/>
  <c r="O11" i="196" s="1"/>
  <c r="O62" i="195"/>
  <c r="O16" i="195"/>
  <c r="O13" i="196" s="1"/>
  <c r="O15" i="195"/>
  <c r="M15" i="193"/>
  <c r="O9" i="192"/>
  <c r="O33" i="191"/>
  <c r="K11" i="191"/>
  <c r="N11" i="179"/>
  <c r="N9" i="180"/>
  <c r="N74" i="180" s="1"/>
  <c r="L12" i="179"/>
  <c r="M11" i="180" s="1"/>
  <c r="M10" i="180"/>
  <c r="M9" i="180"/>
  <c r="M74" i="180" s="1"/>
  <c r="K16" i="179"/>
  <c r="M13" i="180" s="1"/>
  <c r="K61" i="179"/>
  <c r="K34" i="179"/>
  <c r="K36" i="179"/>
  <c r="O62" i="119"/>
  <c r="O15" i="119"/>
  <c r="N10" i="120"/>
  <c r="N12" i="120"/>
  <c r="M66" i="119"/>
  <c r="N65" i="119" s="1"/>
  <c r="N22" i="120" s="1"/>
  <c r="N9" i="120"/>
  <c r="M62" i="119"/>
  <c r="K66" i="119"/>
  <c r="L65" i="119" s="1"/>
  <c r="M22" i="120" s="1"/>
  <c r="M66" i="109"/>
  <c r="N65" i="109" s="1"/>
  <c r="N22" i="110" s="1"/>
  <c r="M62" i="109"/>
  <c r="N11" i="109"/>
  <c r="K15" i="109"/>
  <c r="O15" i="117"/>
  <c r="P10" i="117"/>
  <c r="O36" i="118" s="1"/>
  <c r="O8" i="118"/>
  <c r="O52" i="117"/>
  <c r="O51" i="117"/>
  <c r="O9" i="118"/>
  <c r="O33" i="117"/>
  <c r="O35" i="117"/>
  <c r="O34" i="117"/>
  <c r="O66" i="111"/>
  <c r="P65" i="111" s="1"/>
  <c r="O22" i="112" s="1"/>
  <c r="O12" i="112"/>
  <c r="CA12" i="4"/>
  <c r="CG12" i="4"/>
  <c r="O35" i="111"/>
  <c r="O7" i="112"/>
  <c r="BZ6" i="4"/>
  <c r="CF6" i="4"/>
  <c r="N9" i="111"/>
  <c r="M11" i="111"/>
  <c r="M36" i="111"/>
  <c r="P12" i="145"/>
  <c r="O11" i="146" s="1"/>
  <c r="O10" i="146"/>
  <c r="O15" i="145"/>
  <c r="L11" i="145"/>
  <c r="L12" i="145" s="1"/>
  <c r="M11" i="146" s="1"/>
  <c r="K34" i="145"/>
  <c r="K62" i="145"/>
  <c r="M66" i="115"/>
  <c r="N65" i="115" s="1"/>
  <c r="N22" i="116" s="1"/>
  <c r="N12" i="116"/>
  <c r="CC11" i="4" s="1"/>
  <c r="N9" i="116"/>
  <c r="CC9" i="4" s="1"/>
  <c r="N10" i="116"/>
  <c r="CC8" i="4" s="1"/>
  <c r="M62" i="115"/>
  <c r="M16" i="115"/>
  <c r="N13" i="116" s="1"/>
  <c r="CC12" i="4" s="1"/>
  <c r="CB31" i="4"/>
  <c r="O16" i="151"/>
  <c r="O13" i="152" s="1"/>
  <c r="O38" i="152"/>
  <c r="N10" i="152"/>
  <c r="M36" i="151"/>
  <c r="M38" i="152"/>
  <c r="N38" i="152"/>
  <c r="O15" i="107"/>
  <c r="O16" i="107"/>
  <c r="O13" i="108" s="1"/>
  <c r="BU12" i="4" s="1"/>
  <c r="M10" i="108"/>
  <c r="BS8" i="4" s="1"/>
  <c r="K15" i="107"/>
  <c r="K62" i="147"/>
  <c r="L11" i="147"/>
  <c r="P11" i="113"/>
  <c r="O16" i="113"/>
  <c r="O13" i="114" s="1"/>
  <c r="BR12" i="4" s="1"/>
  <c r="O62" i="113"/>
  <c r="O15" i="113"/>
  <c r="O9" i="114"/>
  <c r="O66" i="105"/>
  <c r="P65" i="105" s="1"/>
  <c r="O22" i="106" s="1"/>
  <c r="V49" i="105"/>
  <c r="M62" i="105"/>
  <c r="M23" i="91"/>
  <c r="N13" i="92" s="1"/>
  <c r="M18" i="91"/>
  <c r="N10" i="92" s="1"/>
  <c r="M22" i="91"/>
  <c r="N12" i="92" s="1"/>
  <c r="K63" i="65"/>
  <c r="P63" i="65" s="1"/>
  <c r="M9" i="66"/>
  <c r="K15" i="65"/>
  <c r="M8" i="66" s="1"/>
  <c r="N8" i="66"/>
  <c r="N18" i="163"/>
  <c r="N53" i="163"/>
  <c r="M77" i="163"/>
  <c r="N8" i="160"/>
  <c r="V53" i="181"/>
  <c r="L11" i="181"/>
  <c r="N10" i="90"/>
  <c r="BI8" i="4" s="1"/>
  <c r="M15" i="89"/>
  <c r="N12" i="90" s="1"/>
  <c r="BI11" i="4" s="1"/>
  <c r="BH31" i="4"/>
  <c r="M34" i="77"/>
  <c r="M10" i="78"/>
  <c r="BE8" i="4" s="1"/>
  <c r="N12" i="77"/>
  <c r="N11" i="78" s="1"/>
  <c r="N10" i="78"/>
  <c r="BF8" i="4" s="1"/>
  <c r="I36" i="78"/>
  <c r="O38" i="78" s="1"/>
  <c r="BG33" i="4" s="1"/>
  <c r="BE31" i="4"/>
  <c r="N10" i="187"/>
  <c r="N36" i="188" s="1"/>
  <c r="N12" i="188"/>
  <c r="L10" i="187"/>
  <c r="M36" i="188" s="1"/>
  <c r="K51" i="187"/>
  <c r="M8" i="188"/>
  <c r="K50" i="187"/>
  <c r="M12" i="188"/>
  <c r="N12" i="190"/>
  <c r="M66" i="189"/>
  <c r="N65" i="189" s="1"/>
  <c r="N22" i="190" s="1"/>
  <c r="O33" i="87"/>
  <c r="O11" i="87"/>
  <c r="V50" i="87"/>
  <c r="BB31" i="4"/>
  <c r="K11" i="87"/>
  <c r="O66" i="85"/>
  <c r="P65" i="85" s="1"/>
  <c r="O22" i="86" s="1"/>
  <c r="O12" i="86"/>
  <c r="AX11" i="4" s="1"/>
  <c r="P12" i="85"/>
  <c r="O11" i="86" s="1"/>
  <c r="O62" i="85"/>
  <c r="P7" i="102" s="1"/>
  <c r="AW31" i="4"/>
  <c r="AW6" i="4"/>
  <c r="M74" i="86"/>
  <c r="L8" i="102"/>
  <c r="L9" i="102" s="1"/>
  <c r="L12" i="102" s="1"/>
  <c r="K15" i="85"/>
  <c r="O15" i="67"/>
  <c r="M15" i="67"/>
  <c r="N9" i="68"/>
  <c r="AT9" i="4" s="1"/>
  <c r="L11" i="67"/>
  <c r="F11" i="155"/>
  <c r="M66" i="83"/>
  <c r="N65" i="83" s="1"/>
  <c r="N22" i="84" s="1"/>
  <c r="N12" i="84"/>
  <c r="AQ11" i="4" s="1"/>
  <c r="N12" i="83"/>
  <c r="N11" i="84" s="1"/>
  <c r="N9" i="74"/>
  <c r="AN9" i="4" s="1"/>
  <c r="M16" i="73"/>
  <c r="N13" i="74" s="1"/>
  <c r="AN12" i="4" s="1"/>
  <c r="N12" i="74"/>
  <c r="M66" i="73"/>
  <c r="N65" i="73" s="1"/>
  <c r="N22" i="74" s="1"/>
  <c r="E9" i="155"/>
  <c r="AM31" i="4"/>
  <c r="D8" i="155"/>
  <c r="AK8" i="4"/>
  <c r="M10" i="72"/>
  <c r="AJ8" i="4" s="1"/>
  <c r="L12" i="71"/>
  <c r="M11" i="72" s="1"/>
  <c r="K15" i="71"/>
  <c r="O16" i="47"/>
  <c r="O13" i="48" s="1"/>
  <c r="AI12" i="4" s="1"/>
  <c r="O36" i="47"/>
  <c r="K34" i="47"/>
  <c r="K66" i="157"/>
  <c r="L65" i="157" s="1"/>
  <c r="M22" i="158" s="1"/>
  <c r="M12" i="158"/>
  <c r="Z11" i="4" s="1"/>
  <c r="M9" i="46"/>
  <c r="AC9" i="4" s="1"/>
  <c r="K15" i="45"/>
  <c r="M12" i="46" s="1"/>
  <c r="AC11" i="4" s="1"/>
  <c r="K36" i="45"/>
  <c r="K34" i="45"/>
  <c r="M7" i="46"/>
  <c r="AC6" i="4" s="1"/>
  <c r="Y51" i="53"/>
  <c r="C9" i="155"/>
  <c r="P77" i="35"/>
  <c r="Q37" i="36"/>
  <c r="O19" i="35"/>
  <c r="P10" i="36"/>
  <c r="O22" i="35"/>
  <c r="P12" i="36" s="1"/>
  <c r="O8" i="36"/>
  <c r="N16" i="35"/>
  <c r="O7" i="36"/>
  <c r="N10" i="36"/>
  <c r="Q23" i="51"/>
  <c r="R13" i="52" s="1"/>
  <c r="Q18" i="51"/>
  <c r="Q22" i="51"/>
  <c r="R12" i="52" s="1"/>
  <c r="R9" i="52"/>
  <c r="O62" i="51"/>
  <c r="K38" i="51"/>
  <c r="O8" i="52"/>
  <c r="K15" i="51"/>
  <c r="N17" i="51"/>
  <c r="K17" i="51" s="1"/>
  <c r="O7" i="52"/>
  <c r="O22" i="25"/>
  <c r="P12" i="26" s="1"/>
  <c r="O18" i="25"/>
  <c r="M19" i="25"/>
  <c r="N11" i="26" s="1"/>
  <c r="N61" i="25"/>
  <c r="K15" i="25"/>
  <c r="M8" i="26" s="1"/>
  <c r="P7" i="4" s="1"/>
  <c r="O8" i="26"/>
  <c r="N52" i="25"/>
  <c r="J52" i="25" s="1"/>
  <c r="N16" i="25"/>
  <c r="N17" i="25"/>
  <c r="O7" i="26"/>
  <c r="K11" i="49"/>
  <c r="M52" i="49"/>
  <c r="M18" i="49"/>
  <c r="K10" i="49"/>
  <c r="W66" i="49" s="1"/>
  <c r="P13" i="82"/>
  <c r="O19" i="81"/>
  <c r="P11" i="82" s="1"/>
  <c r="O22" i="81"/>
  <c r="P12" i="82" s="1"/>
  <c r="P23" i="23"/>
  <c r="Q13" i="24" s="1"/>
  <c r="O23" i="23"/>
  <c r="P13" i="24" s="1"/>
  <c r="K20" i="23"/>
  <c r="P16" i="23"/>
  <c r="P53" i="23"/>
  <c r="P52" i="23"/>
  <c r="Q8" i="24"/>
  <c r="K22" i="23"/>
  <c r="M12" i="24" s="1"/>
  <c r="J11" i="4" s="1"/>
  <c r="N52" i="23"/>
  <c r="N8" i="24"/>
  <c r="M53" i="23"/>
  <c r="J53" i="23" s="1"/>
  <c r="M16" i="23"/>
  <c r="M52" i="23"/>
  <c r="J52" i="23" s="1"/>
  <c r="K15" i="23"/>
  <c r="M8" i="24" s="1"/>
  <c r="J7" i="4" s="1"/>
  <c r="K21" i="23"/>
  <c r="N12" i="24"/>
  <c r="O18" i="21"/>
  <c r="K21" i="103"/>
  <c r="K13" i="103"/>
  <c r="M18" i="103"/>
  <c r="K18" i="103" s="1"/>
  <c r="M10" i="104" s="1"/>
  <c r="I8" i="4" s="1"/>
  <c r="O10" i="57"/>
  <c r="Q13" i="20"/>
  <c r="K14" i="19"/>
  <c r="Q7" i="20"/>
  <c r="K38" i="19"/>
  <c r="K10" i="15"/>
  <c r="W66" i="15" s="1"/>
  <c r="K37" i="15"/>
  <c r="K17" i="15"/>
  <c r="K21" i="15" s="1"/>
  <c r="K77" i="15"/>
  <c r="N79" i="15"/>
  <c r="O40" i="16"/>
  <c r="M15" i="15"/>
  <c r="O79" i="17"/>
  <c r="P40" i="18"/>
  <c r="N12" i="18"/>
  <c r="N8" i="18"/>
  <c r="K77" i="17"/>
  <c r="M18" i="17"/>
  <c r="M50" i="17" s="1"/>
  <c r="M77" i="17"/>
  <c r="N9" i="18"/>
  <c r="X49" i="113"/>
  <c r="R48" i="145"/>
  <c r="R45" i="119"/>
  <c r="U45" i="119"/>
  <c r="U48" i="195"/>
  <c r="X48" i="195"/>
  <c r="X51" i="195"/>
  <c r="R51" i="195"/>
  <c r="R49" i="77"/>
  <c r="X49" i="77"/>
  <c r="U46" i="197"/>
  <c r="X46" i="197"/>
  <c r="R45" i="151"/>
  <c r="U45" i="151"/>
  <c r="U46" i="115"/>
  <c r="R46" i="115"/>
  <c r="R49" i="149"/>
  <c r="X49" i="149"/>
  <c r="U49" i="149"/>
  <c r="R47" i="151"/>
  <c r="U47" i="151"/>
  <c r="X47" i="151"/>
  <c r="U52" i="195"/>
  <c r="X52" i="195"/>
  <c r="Q43" i="49"/>
  <c r="R24" i="50" s="1"/>
  <c r="L55" i="195"/>
  <c r="W54" i="179"/>
  <c r="P53" i="187"/>
  <c r="X54" i="115"/>
  <c r="P52" i="151"/>
  <c r="P54" i="151"/>
  <c r="P54" i="117"/>
  <c r="T55" i="119"/>
  <c r="R55" i="149"/>
  <c r="Z54" i="191"/>
  <c r="U54" i="187"/>
  <c r="N54" i="47"/>
  <c r="N51" i="151"/>
  <c r="N52" i="151"/>
  <c r="Z52" i="151"/>
  <c r="W54" i="151"/>
  <c r="U53" i="149"/>
  <c r="N55" i="115"/>
  <c r="N53" i="115"/>
  <c r="U52" i="149"/>
  <c r="T55" i="115"/>
  <c r="X55" i="149"/>
  <c r="W53" i="115"/>
  <c r="W55" i="115"/>
  <c r="X53" i="151"/>
  <c r="X54" i="119"/>
  <c r="X46" i="35"/>
  <c r="U48" i="15"/>
  <c r="K46" i="17"/>
  <c r="T46" i="35"/>
  <c r="T52" i="91"/>
  <c r="U50" i="105"/>
  <c r="L53" i="187"/>
  <c r="Y37" i="12"/>
  <c r="L70" i="58"/>
  <c r="L55" i="65"/>
  <c r="L53" i="65"/>
  <c r="L51" i="65"/>
  <c r="R40" i="18"/>
  <c r="N38" i="148"/>
  <c r="O38" i="190"/>
  <c r="O38" i="46"/>
  <c r="AE33" i="4" s="1"/>
  <c r="Y14" i="12"/>
  <c r="Y20" i="12"/>
  <c r="Y22" i="12"/>
  <c r="Q43" i="103"/>
  <c r="R24" i="104" s="1"/>
  <c r="N38" i="190"/>
  <c r="L70" i="23"/>
  <c r="L70" i="21"/>
  <c r="L70" i="103"/>
  <c r="L52" i="159"/>
  <c r="AS12" i="4"/>
  <c r="M63" i="65"/>
  <c r="Q63" i="65"/>
  <c r="X63" i="65" s="1"/>
  <c r="Q59" i="65" s="1"/>
  <c r="R25" i="66" s="1"/>
  <c r="AC12" i="4"/>
  <c r="AL12" i="4"/>
  <c r="AN11" i="4"/>
  <c r="AN31" i="4"/>
  <c r="BC31" i="4"/>
  <c r="BD31" i="4"/>
  <c r="E11" i="155"/>
  <c r="C36" i="203"/>
  <c r="C37" i="203" s="1"/>
  <c r="C38" i="203" s="1"/>
  <c r="C39" i="203" s="1"/>
  <c r="C40" i="203" s="1"/>
  <c r="D28" i="49" s="1"/>
  <c r="D28" i="51"/>
  <c r="D27" i="56"/>
  <c r="D21" i="77"/>
  <c r="D21" i="89"/>
  <c r="D27" i="81"/>
  <c r="D20" i="77"/>
  <c r="I20" i="181"/>
  <c r="L20" i="181" s="1"/>
  <c r="M16" i="182" s="1"/>
  <c r="N22" i="15"/>
  <c r="N23" i="15"/>
  <c r="O10" i="104"/>
  <c r="R34" i="26"/>
  <c r="R61" i="26"/>
  <c r="R53" i="26"/>
  <c r="Q66" i="50"/>
  <c r="Q33" i="50"/>
  <c r="Q65" i="50"/>
  <c r="M66" i="195"/>
  <c r="N65" i="195" s="1"/>
  <c r="N22" i="196" s="1"/>
  <c r="R65" i="57"/>
  <c r="R34" i="66"/>
  <c r="R62" i="66"/>
  <c r="Q50" i="26"/>
  <c r="Q59" i="26"/>
  <c r="Q60" i="26" s="1"/>
  <c r="Q65" i="26"/>
  <c r="D50" i="163"/>
  <c r="D54" i="89"/>
  <c r="D49" i="91"/>
  <c r="D47" i="159"/>
  <c r="D51" i="163"/>
  <c r="D47" i="91"/>
  <c r="D50" i="91"/>
  <c r="D51" i="91"/>
  <c r="D49" i="163"/>
  <c r="D47" i="163"/>
  <c r="D47" i="65"/>
  <c r="D54" i="181"/>
  <c r="K36" i="103"/>
  <c r="K37" i="103"/>
  <c r="K38" i="103"/>
  <c r="CE12" i="4"/>
  <c r="BY12" i="4"/>
  <c r="BQ9" i="4"/>
  <c r="N74" i="114"/>
  <c r="P66" i="50"/>
  <c r="P34" i="50"/>
  <c r="P62" i="50"/>
  <c r="C61" i="164"/>
  <c r="C62" i="164" s="1"/>
  <c r="C63" i="164" s="1"/>
  <c r="C64" i="164" s="1"/>
  <c r="C65" i="164" s="1"/>
  <c r="C66" i="164" s="1"/>
  <c r="C59" i="164"/>
  <c r="C60" i="164" s="1"/>
  <c r="C59" i="160"/>
  <c r="C60" i="160" s="1"/>
  <c r="C61" i="160"/>
  <c r="C62" i="160" s="1"/>
  <c r="C63" i="160" s="1"/>
  <c r="C64" i="160" s="1"/>
  <c r="C65" i="160" s="1"/>
  <c r="C66" i="160" s="1"/>
  <c r="C67" i="160" s="1"/>
  <c r="R66" i="16"/>
  <c r="R62" i="16"/>
  <c r="R34" i="16"/>
  <c r="C61" i="20"/>
  <c r="C62" i="20" s="1"/>
  <c r="C63" i="20" s="1"/>
  <c r="C64" i="20" s="1"/>
  <c r="C65" i="20" s="1"/>
  <c r="C66" i="20" s="1"/>
  <c r="C68" i="20" s="1"/>
  <c r="C69" i="20" s="1"/>
  <c r="C70" i="20" s="1"/>
  <c r="C71" i="20" s="1"/>
  <c r="C59" i="20"/>
  <c r="C60" i="20" s="1"/>
  <c r="C61" i="18"/>
  <c r="C62" i="18" s="1"/>
  <c r="C63" i="18" s="1"/>
  <c r="C64" i="18" s="1"/>
  <c r="C65" i="18" s="1"/>
  <c r="C66" i="18" s="1"/>
  <c r="C68" i="18" s="1"/>
  <c r="C69" i="18" s="1"/>
  <c r="C70" i="18" s="1"/>
  <c r="C71" i="18" s="1"/>
  <c r="C59" i="18"/>
  <c r="C60" i="18" s="1"/>
  <c r="P43" i="163"/>
  <c r="Q24" i="164" s="1"/>
  <c r="C61" i="104"/>
  <c r="C62" i="104" s="1"/>
  <c r="C63" i="104" s="1"/>
  <c r="C64" i="104" s="1"/>
  <c r="C65" i="104" s="1"/>
  <c r="C66" i="104" s="1"/>
  <c r="C68" i="104" s="1"/>
  <c r="C69" i="104" s="1"/>
  <c r="C70" i="104" s="1"/>
  <c r="C71" i="104" s="1"/>
  <c r="C59" i="104"/>
  <c r="C60" i="104" s="1"/>
  <c r="N12" i="145"/>
  <c r="N11" i="146" s="1"/>
  <c r="N10" i="146"/>
  <c r="M18" i="102"/>
  <c r="N16" i="102"/>
  <c r="N20" i="102"/>
  <c r="N12" i="102"/>
  <c r="N18" i="102"/>
  <c r="M20" i="102"/>
  <c r="M16" i="102"/>
  <c r="N14" i="102"/>
  <c r="M14" i="102"/>
  <c r="M12" i="102"/>
  <c r="L20" i="102"/>
  <c r="P12" i="43"/>
  <c r="O11" i="44" s="1"/>
  <c r="O10" i="44"/>
  <c r="P65" i="50"/>
  <c r="P50" i="50"/>
  <c r="P61" i="50"/>
  <c r="P59" i="50"/>
  <c r="P60" i="50" s="1"/>
  <c r="P53" i="50"/>
  <c r="P33" i="50"/>
  <c r="M10" i="150"/>
  <c r="L12" i="149"/>
  <c r="M11" i="150" s="1"/>
  <c r="Q64" i="57"/>
  <c r="Q57" i="57"/>
  <c r="R50" i="32"/>
  <c r="R65" i="32"/>
  <c r="R59" i="32"/>
  <c r="R60" i="32" s="1"/>
  <c r="CA7" i="4"/>
  <c r="CG7" i="4"/>
  <c r="R62" i="160"/>
  <c r="R67" i="160"/>
  <c r="R34" i="160"/>
  <c r="N40" i="18"/>
  <c r="R53" i="66"/>
  <c r="R66" i="66"/>
  <c r="R65" i="66"/>
  <c r="R53" i="57"/>
  <c r="R33" i="57"/>
  <c r="R59" i="57"/>
  <c r="R60" i="57" s="1"/>
  <c r="M12" i="74"/>
  <c r="K66" i="73"/>
  <c r="L65" i="73" s="1"/>
  <c r="M22" i="74" s="1"/>
  <c r="R33" i="82"/>
  <c r="R53" i="82"/>
  <c r="U51" i="43"/>
  <c r="C59" i="66"/>
  <c r="C60" i="66" s="1"/>
  <c r="C61" i="66"/>
  <c r="C62" i="66" s="1"/>
  <c r="C63" i="66" s="1"/>
  <c r="C64" i="66" s="1"/>
  <c r="C65" i="66" s="1"/>
  <c r="C59" i="92"/>
  <c r="C60" i="92" s="1"/>
  <c r="C61" i="92"/>
  <c r="C62" i="92" s="1"/>
  <c r="C63" i="92" s="1"/>
  <c r="C64" i="92" s="1"/>
  <c r="C65" i="92" s="1"/>
  <c r="R61" i="16"/>
  <c r="R50" i="16"/>
  <c r="R53" i="16"/>
  <c r="R33" i="16"/>
  <c r="R59" i="16"/>
  <c r="R60" i="16" s="1"/>
  <c r="R65" i="16"/>
  <c r="Q66" i="22"/>
  <c r="Q62" i="22"/>
  <c r="Q34" i="22"/>
  <c r="C61" i="52"/>
  <c r="C62" i="52" s="1"/>
  <c r="C63" i="52" s="1"/>
  <c r="C64" i="52" s="1"/>
  <c r="C65" i="52" s="1"/>
  <c r="C66" i="52" s="1"/>
  <c r="C68" i="52" s="1"/>
  <c r="C69" i="52" s="1"/>
  <c r="C70" i="52" s="1"/>
  <c r="C71" i="52" s="1"/>
  <c r="C59" i="52"/>
  <c r="C60" i="52" s="1"/>
  <c r="C61" i="32"/>
  <c r="C62" i="32" s="1"/>
  <c r="C63" i="32" s="1"/>
  <c r="C64" i="32" s="1"/>
  <c r="C65" i="32" s="1"/>
  <c r="C66" i="32" s="1"/>
  <c r="C68" i="32" s="1"/>
  <c r="C69" i="32" s="1"/>
  <c r="C70" i="32" s="1"/>
  <c r="C71" i="32" s="1"/>
  <c r="C59" i="32"/>
  <c r="C60" i="32" s="1"/>
  <c r="C61" i="50"/>
  <c r="C62" i="50" s="1"/>
  <c r="C63" i="50" s="1"/>
  <c r="C64" i="50" s="1"/>
  <c r="C65" i="50" s="1"/>
  <c r="C66" i="50" s="1"/>
  <c r="C68" i="50" s="1"/>
  <c r="C69" i="50" s="1"/>
  <c r="C70" i="50" s="1"/>
  <c r="C71" i="50" s="1"/>
  <c r="C59" i="50"/>
  <c r="C60" i="50" s="1"/>
  <c r="O12" i="192"/>
  <c r="O66" i="191"/>
  <c r="P65" i="191" s="1"/>
  <c r="O22" i="192" s="1"/>
  <c r="R64" i="164"/>
  <c r="R57" i="164"/>
  <c r="C59" i="16"/>
  <c r="C60" i="16" s="1"/>
  <c r="C61" i="16"/>
  <c r="C62" i="16" s="1"/>
  <c r="C63" i="16" s="1"/>
  <c r="C64" i="16" s="1"/>
  <c r="C65" i="16" s="1"/>
  <c r="C66" i="16" s="1"/>
  <c r="C68" i="16" s="1"/>
  <c r="C69" i="16" s="1"/>
  <c r="C70" i="16" s="1"/>
  <c r="C71" i="16" s="1"/>
  <c r="C61" i="57"/>
  <c r="C62" i="57" s="1"/>
  <c r="C63" i="57" s="1"/>
  <c r="C64" i="57" s="1"/>
  <c r="C65" i="57" s="1"/>
  <c r="C66" i="57" s="1"/>
  <c r="C68" i="57" s="1"/>
  <c r="C69" i="57" s="1"/>
  <c r="C70" i="57" s="1"/>
  <c r="C71" i="57" s="1"/>
  <c r="C59" i="57"/>
  <c r="C60" i="57" s="1"/>
  <c r="C59" i="24"/>
  <c r="C60" i="24" s="1"/>
  <c r="C61" i="24"/>
  <c r="C62" i="24" s="1"/>
  <c r="C63" i="24" s="1"/>
  <c r="C64" i="24" s="1"/>
  <c r="C65" i="24" s="1"/>
  <c r="C66" i="24" s="1"/>
  <c r="C68" i="24" s="1"/>
  <c r="C69" i="24" s="1"/>
  <c r="C70" i="24" s="1"/>
  <c r="C71" i="24" s="1"/>
  <c r="C61" i="36"/>
  <c r="C62" i="36" s="1"/>
  <c r="C63" i="36" s="1"/>
  <c r="C64" i="36" s="1"/>
  <c r="C65" i="36" s="1"/>
  <c r="C66" i="36" s="1"/>
  <c r="C68" i="36" s="1"/>
  <c r="C69" i="36" s="1"/>
  <c r="C70" i="36" s="1"/>
  <c r="C71" i="36" s="1"/>
  <c r="C59" i="36"/>
  <c r="C60" i="36" s="1"/>
  <c r="C61" i="26"/>
  <c r="C62" i="26" s="1"/>
  <c r="C63" i="26" s="1"/>
  <c r="C64" i="26" s="1"/>
  <c r="C65" i="26" s="1"/>
  <c r="C66" i="26" s="1"/>
  <c r="C68" i="26" s="1"/>
  <c r="C69" i="26" s="1"/>
  <c r="C70" i="26" s="1"/>
  <c r="C71" i="26" s="1"/>
  <c r="C59" i="26"/>
  <c r="C60" i="26" s="1"/>
  <c r="C61" i="59"/>
  <c r="C62" i="59" s="1"/>
  <c r="C63" i="59" s="1"/>
  <c r="C64" i="59" s="1"/>
  <c r="C65" i="59" s="1"/>
  <c r="C66" i="59" s="1"/>
  <c r="C68" i="59" s="1"/>
  <c r="C69" i="59" s="1"/>
  <c r="C70" i="59" s="1"/>
  <c r="C71" i="59" s="1"/>
  <c r="C59" i="59"/>
  <c r="C60" i="59" s="1"/>
  <c r="Q33" i="160"/>
  <c r="Q59" i="160"/>
  <c r="Q60" i="160" s="1"/>
  <c r="Q65" i="160"/>
  <c r="Q66" i="160"/>
  <c r="Q53" i="160"/>
  <c r="Q50" i="160"/>
  <c r="Q67" i="164"/>
  <c r="Q34" i="164"/>
  <c r="Q62" i="164"/>
  <c r="N23" i="51"/>
  <c r="R34" i="82"/>
  <c r="M53" i="91"/>
  <c r="N8" i="50"/>
  <c r="M16" i="49"/>
  <c r="Q33" i="59"/>
  <c r="N62" i="51"/>
  <c r="K12" i="51"/>
  <c r="N10" i="109"/>
  <c r="N36" i="110" s="1"/>
  <c r="Q34" i="59"/>
  <c r="R53" i="160"/>
  <c r="R33" i="160"/>
  <c r="N16" i="56"/>
  <c r="M15" i="113"/>
  <c r="N11" i="113"/>
  <c r="Q57" i="59"/>
  <c r="N9" i="90"/>
  <c r="AB52" i="49"/>
  <c r="O43" i="49" s="1"/>
  <c r="P24" i="50" s="1"/>
  <c r="C52" i="66"/>
  <c r="C53" i="66" s="1"/>
  <c r="C55" i="82"/>
  <c r="C56" i="82" s="1"/>
  <c r="C57" i="82" s="1"/>
  <c r="C58" i="82" s="1"/>
  <c r="M62" i="145"/>
  <c r="M15" i="145"/>
  <c r="W52" i="163"/>
  <c r="P57" i="163" s="1"/>
  <c r="P58" i="163" s="1"/>
  <c r="Q36" i="164" s="1"/>
  <c r="O62" i="191"/>
  <c r="L12" i="189"/>
  <c r="M11" i="190" s="1"/>
  <c r="L11" i="119"/>
  <c r="O10" i="190"/>
  <c r="P10" i="179"/>
  <c r="O36" i="180" s="1"/>
  <c r="L10" i="179"/>
  <c r="M36" i="180" s="1"/>
  <c r="Q23" i="31"/>
  <c r="R13" i="32" s="1"/>
  <c r="M8" i="84"/>
  <c r="AP7" i="4" s="1"/>
  <c r="L10" i="83"/>
  <c r="M36" i="84" s="1"/>
  <c r="AP31" i="4" s="1"/>
  <c r="O66" i="115"/>
  <c r="P65" i="115" s="1"/>
  <c r="O22" i="116" s="1"/>
  <c r="O10" i="180"/>
  <c r="P10" i="111"/>
  <c r="O36" i="112" s="1"/>
  <c r="P17" i="56"/>
  <c r="AD51" i="25"/>
  <c r="Q43" i="25" s="1"/>
  <c r="R24" i="26" s="1"/>
  <c r="J51" i="25"/>
  <c r="M18" i="58"/>
  <c r="M22" i="58"/>
  <c r="N23" i="65"/>
  <c r="N18" i="65"/>
  <c r="Q23" i="103"/>
  <c r="R13" i="104" s="1"/>
  <c r="Q22" i="103"/>
  <c r="R9" i="104"/>
  <c r="P10" i="197"/>
  <c r="O36" i="198" s="1"/>
  <c r="O8" i="198"/>
  <c r="O18" i="19"/>
  <c r="O49" i="19" s="1"/>
  <c r="O15" i="91"/>
  <c r="P8" i="92" s="1"/>
  <c r="L12" i="201"/>
  <c r="M11" i="202" s="1"/>
  <c r="M9" i="112"/>
  <c r="K15" i="111"/>
  <c r="M15" i="71"/>
  <c r="O8" i="90"/>
  <c r="BJ7" i="4" s="1"/>
  <c r="M9" i="202"/>
  <c r="Q22" i="49"/>
  <c r="O62" i="187"/>
  <c r="O15" i="187"/>
  <c r="O16" i="187"/>
  <c r="O13" i="188" s="1"/>
  <c r="L11" i="187"/>
  <c r="K15" i="47"/>
  <c r="O62" i="147"/>
  <c r="N9" i="188"/>
  <c r="K36" i="199"/>
  <c r="P14" i="31"/>
  <c r="Q6" i="32"/>
  <c r="K9" i="31"/>
  <c r="P43" i="59"/>
  <c r="N73" i="86"/>
  <c r="Q14" i="35"/>
  <c r="O38" i="154"/>
  <c r="N38" i="154"/>
  <c r="M7" i="150"/>
  <c r="O35" i="115"/>
  <c r="M33" i="115"/>
  <c r="O7" i="48"/>
  <c r="AI6" i="4" s="1"/>
  <c r="M7" i="48"/>
  <c r="AG6" i="4" s="1"/>
  <c r="K36" i="47"/>
  <c r="M35" i="47"/>
  <c r="O34" i="47"/>
  <c r="O33" i="47"/>
  <c r="K33" i="47"/>
  <c r="M9" i="192"/>
  <c r="M7" i="192"/>
  <c r="M36" i="191"/>
  <c r="M34" i="191"/>
  <c r="Q43" i="17" l="1"/>
  <c r="R24" i="18" s="1"/>
  <c r="U49" i="113"/>
  <c r="V47" i="65"/>
  <c r="R55" i="199"/>
  <c r="X51" i="193"/>
  <c r="X51" i="191"/>
  <c r="U46" i="113"/>
  <c r="X50" i="113"/>
  <c r="R46" i="113"/>
  <c r="U55" i="199"/>
  <c r="U49" i="105"/>
  <c r="R54" i="193"/>
  <c r="U51" i="191"/>
  <c r="R50" i="113"/>
  <c r="U48" i="189"/>
  <c r="R48" i="153"/>
  <c r="X54" i="193"/>
  <c r="U47" i="53"/>
  <c r="X47" i="191"/>
  <c r="R45" i="197"/>
  <c r="U47" i="179"/>
  <c r="X48" i="189"/>
  <c r="X49" i="105"/>
  <c r="R48" i="117"/>
  <c r="X45" i="197"/>
  <c r="U47" i="191"/>
  <c r="R45" i="187"/>
  <c r="X48" i="145"/>
  <c r="U51" i="193"/>
  <c r="P57" i="65"/>
  <c r="P58" i="65" s="1"/>
  <c r="X48" i="43"/>
  <c r="X49" i="87"/>
  <c r="R10" i="52"/>
  <c r="Q51" i="51"/>
  <c r="N10" i="52"/>
  <c r="M51" i="51"/>
  <c r="K13" i="25"/>
  <c r="O22" i="19"/>
  <c r="P12" i="20" s="1"/>
  <c r="P9" i="20"/>
  <c r="O23" i="19"/>
  <c r="P13" i="20" s="1"/>
  <c r="N40" i="20"/>
  <c r="P49" i="19"/>
  <c r="Q10" i="20"/>
  <c r="R10" i="20"/>
  <c r="Q49" i="19"/>
  <c r="K77" i="19"/>
  <c r="M37" i="20"/>
  <c r="G31" i="4" s="1"/>
  <c r="N23" i="17"/>
  <c r="O13" i="18" s="1"/>
  <c r="N18" i="17"/>
  <c r="N22" i="17"/>
  <c r="O12" i="18" s="1"/>
  <c r="O9" i="18"/>
  <c r="P7" i="18"/>
  <c r="O15" i="17"/>
  <c r="O17" i="17"/>
  <c r="Q22" i="17"/>
  <c r="R12" i="18" s="1"/>
  <c r="Q23" i="17"/>
  <c r="R13" i="18" s="1"/>
  <c r="R9" i="18"/>
  <c r="K14" i="17"/>
  <c r="M7" i="18" s="1"/>
  <c r="E6" i="4" s="1"/>
  <c r="O22" i="21"/>
  <c r="P12" i="22" s="1"/>
  <c r="O23" i="21"/>
  <c r="P13" i="22" s="1"/>
  <c r="K11" i="21"/>
  <c r="K37" i="21"/>
  <c r="N43" i="22"/>
  <c r="N17" i="81"/>
  <c r="N15" i="81"/>
  <c r="O7" i="82"/>
  <c r="K14" i="81"/>
  <c r="P57" i="56"/>
  <c r="P58" i="56" s="1"/>
  <c r="Q36" i="57" s="1"/>
  <c r="O18" i="56"/>
  <c r="P9" i="57"/>
  <c r="O22" i="56"/>
  <c r="P12" i="57" s="1"/>
  <c r="N7" i="57"/>
  <c r="K14" i="56"/>
  <c r="K10" i="56" s="1"/>
  <c r="W66" i="56" s="1"/>
  <c r="M17" i="56"/>
  <c r="K17" i="56" s="1"/>
  <c r="M9" i="57" s="1"/>
  <c r="H9" i="4" s="1"/>
  <c r="M15" i="56"/>
  <c r="O77" i="56"/>
  <c r="P37" i="57"/>
  <c r="M17" i="21"/>
  <c r="M15" i="21"/>
  <c r="N7" i="22"/>
  <c r="X47" i="53"/>
  <c r="X51" i="71"/>
  <c r="R49" i="189"/>
  <c r="U49" i="87"/>
  <c r="U48" i="117"/>
  <c r="R47" i="179"/>
  <c r="X45" i="187"/>
  <c r="K47" i="65"/>
  <c r="R51" i="71"/>
  <c r="X48" i="157"/>
  <c r="X48" i="153"/>
  <c r="T47" i="65"/>
  <c r="U47" i="65"/>
  <c r="N57" i="65" s="1"/>
  <c r="N58" i="65" s="1"/>
  <c r="O36" i="66" s="1"/>
  <c r="U48" i="157"/>
  <c r="L32" i="14"/>
  <c r="N32" i="14" s="1"/>
  <c r="L40" i="14"/>
  <c r="L42" i="14"/>
  <c r="U52" i="109"/>
  <c r="U49" i="189"/>
  <c r="L51" i="14"/>
  <c r="L41" i="14"/>
  <c r="L52" i="14"/>
  <c r="N52" i="14" s="1"/>
  <c r="L37" i="14"/>
  <c r="L44" i="14"/>
  <c r="N44" i="14" s="1"/>
  <c r="L36" i="14"/>
  <c r="R47" i="77"/>
  <c r="X48" i="149"/>
  <c r="X50" i="53"/>
  <c r="W47" i="103"/>
  <c r="K47" i="19"/>
  <c r="K47" i="35"/>
  <c r="X50" i="151"/>
  <c r="O56" i="151" s="1"/>
  <c r="O57" i="151" s="1"/>
  <c r="O35" i="152" s="1"/>
  <c r="X48" i="105"/>
  <c r="R46" i="189"/>
  <c r="U47" i="103"/>
  <c r="R48" i="105"/>
  <c r="T47" i="103"/>
  <c r="U46" i="43"/>
  <c r="V47" i="103"/>
  <c r="R50" i="53"/>
  <c r="U50" i="149"/>
  <c r="X46" i="43"/>
  <c r="R52" i="117"/>
  <c r="X50" i="149"/>
  <c r="R47" i="47"/>
  <c r="U50" i="179"/>
  <c r="X47" i="47"/>
  <c r="X50" i="179"/>
  <c r="U48" i="149"/>
  <c r="U47" i="23"/>
  <c r="X47" i="35"/>
  <c r="R49" i="53"/>
  <c r="V47" i="35"/>
  <c r="U47" i="89"/>
  <c r="X47" i="109"/>
  <c r="U46" i="119"/>
  <c r="R47" i="89"/>
  <c r="U47" i="187"/>
  <c r="U50" i="191"/>
  <c r="U49" i="71"/>
  <c r="U51" i="187"/>
  <c r="X52" i="53"/>
  <c r="U47" i="19"/>
  <c r="T47" i="35"/>
  <c r="X50" i="43"/>
  <c r="U53" i="199"/>
  <c r="X47" i="157"/>
  <c r="X49" i="53"/>
  <c r="X45" i="181"/>
  <c r="R47" i="157"/>
  <c r="V47" i="19"/>
  <c r="X46" i="109"/>
  <c r="U45" i="69"/>
  <c r="X46" i="119"/>
  <c r="U47" i="35"/>
  <c r="R46" i="47"/>
  <c r="R52" i="53"/>
  <c r="X47" i="19"/>
  <c r="R45" i="115"/>
  <c r="X53" i="201"/>
  <c r="R45" i="69"/>
  <c r="U46" i="87"/>
  <c r="U48" i="69"/>
  <c r="X53" i="193"/>
  <c r="R45" i="181"/>
  <c r="X47" i="181"/>
  <c r="T47" i="19"/>
  <c r="X45" i="115"/>
  <c r="U53" i="201"/>
  <c r="X46" i="87"/>
  <c r="X48" i="69"/>
  <c r="R53" i="193"/>
  <c r="R50" i="43"/>
  <c r="R47" i="109"/>
  <c r="R50" i="151"/>
  <c r="U53" i="197"/>
  <c r="R47" i="87"/>
  <c r="U46" i="47"/>
  <c r="R53" i="199"/>
  <c r="X47" i="73"/>
  <c r="X49" i="199"/>
  <c r="R50" i="193"/>
  <c r="R47" i="73"/>
  <c r="X50" i="193"/>
  <c r="U50" i="187"/>
  <c r="U50" i="47"/>
  <c r="R49" i="153"/>
  <c r="R49" i="199"/>
  <c r="U49" i="181"/>
  <c r="U45" i="189"/>
  <c r="R47" i="105"/>
  <c r="U49" i="153"/>
  <c r="X45" i="189"/>
  <c r="X46" i="189"/>
  <c r="X47" i="105"/>
  <c r="X46" i="77"/>
  <c r="U50" i="199"/>
  <c r="R46" i="157"/>
  <c r="K47" i="23"/>
  <c r="R50" i="199"/>
  <c r="X46" i="157"/>
  <c r="R48" i="107"/>
  <c r="V47" i="23"/>
  <c r="X50" i="197"/>
  <c r="R52" i="193"/>
  <c r="U48" i="107"/>
  <c r="W47" i="23"/>
  <c r="X52" i="193"/>
  <c r="U50" i="197"/>
  <c r="U46" i="77"/>
  <c r="R49" i="181"/>
  <c r="T47" i="23"/>
  <c r="L59" i="14"/>
  <c r="L60" i="14"/>
  <c r="L61" i="14"/>
  <c r="N61" i="14" s="1"/>
  <c r="L71" i="14"/>
  <c r="L35" i="14"/>
  <c r="L45" i="14"/>
  <c r="N45" i="14" s="1"/>
  <c r="L39" i="14"/>
  <c r="N39" i="14" s="1"/>
  <c r="L48" i="14"/>
  <c r="L56" i="14"/>
  <c r="D46" i="65"/>
  <c r="D46" i="91"/>
  <c r="D46" i="163"/>
  <c r="D46" i="159"/>
  <c r="D46" i="19"/>
  <c r="L63" i="14"/>
  <c r="N63" i="14" s="1"/>
  <c r="L49" i="14"/>
  <c r="L31" i="14"/>
  <c r="L50" i="14"/>
  <c r="L55" i="14"/>
  <c r="N55" i="14" s="1"/>
  <c r="L27" i="14"/>
  <c r="L34" i="14"/>
  <c r="L54" i="14"/>
  <c r="N54" i="14" s="1"/>
  <c r="L65" i="14"/>
  <c r="N65" i="14" s="1"/>
  <c r="L58" i="14"/>
  <c r="N58" i="14" s="1"/>
  <c r="L53" i="14"/>
  <c r="L29" i="14"/>
  <c r="L30" i="14"/>
  <c r="N30" i="14" s="1"/>
  <c r="L38" i="14"/>
  <c r="N38" i="14" s="1"/>
  <c r="L57" i="14"/>
  <c r="N57" i="14" s="1"/>
  <c r="L43" i="14"/>
  <c r="L64" i="14"/>
  <c r="N64" i="14" s="1"/>
  <c r="R54" i="199"/>
  <c r="U46" i="151"/>
  <c r="U48" i="109"/>
  <c r="N62" i="14"/>
  <c r="N48" i="14"/>
  <c r="N49" i="14"/>
  <c r="N50" i="14"/>
  <c r="N53" i="14"/>
  <c r="N66" i="14"/>
  <c r="N69" i="14"/>
  <c r="N56" i="14"/>
  <c r="W48" i="103"/>
  <c r="U47" i="25"/>
  <c r="U52" i="73"/>
  <c r="X54" i="199"/>
  <c r="X46" i="117"/>
  <c r="U52" i="115"/>
  <c r="T46" i="163"/>
  <c r="R46" i="193"/>
  <c r="R49" i="69"/>
  <c r="R46" i="181"/>
  <c r="R52" i="71"/>
  <c r="X46" i="201"/>
  <c r="U52" i="201"/>
  <c r="X49" i="69"/>
  <c r="X46" i="181"/>
  <c r="U48" i="103"/>
  <c r="R46" i="201"/>
  <c r="R46" i="89"/>
  <c r="R52" i="201"/>
  <c r="K46" i="103"/>
  <c r="X49" i="179"/>
  <c r="U49" i="83"/>
  <c r="K47" i="25"/>
  <c r="K48" i="103"/>
  <c r="U46" i="89"/>
  <c r="R51" i="113"/>
  <c r="R52" i="119"/>
  <c r="U52" i="119"/>
  <c r="R46" i="107"/>
  <c r="U51" i="113"/>
  <c r="X49" i="83"/>
  <c r="W46" i="103"/>
  <c r="X47" i="77"/>
  <c r="X45" i="117"/>
  <c r="T47" i="21"/>
  <c r="K47" i="15"/>
  <c r="R46" i="179"/>
  <c r="X52" i="113"/>
  <c r="U45" i="47"/>
  <c r="T48" i="65"/>
  <c r="X46" i="153"/>
  <c r="X48" i="51"/>
  <c r="T48" i="35"/>
  <c r="R46" i="195"/>
  <c r="K15" i="181"/>
  <c r="M12" i="182" s="1"/>
  <c r="K62" i="181"/>
  <c r="M9" i="182"/>
  <c r="K16" i="181"/>
  <c r="M13" i="182" s="1"/>
  <c r="R51" i="115"/>
  <c r="K12" i="13"/>
  <c r="X46" i="193"/>
  <c r="U46" i="103"/>
  <c r="U52" i="71"/>
  <c r="U49" i="179"/>
  <c r="X46" i="107"/>
  <c r="V46" i="103"/>
  <c r="R45" i="89"/>
  <c r="V47" i="25"/>
  <c r="U45" i="117"/>
  <c r="T48" i="103"/>
  <c r="R45" i="43"/>
  <c r="R46" i="145"/>
  <c r="U50" i="117"/>
  <c r="R46" i="67"/>
  <c r="R49" i="195"/>
  <c r="X49" i="191"/>
  <c r="U46" i="51"/>
  <c r="U46" i="67"/>
  <c r="R47" i="149"/>
  <c r="X47" i="83"/>
  <c r="U46" i="163"/>
  <c r="R46" i="151"/>
  <c r="X49" i="73"/>
  <c r="R48" i="109"/>
  <c r="K46" i="163"/>
  <c r="V46" i="51"/>
  <c r="R45" i="111"/>
  <c r="T47" i="58"/>
  <c r="U46" i="147"/>
  <c r="X47" i="69"/>
  <c r="X46" i="147"/>
  <c r="O56" i="147" s="1"/>
  <c r="O57" i="147" s="1"/>
  <c r="O35" i="148" s="1"/>
  <c r="U46" i="117"/>
  <c r="X49" i="195"/>
  <c r="R49" i="191"/>
  <c r="U47" i="58"/>
  <c r="U51" i="31"/>
  <c r="X45" i="43"/>
  <c r="X45" i="89"/>
  <c r="U47" i="147"/>
  <c r="R50" i="117"/>
  <c r="R47" i="147"/>
  <c r="T48" i="17"/>
  <c r="X48" i="119"/>
  <c r="R46" i="153"/>
  <c r="U48" i="47"/>
  <c r="U46" i="83"/>
  <c r="R52" i="113"/>
  <c r="V48" i="35"/>
  <c r="V48" i="51"/>
  <c r="R48" i="119"/>
  <c r="U47" i="21"/>
  <c r="X48" i="47"/>
  <c r="U51" i="197"/>
  <c r="U46" i="191"/>
  <c r="X46" i="83"/>
  <c r="X45" i="47"/>
  <c r="W48" i="51"/>
  <c r="V47" i="21"/>
  <c r="X49" i="85"/>
  <c r="U48" i="51"/>
  <c r="V47" i="15"/>
  <c r="W48" i="35"/>
  <c r="R46" i="191"/>
  <c r="U47" i="201"/>
  <c r="U49" i="107"/>
  <c r="X51" i="197"/>
  <c r="X47" i="153"/>
  <c r="R49" i="145"/>
  <c r="U47" i="153"/>
  <c r="R47" i="201"/>
  <c r="R49" i="107"/>
  <c r="R49" i="85"/>
  <c r="U49" i="47"/>
  <c r="X49" i="47"/>
  <c r="X49" i="145"/>
  <c r="X47" i="107"/>
  <c r="T47" i="15"/>
  <c r="K48" i="51"/>
  <c r="R47" i="107"/>
  <c r="U47" i="15"/>
  <c r="K48" i="65"/>
  <c r="U53" i="89"/>
  <c r="R53" i="89"/>
  <c r="U46" i="195"/>
  <c r="M56" i="195" s="1"/>
  <c r="M57" i="195" s="1"/>
  <c r="N35" i="196" s="1"/>
  <c r="U46" i="179"/>
  <c r="U48" i="35"/>
  <c r="X48" i="35"/>
  <c r="U48" i="53"/>
  <c r="V48" i="17"/>
  <c r="T47" i="163"/>
  <c r="K47" i="49"/>
  <c r="U51" i="87"/>
  <c r="U51" i="115"/>
  <c r="U53" i="113"/>
  <c r="X48" i="73"/>
  <c r="R45" i="113"/>
  <c r="X51" i="83"/>
  <c r="K47" i="17"/>
  <c r="X48" i="187"/>
  <c r="X48" i="115"/>
  <c r="U50" i="153"/>
  <c r="R48" i="199"/>
  <c r="R48" i="187"/>
  <c r="R45" i="149"/>
  <c r="U47" i="91"/>
  <c r="R45" i="67"/>
  <c r="X50" i="85"/>
  <c r="R47" i="111"/>
  <c r="U45" i="67"/>
  <c r="X45" i="191"/>
  <c r="U48" i="77"/>
  <c r="R45" i="191"/>
  <c r="R48" i="77"/>
  <c r="R48" i="53"/>
  <c r="U53" i="119"/>
  <c r="U46" i="109"/>
  <c r="U51" i="107"/>
  <c r="R48" i="67"/>
  <c r="R48" i="87"/>
  <c r="U47" i="87"/>
  <c r="X48" i="113"/>
  <c r="U49" i="109"/>
  <c r="U47" i="181"/>
  <c r="R46" i="111"/>
  <c r="R48" i="113"/>
  <c r="U48" i="87"/>
  <c r="X46" i="111"/>
  <c r="U45" i="147"/>
  <c r="U48" i="85"/>
  <c r="U49" i="117"/>
  <c r="R45" i="147"/>
  <c r="R48" i="85"/>
  <c r="X49" i="117"/>
  <c r="X48" i="67"/>
  <c r="O56" i="67" s="1"/>
  <c r="O57" i="67" s="1"/>
  <c r="O35" i="68" s="1"/>
  <c r="AU30" i="4" s="1"/>
  <c r="T47" i="91"/>
  <c r="X45" i="201"/>
  <c r="U45" i="87"/>
  <c r="W47" i="91"/>
  <c r="K47" i="91"/>
  <c r="K47" i="159"/>
  <c r="U47" i="159"/>
  <c r="V46" i="81"/>
  <c r="T46" i="81"/>
  <c r="T47" i="159"/>
  <c r="U46" i="81"/>
  <c r="X52" i="43"/>
  <c r="X47" i="195"/>
  <c r="R48" i="151"/>
  <c r="U51" i="53"/>
  <c r="U46" i="187"/>
  <c r="K48" i="17"/>
  <c r="R48" i="73"/>
  <c r="R50" i="153"/>
  <c r="X49" i="119"/>
  <c r="X45" i="113"/>
  <c r="U47" i="149"/>
  <c r="W46" i="51"/>
  <c r="U48" i="199"/>
  <c r="R47" i="83"/>
  <c r="U49" i="31"/>
  <c r="U47" i="17"/>
  <c r="R46" i="187"/>
  <c r="U49" i="119"/>
  <c r="K46" i="51"/>
  <c r="R48" i="115"/>
  <c r="R46" i="149"/>
  <c r="R52" i="115"/>
  <c r="X51" i="53"/>
  <c r="X45" i="149"/>
  <c r="R49" i="111"/>
  <c r="T49" i="31"/>
  <c r="X46" i="51"/>
  <c r="U49" i="115"/>
  <c r="U52" i="197"/>
  <c r="X45" i="111"/>
  <c r="R51" i="87"/>
  <c r="U51" i="83"/>
  <c r="X46" i="149"/>
  <c r="X52" i="73"/>
  <c r="U49" i="111"/>
  <c r="R47" i="69"/>
  <c r="U50" i="73"/>
  <c r="W49" i="31"/>
  <c r="U48" i="89"/>
  <c r="X48" i="83"/>
  <c r="U48" i="83"/>
  <c r="R47" i="145"/>
  <c r="X49" i="115"/>
  <c r="T47" i="17"/>
  <c r="R50" i="73"/>
  <c r="V49" i="31"/>
  <c r="X48" i="89"/>
  <c r="U47" i="145"/>
  <c r="R53" i="113"/>
  <c r="R49" i="73"/>
  <c r="R47" i="195"/>
  <c r="U50" i="83"/>
  <c r="U45" i="201"/>
  <c r="U46" i="85"/>
  <c r="X45" i="85"/>
  <c r="U50" i="109"/>
  <c r="R50" i="83"/>
  <c r="R51" i="117"/>
  <c r="R45" i="87"/>
  <c r="U52" i="43"/>
  <c r="R46" i="85"/>
  <c r="U48" i="151"/>
  <c r="X46" i="199"/>
  <c r="U45" i="85"/>
  <c r="U46" i="199"/>
  <c r="U45" i="45"/>
  <c r="R47" i="193"/>
  <c r="R48" i="191"/>
  <c r="X47" i="119"/>
  <c r="R50" i="71"/>
  <c r="X45" i="45"/>
  <c r="U51" i="119"/>
  <c r="R50" i="115"/>
  <c r="U47" i="193"/>
  <c r="X48" i="191"/>
  <c r="R47" i="119"/>
  <c r="U50" i="71"/>
  <c r="X50" i="109"/>
  <c r="R50" i="87"/>
  <c r="X50" i="115"/>
  <c r="X51" i="119"/>
  <c r="X50" i="87"/>
  <c r="X51" i="199"/>
  <c r="U46" i="91"/>
  <c r="T46" i="91"/>
  <c r="K47" i="51"/>
  <c r="R46" i="71"/>
  <c r="K46" i="91"/>
  <c r="U51" i="199"/>
  <c r="X47" i="85"/>
  <c r="K47" i="81"/>
  <c r="X51" i="149"/>
  <c r="W47" i="51"/>
  <c r="U46" i="71"/>
  <c r="X50" i="111"/>
  <c r="U49" i="67"/>
  <c r="X48" i="193"/>
  <c r="R51" i="201"/>
  <c r="R47" i="85"/>
  <c r="U46" i="159"/>
  <c r="N57" i="159" s="1"/>
  <c r="N58" i="159" s="1"/>
  <c r="O36" i="160" s="1"/>
  <c r="R51" i="149"/>
  <c r="U47" i="51"/>
  <c r="K48" i="91"/>
  <c r="R48" i="193"/>
  <c r="U51" i="201"/>
  <c r="T47" i="51"/>
  <c r="X47" i="51"/>
  <c r="U48" i="91"/>
  <c r="U49" i="89"/>
  <c r="U49" i="187"/>
  <c r="R49" i="67"/>
  <c r="X49" i="89"/>
  <c r="T47" i="81"/>
  <c r="R50" i="157"/>
  <c r="U47" i="81"/>
  <c r="X48" i="71"/>
  <c r="X48" i="181"/>
  <c r="U52" i="191"/>
  <c r="R48" i="179"/>
  <c r="U50" i="157"/>
  <c r="R49" i="187"/>
  <c r="V46" i="91"/>
  <c r="R48" i="71"/>
  <c r="R48" i="181"/>
  <c r="X52" i="191"/>
  <c r="X48" i="179"/>
  <c r="O79" i="58"/>
  <c r="K79" i="58" s="1"/>
  <c r="P79" i="15"/>
  <c r="K79" i="15" s="1"/>
  <c r="Q40" i="16"/>
  <c r="M40" i="16" s="1"/>
  <c r="F33" i="4" s="1"/>
  <c r="Q79" i="58"/>
  <c r="O57" i="159"/>
  <c r="O58" i="159" s="1"/>
  <c r="P36" i="160" s="1"/>
  <c r="Q79" i="15"/>
  <c r="K39" i="163"/>
  <c r="K38" i="163"/>
  <c r="K36" i="163"/>
  <c r="M7" i="164"/>
  <c r="BL6" i="4" s="1"/>
  <c r="K37" i="163"/>
  <c r="N8" i="20"/>
  <c r="K15" i="19"/>
  <c r="M8" i="20" s="1"/>
  <c r="G7" i="4" s="1"/>
  <c r="K12" i="19"/>
  <c r="M77" i="91"/>
  <c r="N37" i="92"/>
  <c r="X45" i="105"/>
  <c r="R51" i="73"/>
  <c r="X45" i="77"/>
  <c r="U47" i="163"/>
  <c r="U47" i="49"/>
  <c r="U50" i="85"/>
  <c r="R49" i="193"/>
  <c r="R45" i="107"/>
  <c r="R7" i="92"/>
  <c r="Q17" i="91"/>
  <c r="M18" i="19"/>
  <c r="M49" i="19" s="1"/>
  <c r="J49" i="19" s="1"/>
  <c r="M22" i="19"/>
  <c r="M23" i="19"/>
  <c r="N9" i="20"/>
  <c r="K17" i="19"/>
  <c r="Q7" i="92"/>
  <c r="P17" i="91"/>
  <c r="P15" i="91"/>
  <c r="O16" i="157"/>
  <c r="O13" i="158" s="1"/>
  <c r="AB12" i="4" s="1"/>
  <c r="O9" i="158"/>
  <c r="AB9" i="4" s="1"/>
  <c r="O15" i="157"/>
  <c r="P11" i="157"/>
  <c r="O12" i="66"/>
  <c r="K22" i="65"/>
  <c r="M12" i="66" s="1"/>
  <c r="V48" i="207"/>
  <c r="W48" i="207"/>
  <c r="U48" i="207"/>
  <c r="K48" i="207"/>
  <c r="T48" i="207"/>
  <c r="M66" i="149"/>
  <c r="N65" i="149" s="1"/>
  <c r="N22" i="150" s="1"/>
  <c r="N12" i="150"/>
  <c r="N77" i="163"/>
  <c r="O37" i="164"/>
  <c r="C55" i="22"/>
  <c r="C56" i="22" s="1"/>
  <c r="C57" i="22" s="1"/>
  <c r="C58" i="22" s="1"/>
  <c r="C52" i="22"/>
  <c r="C53" i="22" s="1"/>
  <c r="R50" i="82"/>
  <c r="R61" i="82"/>
  <c r="R65" i="82"/>
  <c r="R59" i="82"/>
  <c r="R60" i="82" s="1"/>
  <c r="N11" i="191"/>
  <c r="M16" i="191"/>
  <c r="N13" i="192" s="1"/>
  <c r="CI12" i="4" s="1"/>
  <c r="M15" i="191"/>
  <c r="M62" i="191"/>
  <c r="N9" i="192"/>
  <c r="O15" i="47"/>
  <c r="P11" i="47"/>
  <c r="K52" i="197"/>
  <c r="K53" i="197"/>
  <c r="M8" i="198"/>
  <c r="L10" i="197"/>
  <c r="M36" i="198" s="1"/>
  <c r="U46" i="207"/>
  <c r="T46" i="207"/>
  <c r="W46" i="207"/>
  <c r="K46" i="207"/>
  <c r="V46" i="207"/>
  <c r="N12" i="73"/>
  <c r="N11" i="74" s="1"/>
  <c r="N10" i="74"/>
  <c r="R50" i="164"/>
  <c r="R59" i="164"/>
  <c r="R60" i="164" s="1"/>
  <c r="R66" i="164"/>
  <c r="K18" i="23"/>
  <c r="M10" i="24" s="1"/>
  <c r="J8" i="4" s="1"/>
  <c r="M19" i="23"/>
  <c r="N10" i="24"/>
  <c r="O63" i="65"/>
  <c r="J63" i="65" s="1"/>
  <c r="K37" i="51"/>
  <c r="O9" i="48"/>
  <c r="AI9" i="4" s="1"/>
  <c r="N63" i="65"/>
  <c r="K10" i="51"/>
  <c r="W66" i="51" s="1"/>
  <c r="R45" i="105"/>
  <c r="R45" i="77"/>
  <c r="X49" i="193"/>
  <c r="R47" i="115"/>
  <c r="X52" i="85"/>
  <c r="U52" i="199"/>
  <c r="R52" i="199"/>
  <c r="X45" i="199"/>
  <c r="O7" i="92"/>
  <c r="N15" i="91"/>
  <c r="N17" i="91"/>
  <c r="K14" i="91"/>
  <c r="O8" i="48"/>
  <c r="AI7" i="4" s="1"/>
  <c r="P10" i="47"/>
  <c r="O36" i="48" s="1"/>
  <c r="AI31" i="4" s="1"/>
  <c r="O50" i="47"/>
  <c r="O51" i="47"/>
  <c r="L11" i="199"/>
  <c r="M9" i="200"/>
  <c r="M74" i="200" s="1"/>
  <c r="K62" i="199"/>
  <c r="K15" i="199"/>
  <c r="K16" i="199"/>
  <c r="M13" i="200" s="1"/>
  <c r="O10" i="116"/>
  <c r="CD8" i="4" s="1"/>
  <c r="P12" i="115"/>
  <c r="O11" i="116" s="1"/>
  <c r="P12" i="109"/>
  <c r="O11" i="110" s="1"/>
  <c r="O10" i="110"/>
  <c r="BX8" i="4" s="1"/>
  <c r="N12" i="149"/>
  <c r="N11" i="150" s="1"/>
  <c r="N10" i="150"/>
  <c r="M8" i="104"/>
  <c r="I7" i="4" s="1"/>
  <c r="K12" i="103"/>
  <c r="AD50" i="15"/>
  <c r="X50" i="15"/>
  <c r="O8" i="16"/>
  <c r="X47" i="43"/>
  <c r="Q38" i="212"/>
  <c r="Q40" i="212" s="1"/>
  <c r="P79" i="211"/>
  <c r="L10" i="109"/>
  <c r="M36" i="110" s="1"/>
  <c r="BV31" i="4" s="1"/>
  <c r="M8" i="110"/>
  <c r="BV7" i="4" s="1"/>
  <c r="U47" i="211"/>
  <c r="T47" i="211"/>
  <c r="K47" i="211"/>
  <c r="W47" i="211"/>
  <c r="V47" i="211"/>
  <c r="V46" i="213"/>
  <c r="T46" i="213"/>
  <c r="K46" i="213"/>
  <c r="U46" i="213"/>
  <c r="W46" i="213"/>
  <c r="W47" i="215"/>
  <c r="U47" i="215"/>
  <c r="K47" i="215"/>
  <c r="T47" i="215"/>
  <c r="V47" i="215"/>
  <c r="P12" i="191"/>
  <c r="O11" i="192" s="1"/>
  <c r="O10" i="192"/>
  <c r="CJ8" i="4" s="1"/>
  <c r="C8" i="155"/>
  <c r="X8" i="4"/>
  <c r="X49" i="15"/>
  <c r="AD49" i="15"/>
  <c r="N18" i="15"/>
  <c r="O9" i="16"/>
  <c r="N7" i="32"/>
  <c r="M17" i="31"/>
  <c r="M15" i="31"/>
  <c r="N8" i="32" s="1"/>
  <c r="K36" i="51"/>
  <c r="M38" i="102"/>
  <c r="M7" i="52"/>
  <c r="Q6" i="4" s="1"/>
  <c r="U51" i="73"/>
  <c r="O12" i="110"/>
  <c r="BX11" i="4" s="1"/>
  <c r="U45" i="145"/>
  <c r="R47" i="43"/>
  <c r="W51" i="31"/>
  <c r="R51" i="107"/>
  <c r="U52" i="163"/>
  <c r="U45" i="107"/>
  <c r="T46" i="159"/>
  <c r="R38" i="212"/>
  <c r="R40" i="212" s="1"/>
  <c r="Q79" i="211"/>
  <c r="O18" i="91"/>
  <c r="P9" i="92"/>
  <c r="O22" i="91"/>
  <c r="P12" i="92" s="1"/>
  <c r="O23" i="91"/>
  <c r="P13" i="92" s="1"/>
  <c r="U47" i="207"/>
  <c r="K47" i="207"/>
  <c r="W47" i="207"/>
  <c r="T47" i="207"/>
  <c r="V47" i="207"/>
  <c r="U46" i="211"/>
  <c r="T46" i="211"/>
  <c r="K46" i="211"/>
  <c r="V46" i="211"/>
  <c r="W46" i="211"/>
  <c r="V48" i="213"/>
  <c r="U48" i="213"/>
  <c r="W48" i="213"/>
  <c r="T48" i="213"/>
  <c r="K48" i="213"/>
  <c r="L12" i="195"/>
  <c r="M11" i="196" s="1"/>
  <c r="M10" i="196"/>
  <c r="P18" i="15"/>
  <c r="Q10" i="16" s="1"/>
  <c r="P23" i="15"/>
  <c r="Q13" i="16" s="1"/>
  <c r="Q9" i="16"/>
  <c r="P22" i="15"/>
  <c r="Q12" i="16" s="1"/>
  <c r="O15" i="69"/>
  <c r="O9" i="70"/>
  <c r="BA9" i="4" s="1"/>
  <c r="O16" i="69"/>
  <c r="O13" i="70" s="1"/>
  <c r="BA12" i="4" s="1"/>
  <c r="P11" i="69"/>
  <c r="O62" i="69"/>
  <c r="Q62" i="51"/>
  <c r="R8" i="52"/>
  <c r="Q16" i="51"/>
  <c r="P12" i="107"/>
  <c r="O11" i="108" s="1"/>
  <c r="R45" i="145"/>
  <c r="V51" i="31"/>
  <c r="U46" i="49"/>
  <c r="U45" i="193"/>
  <c r="U45" i="179"/>
  <c r="P7" i="164"/>
  <c r="O15" i="163"/>
  <c r="O17" i="163"/>
  <c r="K11" i="163"/>
  <c r="K10" i="163"/>
  <c r="W66" i="163" s="1"/>
  <c r="N9" i="59"/>
  <c r="K21" i="58"/>
  <c r="K17" i="58"/>
  <c r="M9" i="59" s="1"/>
  <c r="R9" i="4" s="1"/>
  <c r="M23" i="58"/>
  <c r="K20" i="58"/>
  <c r="M8" i="200"/>
  <c r="L10" i="199"/>
  <c r="M36" i="200" s="1"/>
  <c r="N22" i="49"/>
  <c r="O12" i="50" s="1"/>
  <c r="O9" i="50"/>
  <c r="N18" i="49"/>
  <c r="N23" i="49"/>
  <c r="K17" i="49"/>
  <c r="N77" i="23"/>
  <c r="O37" i="24"/>
  <c r="U48" i="211"/>
  <c r="V48" i="211"/>
  <c r="T48" i="211"/>
  <c r="W48" i="211"/>
  <c r="K48" i="211"/>
  <c r="W49" i="215"/>
  <c r="T49" i="215"/>
  <c r="V49" i="215"/>
  <c r="U49" i="215"/>
  <c r="K49" i="215"/>
  <c r="K66" i="69"/>
  <c r="L65" i="69" s="1"/>
  <c r="M22" i="70" s="1"/>
  <c r="AY20" i="4" s="1"/>
  <c r="M12" i="70"/>
  <c r="AY11" i="4" s="1"/>
  <c r="P19" i="23"/>
  <c r="Q11" i="24" s="1"/>
  <c r="Q10" i="24"/>
  <c r="K16" i="145"/>
  <c r="M13" i="146" s="1"/>
  <c r="M9" i="146"/>
  <c r="K15" i="145"/>
  <c r="N22" i="19"/>
  <c r="O12" i="20" s="1"/>
  <c r="N18" i="19"/>
  <c r="N49" i="19" s="1"/>
  <c r="O9" i="20"/>
  <c r="N23" i="19"/>
  <c r="O13" i="20" s="1"/>
  <c r="N17" i="159"/>
  <c r="O7" i="160"/>
  <c r="N15" i="159"/>
  <c r="K14" i="159"/>
  <c r="K11" i="159" s="1"/>
  <c r="K13" i="23"/>
  <c r="R33" i="164"/>
  <c r="K13" i="19"/>
  <c r="K11" i="51"/>
  <c r="M10" i="146"/>
  <c r="T51" i="31"/>
  <c r="X46" i="145"/>
  <c r="K46" i="159"/>
  <c r="T46" i="49"/>
  <c r="R45" i="179"/>
  <c r="K47" i="163"/>
  <c r="X45" i="193"/>
  <c r="N16" i="49"/>
  <c r="O8" i="50"/>
  <c r="N52" i="49"/>
  <c r="J52" i="49" s="1"/>
  <c r="K15" i="49"/>
  <c r="N61" i="49"/>
  <c r="J61" i="49" s="1"/>
  <c r="K66" i="67"/>
  <c r="L65" i="67" s="1"/>
  <c r="M22" i="68" s="1"/>
  <c r="AS20" i="4" s="1"/>
  <c r="M12" i="68"/>
  <c r="AS11" i="4" s="1"/>
  <c r="U48" i="209"/>
  <c r="K48" i="209"/>
  <c r="V48" i="209"/>
  <c r="X48" i="209"/>
  <c r="T48" i="209"/>
  <c r="W48" i="209"/>
  <c r="U47" i="209"/>
  <c r="V47" i="209"/>
  <c r="K47" i="209"/>
  <c r="X47" i="209"/>
  <c r="T47" i="209"/>
  <c r="W47" i="209"/>
  <c r="V47" i="213"/>
  <c r="W47" i="213"/>
  <c r="U47" i="213"/>
  <c r="K47" i="213"/>
  <c r="T47" i="213"/>
  <c r="W46" i="215"/>
  <c r="V46" i="215"/>
  <c r="K46" i="215"/>
  <c r="U46" i="215"/>
  <c r="T46" i="215"/>
  <c r="L12" i="69"/>
  <c r="M11" i="70" s="1"/>
  <c r="M10" i="70"/>
  <c r="AY8" i="4" s="1"/>
  <c r="N12" i="87"/>
  <c r="N11" i="88" s="1"/>
  <c r="N10" i="88"/>
  <c r="BC8" i="4" s="1"/>
  <c r="M10" i="54"/>
  <c r="W8" i="4" s="1"/>
  <c r="L12" i="53"/>
  <c r="M11" i="54" s="1"/>
  <c r="O66" i="153"/>
  <c r="P65" i="153" s="1"/>
  <c r="O22" i="154" s="1"/>
  <c r="O12" i="154"/>
  <c r="X47" i="115"/>
  <c r="R52" i="85"/>
  <c r="R65" i="164"/>
  <c r="R53" i="164"/>
  <c r="X53" i="119"/>
  <c r="X47" i="111"/>
  <c r="R45" i="199"/>
  <c r="P10" i="157"/>
  <c r="O36" i="158" s="1"/>
  <c r="AB31" i="4" s="1"/>
  <c r="O8" i="158"/>
  <c r="AB7" i="4" s="1"/>
  <c r="O51" i="157"/>
  <c r="Y51" i="157" s="1"/>
  <c r="O52" i="157"/>
  <c r="Y52" i="157" s="1"/>
  <c r="U46" i="209"/>
  <c r="W46" i="209"/>
  <c r="V46" i="209"/>
  <c r="X46" i="209"/>
  <c r="K46" i="209"/>
  <c r="T46" i="209"/>
  <c r="U49" i="211"/>
  <c r="V49" i="211"/>
  <c r="K49" i="211"/>
  <c r="T49" i="211"/>
  <c r="W49" i="211"/>
  <c r="V49" i="213"/>
  <c r="U49" i="213"/>
  <c r="W49" i="213"/>
  <c r="T49" i="213"/>
  <c r="K49" i="213"/>
  <c r="W48" i="215"/>
  <c r="V48" i="215"/>
  <c r="U48" i="215"/>
  <c r="T48" i="215"/>
  <c r="K48" i="215"/>
  <c r="M12" i="54"/>
  <c r="W11" i="4" s="1"/>
  <c r="K66" i="53"/>
  <c r="L65" i="53" s="1"/>
  <c r="M22" i="54" s="1"/>
  <c r="D28" i="58"/>
  <c r="N35" i="14"/>
  <c r="I20" i="13"/>
  <c r="L67" i="15"/>
  <c r="M23" i="16" s="1"/>
  <c r="F20" i="4" s="1"/>
  <c r="D20" i="89"/>
  <c r="K20" i="102"/>
  <c r="O57" i="65"/>
  <c r="O58" i="65" s="1"/>
  <c r="P36" i="66" s="1"/>
  <c r="L67" i="19"/>
  <c r="M23" i="20" s="1"/>
  <c r="G20" i="4" s="1"/>
  <c r="L67" i="25"/>
  <c r="M23" i="26" s="1"/>
  <c r="P20" i="4" s="1"/>
  <c r="K16" i="102"/>
  <c r="K79" i="31"/>
  <c r="L67" i="159"/>
  <c r="M23" i="160" s="1"/>
  <c r="BK20" i="4" s="1"/>
  <c r="L67" i="49"/>
  <c r="M23" i="50" s="1"/>
  <c r="O20" i="4" s="1"/>
  <c r="M40" i="32"/>
  <c r="S33" i="4" s="1"/>
  <c r="K79" i="17"/>
  <c r="K79" i="19"/>
  <c r="M40" i="59"/>
  <c r="R33" i="4" s="1"/>
  <c r="M40" i="20"/>
  <c r="G33" i="4" s="1"/>
  <c r="L67" i="17"/>
  <c r="M23" i="18" s="1"/>
  <c r="E20" i="4" s="1"/>
  <c r="L67" i="51"/>
  <c r="M23" i="52" s="1"/>
  <c r="Q20" i="4" s="1"/>
  <c r="L67" i="81"/>
  <c r="M23" i="82" s="1"/>
  <c r="N20" i="4" s="1"/>
  <c r="L67" i="65"/>
  <c r="M23" i="66" s="1"/>
  <c r="M40" i="18"/>
  <c r="E33" i="4" s="1"/>
  <c r="N42" i="14"/>
  <c r="N51" i="14"/>
  <c r="N41" i="14"/>
  <c r="N40" i="14"/>
  <c r="N43" i="14"/>
  <c r="N36" i="14"/>
  <c r="N37" i="14"/>
  <c r="N31" i="14"/>
  <c r="N60" i="14"/>
  <c r="N59" i="14"/>
  <c r="N71" i="14"/>
  <c r="N29" i="14"/>
  <c r="N33" i="14"/>
  <c r="N27" i="14"/>
  <c r="N28" i="14"/>
  <c r="N34" i="14"/>
  <c r="I22" i="13"/>
  <c r="L22" i="13" s="1"/>
  <c r="H20" i="43"/>
  <c r="AC54" i="213"/>
  <c r="AB51" i="211"/>
  <c r="AC53" i="215"/>
  <c r="AC54" i="215"/>
  <c r="J52" i="103"/>
  <c r="J53" i="103"/>
  <c r="N18" i="21"/>
  <c r="O9" i="22"/>
  <c r="N22" i="21"/>
  <c r="N23" i="21"/>
  <c r="K17" i="21"/>
  <c r="M9" i="22" s="1"/>
  <c r="K9" i="4" s="1"/>
  <c r="O77" i="21"/>
  <c r="P37" i="22"/>
  <c r="K10" i="21"/>
  <c r="W66" i="21" s="1"/>
  <c r="K36" i="21"/>
  <c r="K38" i="21"/>
  <c r="M7" i="22"/>
  <c r="K6" i="4" s="1"/>
  <c r="K39" i="21"/>
  <c r="N16" i="21"/>
  <c r="O8" i="22"/>
  <c r="K15" i="21"/>
  <c r="M8" i="22" s="1"/>
  <c r="K7" i="4" s="1"/>
  <c r="K77" i="103"/>
  <c r="M37" i="104"/>
  <c r="I31" i="4" s="1"/>
  <c r="P22" i="17"/>
  <c r="P23" i="17"/>
  <c r="Q9" i="18"/>
  <c r="K17" i="17"/>
  <c r="M7" i="16"/>
  <c r="F6" i="4" s="1"/>
  <c r="K36" i="15"/>
  <c r="K38" i="15"/>
  <c r="K39" i="15"/>
  <c r="K11" i="15"/>
  <c r="Y44" i="12"/>
  <c r="M37" i="210"/>
  <c r="M31" i="4" s="1"/>
  <c r="K77" i="209"/>
  <c r="K19" i="209"/>
  <c r="M11" i="210" s="1"/>
  <c r="M37" i="208"/>
  <c r="L31" i="4" s="1"/>
  <c r="K77" i="207"/>
  <c r="K19" i="207"/>
  <c r="M11" i="208" s="1"/>
  <c r="M38" i="68"/>
  <c r="AS33" i="4" s="1"/>
  <c r="O38" i="68"/>
  <c r="AU33" i="4" s="1"/>
  <c r="N38" i="68"/>
  <c r="AT33" i="4" s="1"/>
  <c r="O66" i="195"/>
  <c r="P65" i="195" s="1"/>
  <c r="O22" i="196" s="1"/>
  <c r="O12" i="196"/>
  <c r="N12" i="194"/>
  <c r="M66" i="193"/>
  <c r="N65" i="193" s="1"/>
  <c r="N22" i="194" s="1"/>
  <c r="CJ9" i="4"/>
  <c r="O74" i="192"/>
  <c r="L11" i="191"/>
  <c r="K15" i="191"/>
  <c r="K16" i="191"/>
  <c r="M13" i="192" s="1"/>
  <c r="CH12" i="4" s="1"/>
  <c r="K62" i="191"/>
  <c r="N12" i="179"/>
  <c r="N11" i="180" s="1"/>
  <c r="N10" i="180"/>
  <c r="O12" i="120"/>
  <c r="O66" i="119"/>
  <c r="P65" i="119" s="1"/>
  <c r="O22" i="120" s="1"/>
  <c r="N10" i="110"/>
  <c r="BW8" i="4" s="1"/>
  <c r="N12" i="109"/>
  <c r="N11" i="110" s="1"/>
  <c r="K66" i="109"/>
  <c r="L65" i="109" s="1"/>
  <c r="M22" i="110" s="1"/>
  <c r="M12" i="110"/>
  <c r="BV11" i="4" s="1"/>
  <c r="O12" i="118"/>
  <c r="O66" i="117"/>
  <c r="P65" i="117" s="1"/>
  <c r="O22" i="118" s="1"/>
  <c r="X51" i="117"/>
  <c r="Y51" i="117"/>
  <c r="X52" i="117"/>
  <c r="Y52" i="117"/>
  <c r="CA6" i="4"/>
  <c r="CG6" i="4"/>
  <c r="CA11" i="4"/>
  <c r="CG11" i="4"/>
  <c r="N10" i="111"/>
  <c r="N36" i="112" s="1"/>
  <c r="N8" i="112"/>
  <c r="M51" i="111"/>
  <c r="M50" i="111"/>
  <c r="N11" i="111"/>
  <c r="N9" i="112"/>
  <c r="M16" i="111"/>
  <c r="N13" i="112" s="1"/>
  <c r="M62" i="111"/>
  <c r="M15" i="111"/>
  <c r="O66" i="145"/>
  <c r="P65" i="145" s="1"/>
  <c r="O22" i="146" s="1"/>
  <c r="O12" i="146"/>
  <c r="O12" i="108"/>
  <c r="BU11" i="4" s="1"/>
  <c r="O66" i="107"/>
  <c r="P65" i="107" s="1"/>
  <c r="O22" i="108" s="1"/>
  <c r="K66" i="107"/>
  <c r="L65" i="107" s="1"/>
  <c r="M22" i="108" s="1"/>
  <c r="M12" i="108"/>
  <c r="BS11" i="4" s="1"/>
  <c r="L12" i="147"/>
  <c r="M11" i="148" s="1"/>
  <c r="M10" i="148"/>
  <c r="O12" i="114"/>
  <c r="BR11" i="4" s="1"/>
  <c r="O66" i="113"/>
  <c r="P65" i="113" s="1"/>
  <c r="O22" i="114" s="1"/>
  <c r="O74" i="114"/>
  <c r="BR9" i="4"/>
  <c r="P12" i="113"/>
  <c r="O11" i="114" s="1"/>
  <c r="O10" i="114"/>
  <c r="BR8" i="4" s="1"/>
  <c r="M19" i="91"/>
  <c r="N11" i="92" s="1"/>
  <c r="K12" i="65"/>
  <c r="K13" i="65"/>
  <c r="O10" i="164"/>
  <c r="N19" i="163"/>
  <c r="L12" i="181"/>
  <c r="M11" i="182" s="1"/>
  <c r="M10" i="182"/>
  <c r="M38" i="78"/>
  <c r="BE33" i="4" s="1"/>
  <c r="N38" i="78"/>
  <c r="BF33" i="4" s="1"/>
  <c r="S50" i="187"/>
  <c r="R50" i="187"/>
  <c r="S51" i="187"/>
  <c r="R51" i="187"/>
  <c r="O9" i="88"/>
  <c r="BD9" i="4" s="1"/>
  <c r="P11" i="87"/>
  <c r="O16" i="87"/>
  <c r="O13" i="88" s="1"/>
  <c r="BD12" i="4" s="1"/>
  <c r="O15" i="87"/>
  <c r="O62" i="87"/>
  <c r="L11" i="87"/>
  <c r="M9" i="88"/>
  <c r="BB9" i="4" s="1"/>
  <c r="K15" i="87"/>
  <c r="K62" i="87"/>
  <c r="K16" i="87"/>
  <c r="M13" i="88" s="1"/>
  <c r="BB12" i="4" s="1"/>
  <c r="P8" i="102"/>
  <c r="P9" i="102" s="1"/>
  <c r="M12" i="86"/>
  <c r="AV11" i="4" s="1"/>
  <c r="K66" i="85"/>
  <c r="L65" i="85" s="1"/>
  <c r="M22" i="86" s="1"/>
  <c r="K12" i="102"/>
  <c r="K18" i="102"/>
  <c r="L14" i="102"/>
  <c r="L15" i="102" s="1"/>
  <c r="L18" i="102"/>
  <c r="L16" i="102"/>
  <c r="L17" i="102" s="1"/>
  <c r="K14" i="102"/>
  <c r="O12" i="68"/>
  <c r="AU11" i="4" s="1"/>
  <c r="O66" i="67"/>
  <c r="P65" i="67" s="1"/>
  <c r="O22" i="68" s="1"/>
  <c r="AU20" i="4" s="1"/>
  <c r="M66" i="67"/>
  <c r="N65" i="67" s="1"/>
  <c r="N22" i="68" s="1"/>
  <c r="AT20" i="4" s="1"/>
  <c r="N12" i="68"/>
  <c r="AT11" i="4" s="1"/>
  <c r="L12" i="67"/>
  <c r="M11" i="68" s="1"/>
  <c r="M10" i="68"/>
  <c r="AS8" i="4" s="1"/>
  <c r="M12" i="72"/>
  <c r="AJ11" i="4" s="1"/>
  <c r="K66" i="71"/>
  <c r="L65" i="71" s="1"/>
  <c r="M22" i="72" s="1"/>
  <c r="P11" i="36"/>
  <c r="K19" i="35"/>
  <c r="M11" i="36" s="1"/>
  <c r="O37" i="36"/>
  <c r="K16" i="35"/>
  <c r="N77" i="35"/>
  <c r="N22" i="51"/>
  <c r="O9" i="52"/>
  <c r="N18" i="51"/>
  <c r="N51" i="51" s="1"/>
  <c r="M8" i="52"/>
  <c r="Q7" i="4" s="1"/>
  <c r="K13" i="51"/>
  <c r="O19" i="25"/>
  <c r="P11" i="26" s="1"/>
  <c r="P10" i="26"/>
  <c r="K12" i="25"/>
  <c r="O37" i="26"/>
  <c r="K16" i="25"/>
  <c r="N77" i="25"/>
  <c r="O9" i="26"/>
  <c r="N23" i="25"/>
  <c r="N18" i="25"/>
  <c r="N22" i="25"/>
  <c r="K17" i="25"/>
  <c r="M9" i="26" s="1"/>
  <c r="P9" i="4" s="1"/>
  <c r="J61" i="25"/>
  <c r="M19" i="49"/>
  <c r="N10" i="50"/>
  <c r="K18" i="49"/>
  <c r="M10" i="50" s="1"/>
  <c r="O8" i="4" s="1"/>
  <c r="K23" i="23"/>
  <c r="M13" i="24" s="1"/>
  <c r="J12" i="4" s="1"/>
  <c r="Q37" i="24"/>
  <c r="P77" i="23"/>
  <c r="K12" i="23"/>
  <c r="M77" i="23"/>
  <c r="N37" i="24"/>
  <c r="K16" i="23"/>
  <c r="P10" i="22"/>
  <c r="O19" i="21"/>
  <c r="M19" i="103"/>
  <c r="N10" i="104"/>
  <c r="K10" i="19"/>
  <c r="W66" i="19" s="1"/>
  <c r="K36" i="19"/>
  <c r="M7" i="20"/>
  <c r="G6" i="4" s="1"/>
  <c r="K37" i="19"/>
  <c r="K11" i="19"/>
  <c r="K39" i="19"/>
  <c r="M9" i="16"/>
  <c r="F9" i="4" s="1"/>
  <c r="K20" i="15"/>
  <c r="N8" i="16"/>
  <c r="K15" i="15"/>
  <c r="M8" i="16" s="1"/>
  <c r="F7" i="4" s="1"/>
  <c r="K11" i="17"/>
  <c r="K36" i="17"/>
  <c r="K38" i="17"/>
  <c r="N10" i="18"/>
  <c r="Q43" i="32"/>
  <c r="L12" i="187"/>
  <c r="M11" i="188" s="1"/>
  <c r="M10" i="188"/>
  <c r="O66" i="187"/>
  <c r="P65" i="187" s="1"/>
  <c r="O22" i="188" s="1"/>
  <c r="O12" i="188"/>
  <c r="R12" i="50"/>
  <c r="K22" i="49"/>
  <c r="M12" i="50" s="1"/>
  <c r="N12" i="72"/>
  <c r="D11" i="155"/>
  <c r="M66" i="71"/>
  <c r="N65" i="71" s="1"/>
  <c r="N22" i="72" s="1"/>
  <c r="CE9" i="4"/>
  <c r="BY9" i="4"/>
  <c r="P10" i="20"/>
  <c r="R62" i="104"/>
  <c r="R66" i="104"/>
  <c r="R34" i="104"/>
  <c r="O13" i="66"/>
  <c r="K23" i="65"/>
  <c r="M13" i="66" s="1"/>
  <c r="N10" i="59"/>
  <c r="K18" i="58"/>
  <c r="M10" i="59" s="1"/>
  <c r="CA31" i="4"/>
  <c r="CG31" i="4"/>
  <c r="BI9" i="4"/>
  <c r="N12" i="113"/>
  <c r="N11" i="114" s="1"/>
  <c r="N10" i="114"/>
  <c r="N77" i="56"/>
  <c r="O37" i="57"/>
  <c r="K20" i="51"/>
  <c r="M9" i="52"/>
  <c r="Q9" i="4" s="1"/>
  <c r="K21" i="51"/>
  <c r="CJ11" i="4"/>
  <c r="L13" i="102"/>
  <c r="N19" i="102"/>
  <c r="N21" i="102"/>
  <c r="N23" i="102" s="1"/>
  <c r="N24" i="102" s="1"/>
  <c r="O13" i="16"/>
  <c r="K23" i="15"/>
  <c r="M13" i="16" s="1"/>
  <c r="C41" i="203"/>
  <c r="D27" i="15" s="1"/>
  <c r="L25" i="19"/>
  <c r="D22" i="181"/>
  <c r="L25" i="35"/>
  <c r="D27" i="21"/>
  <c r="D22" i="77"/>
  <c r="L25" i="51"/>
  <c r="D21" i="181"/>
  <c r="D28" i="25"/>
  <c r="I21" i="77"/>
  <c r="N21" i="77" s="1"/>
  <c r="N16" i="78" s="1"/>
  <c r="D28" i="35"/>
  <c r="I22" i="181"/>
  <c r="P22" i="181" s="1"/>
  <c r="O16" i="182" s="1"/>
  <c r="D29" i="49"/>
  <c r="D27" i="19"/>
  <c r="I21" i="181"/>
  <c r="N21" i="181" s="1"/>
  <c r="N16" i="182" s="1"/>
  <c r="D20" i="181"/>
  <c r="I20" i="77"/>
  <c r="L20" i="77" s="1"/>
  <c r="M16" i="78" s="1"/>
  <c r="CH9" i="4"/>
  <c r="M74" i="192"/>
  <c r="R7" i="36"/>
  <c r="Q17" i="35"/>
  <c r="Q15" i="35"/>
  <c r="K14" i="35"/>
  <c r="K11" i="35" s="1"/>
  <c r="CH6" i="4"/>
  <c r="M72" i="192"/>
  <c r="P17" i="31"/>
  <c r="P15" i="31"/>
  <c r="Q7" i="32"/>
  <c r="K14" i="31"/>
  <c r="K11" i="31" s="1"/>
  <c r="M12" i="48"/>
  <c r="K66" i="47"/>
  <c r="L65" i="47" s="1"/>
  <c r="M22" i="48" s="1"/>
  <c r="M74" i="202"/>
  <c r="M12" i="112"/>
  <c r="K66" i="111"/>
  <c r="L65" i="111" s="1"/>
  <c r="M22" i="112" s="1"/>
  <c r="O52" i="91"/>
  <c r="O16" i="91"/>
  <c r="O53" i="91"/>
  <c r="R12" i="104"/>
  <c r="K22" i="103"/>
  <c r="M12" i="104" s="1"/>
  <c r="N19" i="65"/>
  <c r="O10" i="66"/>
  <c r="K18" i="65"/>
  <c r="M10" i="66" s="1"/>
  <c r="N12" i="59"/>
  <c r="K22" i="58"/>
  <c r="M12" i="59" s="1"/>
  <c r="Q9" i="57"/>
  <c r="P23" i="56"/>
  <c r="P22" i="56"/>
  <c r="Q12" i="57" s="1"/>
  <c r="R34" i="32"/>
  <c r="R66" i="32"/>
  <c r="R62" i="32"/>
  <c r="L12" i="119"/>
  <c r="M11" i="120" s="1"/>
  <c r="M10" i="120"/>
  <c r="M66" i="145"/>
  <c r="N65" i="145" s="1"/>
  <c r="N22" i="146" s="1"/>
  <c r="N12" i="146"/>
  <c r="C59" i="82"/>
  <c r="C60" i="82" s="1"/>
  <c r="C61" i="82"/>
  <c r="C62" i="82" s="1"/>
  <c r="C63" i="82" s="1"/>
  <c r="C64" i="82" s="1"/>
  <c r="C65" i="82" s="1"/>
  <c r="C66" i="82" s="1"/>
  <c r="C68" i="82" s="1"/>
  <c r="C69" i="82" s="1"/>
  <c r="C70" i="82" s="1"/>
  <c r="C71" i="82" s="1"/>
  <c r="N12" i="114"/>
  <c r="M66" i="113"/>
  <c r="N65" i="113" s="1"/>
  <c r="N22" i="114" s="1"/>
  <c r="BW31" i="4"/>
  <c r="J62" i="51"/>
  <c r="M77" i="49"/>
  <c r="K16" i="49"/>
  <c r="N37" i="50"/>
  <c r="O13" i="52"/>
  <c r="K23" i="51"/>
  <c r="M13" i="52" s="1"/>
  <c r="AM11" i="4"/>
  <c r="L19" i="102"/>
  <c r="L21" i="102"/>
  <c r="L23" i="102" s="1"/>
  <c r="L24" i="102" s="1"/>
  <c r="N15" i="102"/>
  <c r="N13" i="102"/>
  <c r="N17" i="102"/>
  <c r="D53" i="163"/>
  <c r="D53" i="91"/>
  <c r="O12" i="16"/>
  <c r="K22" i="15"/>
  <c r="M12" i="16" s="1"/>
  <c r="K23" i="103"/>
  <c r="M13" i="104" s="1"/>
  <c r="M57" i="65" l="1"/>
  <c r="M58" i="65" s="1"/>
  <c r="N36" i="66" s="1"/>
  <c r="J51" i="51"/>
  <c r="K18" i="19"/>
  <c r="M10" i="20" s="1"/>
  <c r="G8" i="4" s="1"/>
  <c r="P9" i="18"/>
  <c r="O22" i="17"/>
  <c r="P12" i="18" s="1"/>
  <c r="O23" i="17"/>
  <c r="P13" i="18" s="1"/>
  <c r="O18" i="17"/>
  <c r="K39" i="17"/>
  <c r="P8" i="18"/>
  <c r="K15" i="17"/>
  <c r="K37" i="17"/>
  <c r="R33" i="18"/>
  <c r="R50" i="18"/>
  <c r="R53" i="18"/>
  <c r="R59" i="18"/>
  <c r="R60" i="18" s="1"/>
  <c r="R61" i="18"/>
  <c r="R65" i="18"/>
  <c r="K10" i="17"/>
  <c r="W66" i="17" s="1"/>
  <c r="O10" i="18"/>
  <c r="N50" i="17"/>
  <c r="R66" i="18"/>
  <c r="R62" i="18"/>
  <c r="R34" i="18"/>
  <c r="K39" i="81"/>
  <c r="K37" i="81"/>
  <c r="K36" i="81"/>
  <c r="M7" i="82"/>
  <c r="N6" i="4" s="1"/>
  <c r="K38" i="81"/>
  <c r="K11" i="81"/>
  <c r="K10" i="81"/>
  <c r="W66" i="81" s="1"/>
  <c r="O8" i="82"/>
  <c r="K15" i="81"/>
  <c r="K13" i="81"/>
  <c r="N18" i="81"/>
  <c r="K17" i="81"/>
  <c r="N23" i="81"/>
  <c r="O9" i="82"/>
  <c r="N22" i="81"/>
  <c r="O19" i="56"/>
  <c r="P11" i="57" s="1"/>
  <c r="P10" i="57"/>
  <c r="K11" i="56"/>
  <c r="K15" i="56"/>
  <c r="M8" i="57" s="1"/>
  <c r="H7" i="4" s="1"/>
  <c r="M53" i="56"/>
  <c r="J53" i="56" s="1"/>
  <c r="M16" i="56"/>
  <c r="N8" i="57"/>
  <c r="M52" i="56"/>
  <c r="J52" i="56" s="1"/>
  <c r="M18" i="56"/>
  <c r="M23" i="56"/>
  <c r="N13" i="57" s="1"/>
  <c r="M22" i="56"/>
  <c r="N12" i="57" s="1"/>
  <c r="N9" i="57"/>
  <c r="K39" i="56"/>
  <c r="K38" i="56"/>
  <c r="M7" i="57"/>
  <c r="H6" i="4" s="1"/>
  <c r="K36" i="56"/>
  <c r="K37" i="56"/>
  <c r="M22" i="21"/>
  <c r="N12" i="22" s="1"/>
  <c r="N9" i="22"/>
  <c r="M23" i="21"/>
  <c r="N13" i="22" s="1"/>
  <c r="M18" i="21"/>
  <c r="N8" i="22"/>
  <c r="M16" i="21"/>
  <c r="M56" i="189"/>
  <c r="M57" i="189" s="1"/>
  <c r="N35" i="190" s="1"/>
  <c r="K56" i="189"/>
  <c r="K57" i="189" s="1"/>
  <c r="M35" i="190" s="1"/>
  <c r="M56" i="149"/>
  <c r="M57" i="149" s="1"/>
  <c r="N35" i="150" s="1"/>
  <c r="K56" i="47"/>
  <c r="K57" i="47" s="1"/>
  <c r="M35" i="48" s="1"/>
  <c r="M56" i="69"/>
  <c r="M57" i="69" s="1"/>
  <c r="N35" i="70" s="1"/>
  <c r="AZ30" i="4" s="1"/>
  <c r="O56" i="109"/>
  <c r="O57" i="109" s="1"/>
  <c r="O35" i="110" s="1"/>
  <c r="BX30" i="4" s="1"/>
  <c r="M56" i="153"/>
  <c r="M57" i="153" s="1"/>
  <c r="N35" i="154" s="1"/>
  <c r="O56" i="189"/>
  <c r="O57" i="189" s="1"/>
  <c r="O35" i="190" s="1"/>
  <c r="M56" i="77"/>
  <c r="M57" i="77" s="1"/>
  <c r="N35" i="78" s="1"/>
  <c r="BF30" i="4" s="1"/>
  <c r="G49" i="25"/>
  <c r="G49" i="49"/>
  <c r="H49" i="49"/>
  <c r="H49" i="25"/>
  <c r="H49" i="19"/>
  <c r="M56" i="151"/>
  <c r="M57" i="151" s="1"/>
  <c r="N35" i="152" s="1"/>
  <c r="K56" i="69"/>
  <c r="K57" i="69" s="1"/>
  <c r="M35" i="70" s="1"/>
  <c r="AY30" i="4" s="1"/>
  <c r="O56" i="153"/>
  <c r="O57" i="153" s="1"/>
  <c r="O35" i="154" s="1"/>
  <c r="O56" i="77"/>
  <c r="O57" i="77" s="1"/>
  <c r="O35" i="78" s="1"/>
  <c r="BG30" i="4" s="1"/>
  <c r="K56" i="151"/>
  <c r="K57" i="151" s="1"/>
  <c r="M35" i="152" s="1"/>
  <c r="O56" i="69"/>
  <c r="O57" i="69" s="1"/>
  <c r="O35" i="70" s="1"/>
  <c r="BA30" i="4" s="1"/>
  <c r="M56" i="113"/>
  <c r="M57" i="113" s="1"/>
  <c r="N35" i="114" s="1"/>
  <c r="M57" i="159"/>
  <c r="M58" i="159" s="1"/>
  <c r="N36" i="160" s="1"/>
  <c r="O56" i="195"/>
  <c r="O57" i="195" s="1"/>
  <c r="O35" i="196" s="1"/>
  <c r="M25" i="51"/>
  <c r="Q25" i="51"/>
  <c r="P25" i="51"/>
  <c r="O25" i="51"/>
  <c r="X30" i="52" s="1"/>
  <c r="N25" i="51"/>
  <c r="M25" i="19"/>
  <c r="O25" i="19"/>
  <c r="N25" i="19"/>
  <c r="W30" i="20" s="1"/>
  <c r="Q25" i="19"/>
  <c r="P25" i="19"/>
  <c r="Y30" i="20" s="1"/>
  <c r="O56" i="107"/>
  <c r="O57" i="107" s="1"/>
  <c r="O35" i="108" s="1"/>
  <c r="BU30" i="4" s="1"/>
  <c r="K56" i="195"/>
  <c r="K57" i="195" s="1"/>
  <c r="M35" i="196" s="1"/>
  <c r="M56" i="117"/>
  <c r="M57" i="117" s="1"/>
  <c r="N35" i="118" s="1"/>
  <c r="K56" i="147"/>
  <c r="K57" i="147" s="1"/>
  <c r="M35" i="148" s="1"/>
  <c r="M56" i="47"/>
  <c r="M57" i="47" s="1"/>
  <c r="N35" i="48" s="1"/>
  <c r="AH30" i="4" s="1"/>
  <c r="M56" i="147"/>
  <c r="M57" i="147" s="1"/>
  <c r="N35" i="148" s="1"/>
  <c r="K56" i="117"/>
  <c r="K57" i="117" s="1"/>
  <c r="M35" i="118" s="1"/>
  <c r="O56" i="145"/>
  <c r="O57" i="145" s="1"/>
  <c r="O35" i="146" s="1"/>
  <c r="M56" i="115"/>
  <c r="M57" i="115" s="1"/>
  <c r="N35" i="116" s="1"/>
  <c r="CC30" i="4" s="1"/>
  <c r="K56" i="119"/>
  <c r="K57" i="119" s="1"/>
  <c r="M35" i="120" s="1"/>
  <c r="K56" i="107"/>
  <c r="K57" i="107" s="1"/>
  <c r="M35" i="108" s="1"/>
  <c r="BS30" i="4" s="1"/>
  <c r="K56" i="153"/>
  <c r="K57" i="153" s="1"/>
  <c r="M35" i="154" s="1"/>
  <c r="O56" i="149"/>
  <c r="O57" i="149" s="1"/>
  <c r="O35" i="150" s="1"/>
  <c r="K57" i="199"/>
  <c r="M35" i="200" s="1"/>
  <c r="M56" i="107"/>
  <c r="M57" i="107" s="1"/>
  <c r="N35" i="108" s="1"/>
  <c r="BT30" i="4" s="1"/>
  <c r="M56" i="145"/>
  <c r="M57" i="145" s="1"/>
  <c r="N35" i="146" s="1"/>
  <c r="M56" i="67"/>
  <c r="M57" i="67" s="1"/>
  <c r="N35" i="68" s="1"/>
  <c r="K56" i="77"/>
  <c r="K57" i="77" s="1"/>
  <c r="M35" i="78" s="1"/>
  <c r="K56" i="149"/>
  <c r="K57" i="149" s="1"/>
  <c r="M35" i="150" s="1"/>
  <c r="K56" i="113"/>
  <c r="K57" i="113" s="1"/>
  <c r="M35" i="114" s="1"/>
  <c r="K56" i="67"/>
  <c r="K57" i="67" s="1"/>
  <c r="M35" i="68" s="1"/>
  <c r="K56" i="111"/>
  <c r="K57" i="111" s="1"/>
  <c r="M35" i="112" s="1"/>
  <c r="BY30" i="4" s="1"/>
  <c r="M56" i="109"/>
  <c r="M57" i="109" s="1"/>
  <c r="N35" i="110" s="1"/>
  <c r="BW30" i="4" s="1"/>
  <c r="K56" i="115"/>
  <c r="K57" i="115" s="1"/>
  <c r="M35" i="116" s="1"/>
  <c r="O56" i="119"/>
  <c r="O57" i="119" s="1"/>
  <c r="O35" i="120" s="1"/>
  <c r="M57" i="199"/>
  <c r="N35" i="200" s="1"/>
  <c r="M56" i="85"/>
  <c r="M57" i="85" s="1"/>
  <c r="N35" i="86" s="1"/>
  <c r="O56" i="113"/>
  <c r="O57" i="113" s="1"/>
  <c r="O35" i="114" s="1"/>
  <c r="O56" i="115"/>
  <c r="O57" i="115" s="1"/>
  <c r="O35" i="116" s="1"/>
  <c r="CD30" i="4" s="1"/>
  <c r="M56" i="199"/>
  <c r="O57" i="199"/>
  <c r="O35" i="200" s="1"/>
  <c r="K56" i="193"/>
  <c r="K57" i="193" s="1"/>
  <c r="M35" i="194" s="1"/>
  <c r="M56" i="119"/>
  <c r="M57" i="119" s="1"/>
  <c r="N35" i="120" s="1"/>
  <c r="K56" i="85"/>
  <c r="K57" i="85" s="1"/>
  <c r="M35" i="86" s="1"/>
  <c r="AV30" i="4" s="1"/>
  <c r="K56" i="145"/>
  <c r="K57" i="145" s="1"/>
  <c r="M35" i="146" s="1"/>
  <c r="M56" i="193"/>
  <c r="M57" i="193" s="1"/>
  <c r="N35" i="194" s="1"/>
  <c r="O56" i="199"/>
  <c r="O56" i="111"/>
  <c r="O57" i="111" s="1"/>
  <c r="O35" i="112" s="1"/>
  <c r="CA30" i="4" s="1"/>
  <c r="O56" i="85"/>
  <c r="O57" i="85" s="1"/>
  <c r="O35" i="86" s="1"/>
  <c r="AX30" i="4" s="1"/>
  <c r="Q57" i="15"/>
  <c r="Q58" i="15" s="1"/>
  <c r="R36" i="16" s="1"/>
  <c r="Q43" i="15"/>
  <c r="R24" i="16" s="1"/>
  <c r="O56" i="193"/>
  <c r="O57" i="193" s="1"/>
  <c r="O35" i="194" s="1"/>
  <c r="O8" i="160"/>
  <c r="K15" i="159"/>
  <c r="K13" i="159"/>
  <c r="P9" i="164"/>
  <c r="O22" i="163"/>
  <c r="O23" i="163"/>
  <c r="O18" i="163"/>
  <c r="K17" i="163"/>
  <c r="N12" i="20"/>
  <c r="K22" i="19"/>
  <c r="M12" i="20" s="1"/>
  <c r="G11" i="4" s="1"/>
  <c r="O53" i="163"/>
  <c r="J53" i="163" s="1"/>
  <c r="O16" i="163"/>
  <c r="P8" i="164"/>
  <c r="O52" i="163"/>
  <c r="K15" i="163"/>
  <c r="M8" i="164" s="1"/>
  <c r="BL7" i="4" s="1"/>
  <c r="K66" i="199"/>
  <c r="L65" i="199" s="1"/>
  <c r="M22" i="200" s="1"/>
  <c r="M12" i="200"/>
  <c r="K10" i="91"/>
  <c r="W66" i="91" s="1"/>
  <c r="M7" i="92"/>
  <c r="K39" i="91"/>
  <c r="K38" i="91"/>
  <c r="K37" i="91"/>
  <c r="K36" i="91"/>
  <c r="K11" i="91"/>
  <c r="N12" i="192"/>
  <c r="CI11" i="4" s="1"/>
  <c r="M66" i="191"/>
  <c r="N65" i="191" s="1"/>
  <c r="N22" i="192" s="1"/>
  <c r="C61" i="22"/>
  <c r="C62" i="22" s="1"/>
  <c r="C63" i="22" s="1"/>
  <c r="C64" i="22" s="1"/>
  <c r="C65" i="22" s="1"/>
  <c r="C66" i="22" s="1"/>
  <c r="C68" i="22" s="1"/>
  <c r="C69" i="22" s="1"/>
  <c r="C70" i="22" s="1"/>
  <c r="C71" i="22" s="1"/>
  <c r="C59" i="22"/>
  <c r="C60" i="22" s="1"/>
  <c r="N10" i="20"/>
  <c r="O12" i="70"/>
  <c r="BA11" i="4" s="1"/>
  <c r="O66" i="69"/>
  <c r="P65" i="69" s="1"/>
  <c r="O22" i="70" s="1"/>
  <c r="BA20" i="4" s="1"/>
  <c r="AN8" i="4"/>
  <c r="E8" i="155"/>
  <c r="K56" i="199"/>
  <c r="K13" i="49"/>
  <c r="M8" i="50"/>
  <c r="O7" i="4" s="1"/>
  <c r="O13" i="50"/>
  <c r="K23" i="49"/>
  <c r="M13" i="50" s="1"/>
  <c r="O12" i="4" s="1"/>
  <c r="Q77" i="51"/>
  <c r="R37" i="52"/>
  <c r="K16" i="51"/>
  <c r="P10" i="92"/>
  <c r="O19" i="91"/>
  <c r="P11" i="92" s="1"/>
  <c r="N16" i="91"/>
  <c r="O8" i="92"/>
  <c r="N52" i="91"/>
  <c r="U52" i="91" s="1"/>
  <c r="N53" i="91"/>
  <c r="S53" i="197"/>
  <c r="R53" i="197"/>
  <c r="N12" i="191"/>
  <c r="N11" i="192" s="1"/>
  <c r="N10" i="192"/>
  <c r="CI8" i="4" s="1"/>
  <c r="Q9" i="92"/>
  <c r="P18" i="91"/>
  <c r="P22" i="91"/>
  <c r="Q12" i="92" s="1"/>
  <c r="P23" i="91"/>
  <c r="Q13" i="92" s="1"/>
  <c r="R64" i="92"/>
  <c r="R57" i="92"/>
  <c r="O10" i="50"/>
  <c r="N19" i="49"/>
  <c r="O11" i="50" s="1"/>
  <c r="M22" i="31"/>
  <c r="N12" i="32" s="1"/>
  <c r="N9" i="32"/>
  <c r="M23" i="31"/>
  <c r="N13" i="32" s="1"/>
  <c r="M18" i="31"/>
  <c r="N10" i="32" s="1"/>
  <c r="M10" i="200"/>
  <c r="L12" i="199"/>
  <c r="M11" i="200" s="1"/>
  <c r="N11" i="24"/>
  <c r="K19" i="23"/>
  <c r="M11" i="24" s="1"/>
  <c r="S52" i="197"/>
  <c r="R52" i="197"/>
  <c r="N13" i="59"/>
  <c r="K23" i="58"/>
  <c r="M13" i="59" s="1"/>
  <c r="R12" i="4" s="1"/>
  <c r="Q22" i="91"/>
  <c r="R9" i="92"/>
  <c r="Q23" i="91"/>
  <c r="R13" i="92" s="1"/>
  <c r="D22" i="89"/>
  <c r="O10" i="20"/>
  <c r="Y51" i="47"/>
  <c r="X51" i="47"/>
  <c r="P12" i="47"/>
  <c r="O11" i="48" s="1"/>
  <c r="O10" i="48"/>
  <c r="AI8" i="4" s="1"/>
  <c r="M9" i="20"/>
  <c r="G9" i="4" s="1"/>
  <c r="K20" i="19"/>
  <c r="K21" i="19"/>
  <c r="K17" i="159"/>
  <c r="K20" i="159" s="1"/>
  <c r="N22" i="159"/>
  <c r="N23" i="159"/>
  <c r="N18" i="159"/>
  <c r="O9" i="160"/>
  <c r="M9" i="50"/>
  <c r="O9" i="4" s="1"/>
  <c r="K20" i="49"/>
  <c r="K21" i="49"/>
  <c r="O9" i="92"/>
  <c r="K17" i="91"/>
  <c r="N18" i="91"/>
  <c r="N23" i="91"/>
  <c r="K20" i="91"/>
  <c r="N22" i="91"/>
  <c r="P16" i="91"/>
  <c r="Q8" i="92"/>
  <c r="P52" i="91"/>
  <c r="W52" i="91" s="1"/>
  <c r="P53" i="91"/>
  <c r="H51" i="213"/>
  <c r="H51" i="209"/>
  <c r="H50" i="211"/>
  <c r="H49" i="207"/>
  <c r="H50" i="213"/>
  <c r="H50" i="215"/>
  <c r="H49" i="209"/>
  <c r="H52" i="215"/>
  <c r="H52" i="213"/>
  <c r="H50" i="207"/>
  <c r="H51" i="215"/>
  <c r="H51" i="207"/>
  <c r="H50" i="209"/>
  <c r="K15" i="91"/>
  <c r="M8" i="92" s="1"/>
  <c r="K12" i="49"/>
  <c r="S51" i="109"/>
  <c r="R51" i="109"/>
  <c r="Y50" i="47"/>
  <c r="X50" i="47"/>
  <c r="O66" i="47"/>
  <c r="P65" i="47" s="1"/>
  <c r="O22" i="48" s="1"/>
  <c r="O12" i="48"/>
  <c r="AI11" i="4" s="1"/>
  <c r="P12" i="157"/>
  <c r="O11" i="158" s="1"/>
  <c r="O10" i="158"/>
  <c r="AB8" i="4" s="1"/>
  <c r="O37" i="50"/>
  <c r="N77" i="49"/>
  <c r="K37" i="159"/>
  <c r="K39" i="159"/>
  <c r="M7" i="160"/>
  <c r="BK6" i="4" s="1"/>
  <c r="K38" i="159"/>
  <c r="K36" i="159"/>
  <c r="K10" i="159"/>
  <c r="W66" i="159" s="1"/>
  <c r="K66" i="145"/>
  <c r="L65" i="145" s="1"/>
  <c r="M22" i="146" s="1"/>
  <c r="M12" i="146"/>
  <c r="O10" i="70"/>
  <c r="BA8" i="4" s="1"/>
  <c r="P12" i="69"/>
  <c r="O11" i="70" s="1"/>
  <c r="K18" i="15"/>
  <c r="M10" i="16" s="1"/>
  <c r="F8" i="4" s="1"/>
  <c r="O10" i="16"/>
  <c r="S52" i="109"/>
  <c r="R52" i="109"/>
  <c r="N74" i="192"/>
  <c r="CI9" i="4"/>
  <c r="O66" i="157"/>
  <c r="P65" i="157" s="1"/>
  <c r="O22" i="158" s="1"/>
  <c r="O12" i="158"/>
  <c r="AB11" i="4" s="1"/>
  <c r="N13" i="20"/>
  <c r="K23" i="19"/>
  <c r="M13" i="20" s="1"/>
  <c r="G12" i="4" s="1"/>
  <c r="I32" i="13"/>
  <c r="L32" i="13" s="1"/>
  <c r="I31" i="13"/>
  <c r="I21" i="13"/>
  <c r="I13" i="13"/>
  <c r="L13" i="13" s="1"/>
  <c r="I12" i="13"/>
  <c r="L12" i="13" s="1"/>
  <c r="D27" i="207"/>
  <c r="D27" i="103"/>
  <c r="L25" i="103"/>
  <c r="D28" i="31"/>
  <c r="D27" i="65"/>
  <c r="L25" i="15"/>
  <c r="L25" i="65"/>
  <c r="U30" i="66" s="1"/>
  <c r="L25" i="159"/>
  <c r="N25" i="159" s="1"/>
  <c r="W30" i="160" s="1"/>
  <c r="L25" i="17"/>
  <c r="K57" i="65"/>
  <c r="I21" i="89"/>
  <c r="N21" i="89" s="1"/>
  <c r="N16" i="90" s="1"/>
  <c r="L25" i="163"/>
  <c r="Q25" i="163" s="1"/>
  <c r="Z30" i="164" s="1"/>
  <c r="L20" i="43"/>
  <c r="L18" i="43" s="1"/>
  <c r="M16" i="44" s="1"/>
  <c r="N20" i="43"/>
  <c r="N18" i="43" s="1"/>
  <c r="N16" i="44" s="1"/>
  <c r="P20" i="43"/>
  <c r="P18" i="43" s="1"/>
  <c r="O16" i="44" s="1"/>
  <c r="W62" i="213"/>
  <c r="U61" i="211"/>
  <c r="N59" i="211" s="1"/>
  <c r="O25" i="212" s="1"/>
  <c r="I20" i="89"/>
  <c r="L20" i="89" s="1"/>
  <c r="M16" i="90" s="1"/>
  <c r="L25" i="81"/>
  <c r="L25" i="21"/>
  <c r="L25" i="56"/>
  <c r="L25" i="207"/>
  <c r="L25" i="31"/>
  <c r="K12" i="21"/>
  <c r="K13" i="21"/>
  <c r="O37" i="22"/>
  <c r="N77" i="21"/>
  <c r="K20" i="21"/>
  <c r="O13" i="22"/>
  <c r="K23" i="21"/>
  <c r="M13" i="22" s="1"/>
  <c r="K12" i="4" s="1"/>
  <c r="K21" i="21"/>
  <c r="O12" i="22"/>
  <c r="K22" i="21"/>
  <c r="M12" i="22" s="1"/>
  <c r="K11" i="4" s="1"/>
  <c r="N19" i="21"/>
  <c r="O11" i="22" s="1"/>
  <c r="O10" i="22"/>
  <c r="K21" i="17"/>
  <c r="M9" i="18"/>
  <c r="E9" i="4" s="1"/>
  <c r="K20" i="17"/>
  <c r="Q13" i="18"/>
  <c r="K23" i="17"/>
  <c r="M13" i="18" s="1"/>
  <c r="E12" i="4" s="1"/>
  <c r="Q12" i="18"/>
  <c r="K22" i="17"/>
  <c r="M12" i="18" s="1"/>
  <c r="E11" i="4" s="1"/>
  <c r="N78" i="211"/>
  <c r="M78" i="211"/>
  <c r="O78" i="211"/>
  <c r="K66" i="191"/>
  <c r="L65" i="191" s="1"/>
  <c r="M22" i="192" s="1"/>
  <c r="M12" i="192"/>
  <c r="CH11" i="4" s="1"/>
  <c r="L12" i="191"/>
  <c r="M11" i="192" s="1"/>
  <c r="M10" i="192"/>
  <c r="CH8" i="4" s="1"/>
  <c r="O56" i="117"/>
  <c r="O57" i="117" s="1"/>
  <c r="O35" i="118" s="1"/>
  <c r="CF9" i="4"/>
  <c r="BZ9" i="4"/>
  <c r="V50" i="111"/>
  <c r="U50" i="111"/>
  <c r="BZ7" i="4"/>
  <c r="CF7" i="4"/>
  <c r="N12" i="112"/>
  <c r="M66" i="111"/>
  <c r="N65" i="111" s="1"/>
  <c r="N22" i="112" s="1"/>
  <c r="BZ12" i="4"/>
  <c r="CF12" i="4"/>
  <c r="N12" i="111"/>
  <c r="N11" i="112" s="1"/>
  <c r="N10" i="112"/>
  <c r="V51" i="111"/>
  <c r="U51" i="111"/>
  <c r="CF31" i="4"/>
  <c r="BZ31" i="4"/>
  <c r="O11" i="164"/>
  <c r="O66" i="87"/>
  <c r="P65" i="87" s="1"/>
  <c r="O22" i="88" s="1"/>
  <c r="O12" i="88"/>
  <c r="BD11" i="4" s="1"/>
  <c r="O10" i="88"/>
  <c r="BD8" i="4" s="1"/>
  <c r="P12" i="87"/>
  <c r="O11" i="88" s="1"/>
  <c r="M12" i="88"/>
  <c r="BB11" i="4" s="1"/>
  <c r="K66" i="87"/>
  <c r="L65" i="87" s="1"/>
  <c r="M22" i="88" s="1"/>
  <c r="L12" i="87"/>
  <c r="M11" i="88" s="1"/>
  <c r="M10" i="88"/>
  <c r="BB8" i="4" s="1"/>
  <c r="O14" i="102"/>
  <c r="O12" i="102"/>
  <c r="P16" i="102"/>
  <c r="P17" i="102" s="1"/>
  <c r="O18" i="102"/>
  <c r="O16" i="102"/>
  <c r="P18" i="102"/>
  <c r="P19" i="102" s="1"/>
  <c r="P20" i="102"/>
  <c r="P21" i="102" s="1"/>
  <c r="P23" i="102" s="1"/>
  <c r="P24" i="102" s="1"/>
  <c r="O20" i="102"/>
  <c r="P14" i="102"/>
  <c r="P15" i="102" s="1"/>
  <c r="P12" i="102"/>
  <c r="P13" i="102" s="1"/>
  <c r="K77" i="35"/>
  <c r="M37" i="36"/>
  <c r="K10" i="35"/>
  <c r="W66" i="35" s="1"/>
  <c r="O10" i="52"/>
  <c r="K18" i="51"/>
  <c r="M10" i="52" s="1"/>
  <c r="Q8" i="4" s="1"/>
  <c r="K22" i="51"/>
  <c r="M12" i="52" s="1"/>
  <c r="Q11" i="4" s="1"/>
  <c r="O12" i="52"/>
  <c r="K20" i="25"/>
  <c r="O12" i="26"/>
  <c r="K22" i="25"/>
  <c r="M12" i="26" s="1"/>
  <c r="P11" i="4" s="1"/>
  <c r="K21" i="25"/>
  <c r="M37" i="26"/>
  <c r="P31" i="4" s="1"/>
  <c r="K77" i="25"/>
  <c r="N19" i="25"/>
  <c r="O10" i="26"/>
  <c r="K18" i="25"/>
  <c r="M10" i="26" s="1"/>
  <c r="P8" i="4" s="1"/>
  <c r="O13" i="26"/>
  <c r="K23" i="25"/>
  <c r="M13" i="26" s="1"/>
  <c r="P12" i="4" s="1"/>
  <c r="N11" i="50"/>
  <c r="M37" i="24"/>
  <c r="J31" i="4" s="1"/>
  <c r="K77" i="23"/>
  <c r="P11" i="22"/>
  <c r="N11" i="104"/>
  <c r="K19" i="103"/>
  <c r="M11" i="104" s="1"/>
  <c r="K13" i="15"/>
  <c r="K12" i="15"/>
  <c r="Q36" i="66"/>
  <c r="I12" i="4"/>
  <c r="F11" i="4"/>
  <c r="H50" i="21"/>
  <c r="V50" i="21" s="1"/>
  <c r="H49" i="23"/>
  <c r="H53" i="56"/>
  <c r="H49" i="81"/>
  <c r="H49" i="51"/>
  <c r="H50" i="81"/>
  <c r="V50" i="81" s="1"/>
  <c r="H49" i="35"/>
  <c r="H51" i="91"/>
  <c r="H50" i="49"/>
  <c r="H49" i="163"/>
  <c r="H53" i="23"/>
  <c r="H50" i="51"/>
  <c r="H52" i="103"/>
  <c r="W52" i="103" s="1"/>
  <c r="H49" i="103"/>
  <c r="W49" i="103" s="1"/>
  <c r="H51" i="163"/>
  <c r="H50" i="35"/>
  <c r="H51" i="23"/>
  <c r="H50" i="17"/>
  <c r="H51" i="103"/>
  <c r="W51" i="103" s="1"/>
  <c r="H54" i="35"/>
  <c r="H53" i="91"/>
  <c r="V53" i="91" s="1"/>
  <c r="H51" i="49"/>
  <c r="H49" i="56"/>
  <c r="H53" i="163"/>
  <c r="H51" i="25"/>
  <c r="H49" i="21"/>
  <c r="H49" i="91"/>
  <c r="H53" i="35"/>
  <c r="H50" i="56"/>
  <c r="V50" i="56" s="1"/>
  <c r="H53" i="103"/>
  <c r="W53" i="103" s="1"/>
  <c r="H50" i="25"/>
  <c r="H50" i="91"/>
  <c r="H51" i="51"/>
  <c r="H50" i="163"/>
  <c r="H52" i="35"/>
  <c r="H52" i="56"/>
  <c r="H50" i="103"/>
  <c r="H51" i="35"/>
  <c r="H51" i="56"/>
  <c r="H50" i="23"/>
  <c r="H51" i="21"/>
  <c r="H51" i="81"/>
  <c r="H52" i="23"/>
  <c r="H55" i="35"/>
  <c r="Q12" i="4"/>
  <c r="K12" i="91"/>
  <c r="BQ11" i="4"/>
  <c r="K20" i="56"/>
  <c r="Q59" i="57"/>
  <c r="Q60" i="57" s="1"/>
  <c r="Q65" i="57"/>
  <c r="Q53" i="57"/>
  <c r="Q50" i="57"/>
  <c r="Q33" i="57"/>
  <c r="Q61" i="57"/>
  <c r="I11" i="4"/>
  <c r="K13" i="91"/>
  <c r="P37" i="92"/>
  <c r="K16" i="91"/>
  <c r="O77" i="91"/>
  <c r="CE11" i="4"/>
  <c r="BY11" i="4"/>
  <c r="K37" i="31"/>
  <c r="K38" i="31"/>
  <c r="K36" i="31"/>
  <c r="K39" i="31"/>
  <c r="M7" i="32"/>
  <c r="K10" i="31"/>
  <c r="W66" i="31" s="1"/>
  <c r="Q8" i="32"/>
  <c r="K15" i="31"/>
  <c r="M8" i="32" s="1"/>
  <c r="K36" i="35"/>
  <c r="K37" i="35"/>
  <c r="K39" i="35"/>
  <c r="M7" i="36"/>
  <c r="K38" i="35"/>
  <c r="R8" i="36"/>
  <c r="K15" i="35"/>
  <c r="M8" i="36" s="1"/>
  <c r="Q25" i="35"/>
  <c r="Z30" i="36" s="1"/>
  <c r="O25" i="35"/>
  <c r="X30" i="36" s="1"/>
  <c r="U30" i="36"/>
  <c r="N25" i="35"/>
  <c r="W30" i="36" s="1"/>
  <c r="P25" i="35"/>
  <c r="Y30" i="36" s="1"/>
  <c r="M25" i="35"/>
  <c r="V30" i="36" s="1"/>
  <c r="X30" i="20"/>
  <c r="V30" i="20"/>
  <c r="Z30" i="20"/>
  <c r="U30" i="20"/>
  <c r="C42" i="203"/>
  <c r="L25" i="23" s="1"/>
  <c r="D27" i="159"/>
  <c r="I22" i="77"/>
  <c r="P22" i="77" s="1"/>
  <c r="O16" i="78" s="1"/>
  <c r="D27" i="91"/>
  <c r="L25" i="91"/>
  <c r="I22" i="89"/>
  <c r="P22" i="89" s="1"/>
  <c r="O16" i="90" s="1"/>
  <c r="D27" i="163"/>
  <c r="F12" i="4"/>
  <c r="J53" i="91"/>
  <c r="BQ8" i="4"/>
  <c r="R8" i="4"/>
  <c r="R61" i="50"/>
  <c r="R65" i="50"/>
  <c r="R53" i="50"/>
  <c r="R59" i="50"/>
  <c r="R60" i="50" s="1"/>
  <c r="R50" i="50"/>
  <c r="R33" i="50"/>
  <c r="K77" i="49"/>
  <c r="M37" i="50"/>
  <c r="O31" i="4" s="1"/>
  <c r="K21" i="56"/>
  <c r="Q13" i="57"/>
  <c r="K23" i="56"/>
  <c r="M13" i="57" s="1"/>
  <c r="R11" i="4"/>
  <c r="O11" i="66"/>
  <c r="K19" i="65"/>
  <c r="M11" i="66" s="1"/>
  <c r="R65" i="104"/>
  <c r="R61" i="104"/>
  <c r="R53" i="104"/>
  <c r="R50" i="104"/>
  <c r="R59" i="104"/>
  <c r="R60" i="104" s="1"/>
  <c r="R33" i="104"/>
  <c r="V52" i="91"/>
  <c r="J52" i="91"/>
  <c r="AG11" i="4"/>
  <c r="P22" i="31"/>
  <c r="P23" i="31"/>
  <c r="P18" i="31"/>
  <c r="Q9" i="32"/>
  <c r="K17" i="31"/>
  <c r="M9" i="32" s="1"/>
  <c r="S9" i="4" s="1"/>
  <c r="K20" i="31"/>
  <c r="R9" i="36"/>
  <c r="Q18" i="35"/>
  <c r="Q22" i="35"/>
  <c r="K17" i="35"/>
  <c r="M9" i="36" s="1"/>
  <c r="Q23" i="35"/>
  <c r="V30" i="52"/>
  <c r="U30" i="52"/>
  <c r="W30" i="52"/>
  <c r="Y30" i="52"/>
  <c r="Z30" i="52"/>
  <c r="J50" i="19"/>
  <c r="AK11" i="4"/>
  <c r="O11" i="4"/>
  <c r="K58" i="65" l="1"/>
  <c r="M36" i="66" s="1"/>
  <c r="M8" i="18"/>
  <c r="E7" i="4" s="1"/>
  <c r="K12" i="17"/>
  <c r="K13" i="17"/>
  <c r="P10" i="18"/>
  <c r="O50" i="17"/>
  <c r="V50" i="17" s="1"/>
  <c r="O57" i="17" s="1"/>
  <c r="O58" i="17" s="1"/>
  <c r="P36" i="18" s="1"/>
  <c r="K18" i="17"/>
  <c r="M10" i="18" s="1"/>
  <c r="E8" i="4" s="1"/>
  <c r="J50" i="17"/>
  <c r="K50" i="17" s="1"/>
  <c r="O12" i="82"/>
  <c r="K22" i="81"/>
  <c r="M12" i="82" s="1"/>
  <c r="N11" i="4" s="1"/>
  <c r="O13" i="82"/>
  <c r="K23" i="81"/>
  <c r="M13" i="82" s="1"/>
  <c r="N12" i="4" s="1"/>
  <c r="K20" i="81"/>
  <c r="M9" i="82"/>
  <c r="N9" i="4" s="1"/>
  <c r="K21" i="81"/>
  <c r="K18" i="81"/>
  <c r="M10" i="82" s="1"/>
  <c r="N8" i="4" s="1"/>
  <c r="N19" i="81"/>
  <c r="O10" i="82"/>
  <c r="K12" i="81"/>
  <c r="M8" i="82"/>
  <c r="N7" i="4" s="1"/>
  <c r="J62" i="81"/>
  <c r="K22" i="56"/>
  <c r="M12" i="57" s="1"/>
  <c r="K13" i="56"/>
  <c r="K12" i="56"/>
  <c r="K18" i="56"/>
  <c r="M10" i="57" s="1"/>
  <c r="H8" i="4" s="1"/>
  <c r="M19" i="56"/>
  <c r="N10" i="57"/>
  <c r="N37" i="57"/>
  <c r="M77" i="56"/>
  <c r="K16" i="56"/>
  <c r="M19" i="21"/>
  <c r="N10" i="22"/>
  <c r="K18" i="21"/>
  <c r="M10" i="22" s="1"/>
  <c r="K8" i="4" s="1"/>
  <c r="M77" i="21"/>
  <c r="N37" i="22"/>
  <c r="K16" i="21"/>
  <c r="AG30" i="4"/>
  <c r="G49" i="19"/>
  <c r="K49" i="19"/>
  <c r="V49" i="19"/>
  <c r="W49" i="19"/>
  <c r="X49" i="19"/>
  <c r="T49" i="19"/>
  <c r="U49" i="19"/>
  <c r="V49" i="25"/>
  <c r="U49" i="25"/>
  <c r="K49" i="25"/>
  <c r="T49" i="25"/>
  <c r="U49" i="49"/>
  <c r="T49" i="49"/>
  <c r="K49" i="49"/>
  <c r="Q25" i="17"/>
  <c r="O25" i="17"/>
  <c r="X30" i="18" s="1"/>
  <c r="M25" i="17"/>
  <c r="N25" i="17"/>
  <c r="N25" i="15"/>
  <c r="O25" i="15"/>
  <c r="M25" i="15"/>
  <c r="P25" i="15"/>
  <c r="N25" i="207"/>
  <c r="O25" i="207"/>
  <c r="X30" i="208" s="1"/>
  <c r="M25" i="207"/>
  <c r="P25" i="207"/>
  <c r="K58" i="159"/>
  <c r="M36" i="160" s="1"/>
  <c r="BK30" i="4" s="1"/>
  <c r="K57" i="159"/>
  <c r="BQ30" i="4"/>
  <c r="O25" i="81"/>
  <c r="M25" i="81"/>
  <c r="N25" i="81"/>
  <c r="O25" i="21"/>
  <c r="X30" i="22" s="1"/>
  <c r="M25" i="21"/>
  <c r="N25" i="21"/>
  <c r="W30" i="22" s="1"/>
  <c r="M25" i="23"/>
  <c r="P25" i="23"/>
  <c r="Y30" i="24" s="1"/>
  <c r="N25" i="23"/>
  <c r="Q25" i="23"/>
  <c r="O25" i="23"/>
  <c r="X30" i="24" s="1"/>
  <c r="P25" i="103"/>
  <c r="Y30" i="104" s="1"/>
  <c r="Q16" i="104" s="1"/>
  <c r="J51" i="195"/>
  <c r="W51" i="195" s="1"/>
  <c r="BE30" i="4"/>
  <c r="J53" i="195"/>
  <c r="P53" i="195" s="1"/>
  <c r="J50" i="195"/>
  <c r="Z50" i="195" s="1"/>
  <c r="J49" i="195"/>
  <c r="N49" i="195" s="1"/>
  <c r="AT30" i="4"/>
  <c r="BR30" i="4"/>
  <c r="CE30" i="4"/>
  <c r="BP30" i="4"/>
  <c r="CB30" i="4"/>
  <c r="AS30" i="4"/>
  <c r="AW30" i="4"/>
  <c r="CG30" i="4"/>
  <c r="O56" i="47"/>
  <c r="O57" i="47" s="1"/>
  <c r="O35" i="48" s="1"/>
  <c r="J52" i="195"/>
  <c r="T52" i="195" s="1"/>
  <c r="K56" i="109"/>
  <c r="K57" i="109" s="1"/>
  <c r="M35" i="110" s="1"/>
  <c r="J48" i="195"/>
  <c r="W48" i="195" s="1"/>
  <c r="L14" i="13"/>
  <c r="I36" i="200" s="1"/>
  <c r="N38" i="200" s="1"/>
  <c r="L25" i="49"/>
  <c r="M37" i="52"/>
  <c r="Q31" i="4" s="1"/>
  <c r="K77" i="51"/>
  <c r="T50" i="207"/>
  <c r="K50" i="207"/>
  <c r="V50" i="207"/>
  <c r="W50" i="207"/>
  <c r="U50" i="207"/>
  <c r="U49" i="209"/>
  <c r="T49" i="209"/>
  <c r="K49" i="209"/>
  <c r="W49" i="209"/>
  <c r="V49" i="209"/>
  <c r="X49" i="209"/>
  <c r="U51" i="209"/>
  <c r="W51" i="209"/>
  <c r="T51" i="209"/>
  <c r="V51" i="209"/>
  <c r="X51" i="209"/>
  <c r="K51" i="209"/>
  <c r="O13" i="92"/>
  <c r="K23" i="91"/>
  <c r="M13" i="92" s="1"/>
  <c r="R12" i="92"/>
  <c r="K13" i="163"/>
  <c r="P12" i="164"/>
  <c r="K22" i="163"/>
  <c r="M12" i="164" s="1"/>
  <c r="BL11" i="4" s="1"/>
  <c r="P13" i="164"/>
  <c r="K23" i="163"/>
  <c r="M13" i="164" s="1"/>
  <c r="BL12" i="4" s="1"/>
  <c r="K12" i="31"/>
  <c r="V51" i="207"/>
  <c r="K51" i="207"/>
  <c r="T51" i="207"/>
  <c r="W51" i="207"/>
  <c r="U51" i="207"/>
  <c r="K51" i="213"/>
  <c r="T51" i="213"/>
  <c r="V51" i="213"/>
  <c r="W51" i="213"/>
  <c r="U51" i="213"/>
  <c r="O10" i="92"/>
  <c r="N19" i="91"/>
  <c r="K18" i="91"/>
  <c r="M10" i="92" s="1"/>
  <c r="K18" i="159"/>
  <c r="M10" i="160" s="1"/>
  <c r="BK8" i="4" s="1"/>
  <c r="O10" i="160"/>
  <c r="N19" i="159"/>
  <c r="K12" i="163"/>
  <c r="V50" i="215"/>
  <c r="U50" i="215"/>
  <c r="W50" i="215"/>
  <c r="T50" i="215"/>
  <c r="K50" i="215"/>
  <c r="K21" i="91"/>
  <c r="M9" i="92"/>
  <c r="K63" i="91"/>
  <c r="O13" i="160"/>
  <c r="K23" i="159"/>
  <c r="M13" i="160" s="1"/>
  <c r="BK12" i="4" s="1"/>
  <c r="K21" i="31"/>
  <c r="H52" i="25"/>
  <c r="U52" i="25" s="1"/>
  <c r="T50" i="213"/>
  <c r="V50" i="213"/>
  <c r="U50" i="213"/>
  <c r="W50" i="213"/>
  <c r="K50" i="213"/>
  <c r="O12" i="160"/>
  <c r="K22" i="159"/>
  <c r="M12" i="160" s="1"/>
  <c r="BK11" i="4" s="1"/>
  <c r="Q10" i="92"/>
  <c r="P19" i="91"/>
  <c r="Q11" i="92" s="1"/>
  <c r="V52" i="163"/>
  <c r="J52" i="163"/>
  <c r="K52" i="163" s="1"/>
  <c r="M8" i="160"/>
  <c r="BK7" i="4" s="1"/>
  <c r="K12" i="159"/>
  <c r="K20" i="35"/>
  <c r="K52" i="213"/>
  <c r="T52" i="213"/>
  <c r="V52" i="213"/>
  <c r="W52" i="213"/>
  <c r="U52" i="213"/>
  <c r="V49" i="207"/>
  <c r="K49" i="207"/>
  <c r="U49" i="207"/>
  <c r="T49" i="207"/>
  <c r="W49" i="207"/>
  <c r="M9" i="160"/>
  <c r="BK9" i="4" s="1"/>
  <c r="K63" i="159"/>
  <c r="O37" i="92"/>
  <c r="N77" i="91"/>
  <c r="K20" i="163"/>
  <c r="M9" i="164"/>
  <c r="BL9" i="4" s="1"/>
  <c r="K63" i="163"/>
  <c r="H52" i="49"/>
  <c r="T52" i="49" s="1"/>
  <c r="G51" i="209"/>
  <c r="G51" i="207"/>
  <c r="G51" i="215"/>
  <c r="G50" i="215"/>
  <c r="G51" i="213"/>
  <c r="G49" i="207"/>
  <c r="G52" i="213"/>
  <c r="G50" i="211"/>
  <c r="G50" i="213"/>
  <c r="G50" i="209"/>
  <c r="G50" i="207"/>
  <c r="G49" i="209"/>
  <c r="G52" i="215"/>
  <c r="K21" i="35"/>
  <c r="W51" i="215"/>
  <c r="T51" i="215"/>
  <c r="U51" i="215"/>
  <c r="K51" i="215"/>
  <c r="V51" i="215"/>
  <c r="V52" i="215"/>
  <c r="K52" i="215"/>
  <c r="T52" i="215"/>
  <c r="U52" i="215"/>
  <c r="W52" i="215"/>
  <c r="P77" i="91"/>
  <c r="Q37" i="92"/>
  <c r="O77" i="163"/>
  <c r="P37" i="164"/>
  <c r="K16" i="163"/>
  <c r="K21" i="163"/>
  <c r="K19" i="49"/>
  <c r="M11" i="50" s="1"/>
  <c r="U50" i="209"/>
  <c r="V50" i="209"/>
  <c r="X50" i="209"/>
  <c r="T50" i="209"/>
  <c r="W50" i="209"/>
  <c r="K50" i="209"/>
  <c r="U50" i="211"/>
  <c r="V50" i="211"/>
  <c r="O57" i="211" s="1"/>
  <c r="O58" i="211" s="1"/>
  <c r="P36" i="212" s="1"/>
  <c r="T50" i="211"/>
  <c r="M57" i="211" s="1"/>
  <c r="K50" i="211"/>
  <c r="W50" i="211"/>
  <c r="P57" i="211" s="1"/>
  <c r="P58" i="211" s="1"/>
  <c r="Q36" i="212" s="1"/>
  <c r="O12" i="92"/>
  <c r="K22" i="91"/>
  <c r="M12" i="92" s="1"/>
  <c r="R62" i="92"/>
  <c r="R34" i="92"/>
  <c r="R67" i="92"/>
  <c r="O19" i="163"/>
  <c r="P10" i="164"/>
  <c r="K18" i="163"/>
  <c r="M10" i="164" s="1"/>
  <c r="BL8" i="4" s="1"/>
  <c r="K21" i="159"/>
  <c r="I68" i="199"/>
  <c r="I68" i="43"/>
  <c r="I68" i="201"/>
  <c r="I68" i="109"/>
  <c r="P68" i="109" s="1"/>
  <c r="P67" i="109" s="1"/>
  <c r="O23" i="110" s="1"/>
  <c r="BX20" i="4" s="1"/>
  <c r="I68" i="195"/>
  <c r="P68" i="195" s="1"/>
  <c r="P67" i="195" s="1"/>
  <c r="O23" i="196" s="1"/>
  <c r="O25" i="103"/>
  <c r="X30" i="104" s="1"/>
  <c r="P16" i="104" s="1"/>
  <c r="M25" i="103"/>
  <c r="V30" i="104" s="1"/>
  <c r="N16" i="104" s="1"/>
  <c r="N25" i="103"/>
  <c r="W30" i="104" s="1"/>
  <c r="O16" i="104" s="1"/>
  <c r="Q25" i="103"/>
  <c r="Z30" i="104" s="1"/>
  <c r="R16" i="104" s="1"/>
  <c r="C43" i="203"/>
  <c r="C44" i="203" s="1"/>
  <c r="D27" i="23"/>
  <c r="U30" i="104"/>
  <c r="M16" i="104" s="1"/>
  <c r="O25" i="65"/>
  <c r="X30" i="66" s="1"/>
  <c r="P16" i="66" s="1"/>
  <c r="V30" i="16"/>
  <c r="W30" i="16"/>
  <c r="O16" i="16" s="1"/>
  <c r="Q25" i="15"/>
  <c r="Q25" i="65"/>
  <c r="Z30" i="66" s="1"/>
  <c r="R16" i="66" s="1"/>
  <c r="M25" i="65"/>
  <c r="V30" i="66" s="1"/>
  <c r="N16" i="66" s="1"/>
  <c r="N25" i="65"/>
  <c r="W30" i="66" s="1"/>
  <c r="P25" i="65"/>
  <c r="Y30" i="66" s="1"/>
  <c r="Q16" i="66" s="1"/>
  <c r="X30" i="16"/>
  <c r="P16" i="16" s="1"/>
  <c r="Y30" i="16"/>
  <c r="M25" i="159"/>
  <c r="V30" i="160" s="1"/>
  <c r="N16" i="160" s="1"/>
  <c r="U30" i="160"/>
  <c r="M16" i="160" s="1"/>
  <c r="U30" i="16"/>
  <c r="M16" i="16" s="1"/>
  <c r="O25" i="159"/>
  <c r="X30" i="160" s="1"/>
  <c r="P16" i="160" s="1"/>
  <c r="P25" i="159"/>
  <c r="Y30" i="160" s="1"/>
  <c r="Q25" i="159"/>
  <c r="Z30" i="160" s="1"/>
  <c r="M25" i="163"/>
  <c r="V30" i="164" s="1"/>
  <c r="N16" i="164" s="1"/>
  <c r="N25" i="163"/>
  <c r="W30" i="164" s="1"/>
  <c r="O16" i="164" s="1"/>
  <c r="P25" i="17"/>
  <c r="Y30" i="18" s="1"/>
  <c r="Q16" i="18" s="1"/>
  <c r="W30" i="18"/>
  <c r="O16" i="18" s="1"/>
  <c r="O25" i="163"/>
  <c r="X30" i="164" s="1"/>
  <c r="U30" i="164"/>
  <c r="M16" i="164" s="1"/>
  <c r="P25" i="163"/>
  <c r="Y30" i="164" s="1"/>
  <c r="Q16" i="164" s="1"/>
  <c r="V30" i="18"/>
  <c r="U30" i="18"/>
  <c r="M16" i="18" s="1"/>
  <c r="L25" i="25"/>
  <c r="V50" i="103"/>
  <c r="W50" i="103"/>
  <c r="P57" i="103" s="1"/>
  <c r="P58" i="103" s="1"/>
  <c r="Q36" i="104" s="1"/>
  <c r="O25" i="31"/>
  <c r="X30" i="32" s="1"/>
  <c r="N25" i="31"/>
  <c r="W30" i="32" s="1"/>
  <c r="Q25" i="31"/>
  <c r="Z30" i="32" s="1"/>
  <c r="M25" i="31"/>
  <c r="V30" i="32" s="1"/>
  <c r="P25" i="31"/>
  <c r="Y30" i="32" s="1"/>
  <c r="U30" i="32"/>
  <c r="N25" i="56"/>
  <c r="W30" i="57" s="1"/>
  <c r="M25" i="56"/>
  <c r="V30" i="57" s="1"/>
  <c r="O25" i="56"/>
  <c r="X30" i="57" s="1"/>
  <c r="P25" i="56"/>
  <c r="Y30" i="57" s="1"/>
  <c r="Q25" i="56"/>
  <c r="Z30" i="57" s="1"/>
  <c r="U30" i="57"/>
  <c r="V30" i="22"/>
  <c r="P25" i="21"/>
  <c r="Y30" i="22" s="1"/>
  <c r="Q25" i="21"/>
  <c r="Z30" i="22" s="1"/>
  <c r="U30" i="22"/>
  <c r="L25" i="58"/>
  <c r="Q25" i="207"/>
  <c r="Z30" i="208" s="1"/>
  <c r="Y30" i="208"/>
  <c r="U30" i="208"/>
  <c r="V30" i="208"/>
  <c r="W30" i="208"/>
  <c r="P25" i="81"/>
  <c r="Y30" i="82" s="1"/>
  <c r="W30" i="82"/>
  <c r="U30" i="82"/>
  <c r="X30" i="82"/>
  <c r="V30" i="82"/>
  <c r="Q25" i="81"/>
  <c r="Z30" i="82" s="1"/>
  <c r="M37" i="22"/>
  <c r="K31" i="4" s="1"/>
  <c r="K77" i="21"/>
  <c r="Q59" i="18"/>
  <c r="Q60" i="18" s="1"/>
  <c r="Q50" i="18"/>
  <c r="Q65" i="18"/>
  <c r="Q61" i="18"/>
  <c r="Q53" i="18"/>
  <c r="Q33" i="18"/>
  <c r="Q66" i="18"/>
  <c r="Q34" i="18"/>
  <c r="Q62" i="18"/>
  <c r="O79" i="211"/>
  <c r="P38" i="212"/>
  <c r="P40" i="212" s="1"/>
  <c r="M79" i="211"/>
  <c r="N38" i="212"/>
  <c r="N40" i="212" s="1"/>
  <c r="N79" i="211"/>
  <c r="O38" i="212"/>
  <c r="O40" i="212" s="1"/>
  <c r="CF8" i="4"/>
  <c r="BZ8" i="4"/>
  <c r="M56" i="111"/>
  <c r="M57" i="111" s="1"/>
  <c r="N35" i="112" s="1"/>
  <c r="CF11" i="4"/>
  <c r="BZ11" i="4"/>
  <c r="K13" i="35"/>
  <c r="O11" i="26"/>
  <c r="K19" i="25"/>
  <c r="M11" i="26" s="1"/>
  <c r="Q16" i="52"/>
  <c r="M16" i="52"/>
  <c r="N16" i="52"/>
  <c r="R10" i="36"/>
  <c r="K18" i="35"/>
  <c r="M10" i="36" s="1"/>
  <c r="Q10" i="32"/>
  <c r="K18" i="31"/>
  <c r="M10" i="32" s="1"/>
  <c r="Q12" i="32"/>
  <c r="K22" i="31"/>
  <c r="M12" i="32" s="1"/>
  <c r="H12" i="4"/>
  <c r="K53" i="91"/>
  <c r="Q25" i="91"/>
  <c r="Z30" i="92" s="1"/>
  <c r="N25" i="91"/>
  <c r="W30" i="92" s="1"/>
  <c r="U30" i="92"/>
  <c r="M25" i="91"/>
  <c r="V30" i="92" s="1"/>
  <c r="O25" i="91"/>
  <c r="X30" i="92" s="1"/>
  <c r="P25" i="91"/>
  <c r="Y30" i="92" s="1"/>
  <c r="O16" i="20"/>
  <c r="Q16" i="20"/>
  <c r="P16" i="20"/>
  <c r="Q16" i="36"/>
  <c r="M16" i="36"/>
  <c r="R16" i="36"/>
  <c r="M16" i="66"/>
  <c r="K12" i="35"/>
  <c r="K13" i="31"/>
  <c r="S6" i="4"/>
  <c r="K55" i="35"/>
  <c r="U55" i="35"/>
  <c r="K51" i="81"/>
  <c r="V51" i="81"/>
  <c r="T51" i="81"/>
  <c r="U51" i="81"/>
  <c r="V50" i="23"/>
  <c r="K50" i="23"/>
  <c r="U50" i="23"/>
  <c r="T50" i="23"/>
  <c r="V51" i="35"/>
  <c r="U51" i="35"/>
  <c r="K51" i="35"/>
  <c r="T51" i="35"/>
  <c r="U52" i="56"/>
  <c r="V52" i="56"/>
  <c r="T52" i="56"/>
  <c r="K52" i="56"/>
  <c r="K50" i="163"/>
  <c r="T50" i="163"/>
  <c r="U50" i="163"/>
  <c r="K50" i="91"/>
  <c r="T50" i="91"/>
  <c r="U50" i="91"/>
  <c r="V50" i="25"/>
  <c r="U50" i="25"/>
  <c r="K50" i="25"/>
  <c r="T50" i="25"/>
  <c r="U50" i="56"/>
  <c r="K50" i="56"/>
  <c r="T50" i="56"/>
  <c r="K49" i="91"/>
  <c r="T49" i="91"/>
  <c r="W49" i="91"/>
  <c r="V49" i="91"/>
  <c r="U49" i="91"/>
  <c r="V49" i="21"/>
  <c r="U49" i="21"/>
  <c r="T49" i="21"/>
  <c r="K49" i="21"/>
  <c r="U53" i="163"/>
  <c r="V53" i="163"/>
  <c r="T53" i="163"/>
  <c r="K53" i="163"/>
  <c r="U51" i="49"/>
  <c r="T51" i="49"/>
  <c r="K51" i="49"/>
  <c r="U50" i="15"/>
  <c r="T50" i="15"/>
  <c r="V50" i="15"/>
  <c r="U51" i="103"/>
  <c r="K51" i="103"/>
  <c r="V51" i="103"/>
  <c r="T51" i="103"/>
  <c r="U51" i="23"/>
  <c r="W51" i="23"/>
  <c r="K51" i="23"/>
  <c r="T51" i="23"/>
  <c r="V51" i="23"/>
  <c r="X51" i="23"/>
  <c r="K51" i="163"/>
  <c r="T51" i="163"/>
  <c r="U51" i="163"/>
  <c r="V51" i="163"/>
  <c r="K52" i="103"/>
  <c r="U52" i="103"/>
  <c r="V52" i="103"/>
  <c r="T52" i="103"/>
  <c r="X53" i="23"/>
  <c r="U53" i="23"/>
  <c r="T53" i="23"/>
  <c r="W53" i="23"/>
  <c r="V53" i="23"/>
  <c r="K53" i="23"/>
  <c r="T50" i="49"/>
  <c r="K50" i="49"/>
  <c r="U50" i="49"/>
  <c r="T49" i="35"/>
  <c r="U49" i="35"/>
  <c r="V49" i="35"/>
  <c r="K49" i="35"/>
  <c r="W49" i="51"/>
  <c r="U49" i="51"/>
  <c r="V49" i="51"/>
  <c r="X49" i="51"/>
  <c r="T49" i="51"/>
  <c r="K49" i="51"/>
  <c r="U53" i="56"/>
  <c r="T53" i="56"/>
  <c r="V53" i="56"/>
  <c r="K53" i="56"/>
  <c r="U50" i="21"/>
  <c r="K50" i="21"/>
  <c r="T50" i="21"/>
  <c r="H11" i="4"/>
  <c r="O16" i="160"/>
  <c r="R16" i="52"/>
  <c r="O16" i="52"/>
  <c r="P16" i="52"/>
  <c r="Z30" i="18"/>
  <c r="Z30" i="16"/>
  <c r="R13" i="36"/>
  <c r="K23" i="35"/>
  <c r="M13" i="36" s="1"/>
  <c r="R12" i="36"/>
  <c r="K22" i="35"/>
  <c r="M12" i="36" s="1"/>
  <c r="Q13" i="32"/>
  <c r="K23" i="31"/>
  <c r="M13" i="32" s="1"/>
  <c r="K52" i="91"/>
  <c r="Q62" i="57"/>
  <c r="Q66" i="57"/>
  <c r="Q34" i="57"/>
  <c r="Z30" i="24"/>
  <c r="W30" i="24"/>
  <c r="U30" i="24"/>
  <c r="V30" i="24"/>
  <c r="M16" i="20"/>
  <c r="R16" i="20"/>
  <c r="N16" i="20"/>
  <c r="N16" i="36"/>
  <c r="O16" i="36"/>
  <c r="P16" i="36"/>
  <c r="R16" i="164"/>
  <c r="S7" i="4"/>
  <c r="M37" i="92"/>
  <c r="K77" i="91"/>
  <c r="G52" i="81"/>
  <c r="G53" i="163"/>
  <c r="G50" i="17"/>
  <c r="G52" i="56"/>
  <c r="G54" i="35"/>
  <c r="G51" i="103"/>
  <c r="G53" i="103"/>
  <c r="I51" i="181"/>
  <c r="G50" i="35"/>
  <c r="G51" i="25"/>
  <c r="G50" i="51"/>
  <c r="G50" i="23"/>
  <c r="G53" i="56"/>
  <c r="G53" i="23"/>
  <c r="G49" i="103"/>
  <c r="G50" i="25"/>
  <c r="I50" i="181"/>
  <c r="H54" i="89"/>
  <c r="I50" i="89"/>
  <c r="G49" i="91"/>
  <c r="H46" i="45"/>
  <c r="G49" i="21"/>
  <c r="G51" i="49"/>
  <c r="G49" i="35"/>
  <c r="G49" i="51"/>
  <c r="G51" i="21"/>
  <c r="G50" i="21"/>
  <c r="G53" i="91"/>
  <c r="H50" i="89"/>
  <c r="G51" i="81"/>
  <c r="G50" i="163"/>
  <c r="G51" i="51"/>
  <c r="G50" i="81"/>
  <c r="G49" i="56"/>
  <c r="G49" i="81"/>
  <c r="G52" i="49"/>
  <c r="G51" i="23"/>
  <c r="H52" i="181"/>
  <c r="G50" i="91"/>
  <c r="I52" i="89"/>
  <c r="I54" i="181"/>
  <c r="H54" i="181"/>
  <c r="G49" i="23"/>
  <c r="I51" i="89"/>
  <c r="I46" i="45"/>
  <c r="G52" i="25"/>
  <c r="G50" i="56"/>
  <c r="H51" i="89"/>
  <c r="H52" i="89"/>
  <c r="H51" i="181"/>
  <c r="G51" i="35"/>
  <c r="H50" i="181"/>
  <c r="G53" i="35"/>
  <c r="G51" i="163"/>
  <c r="I54" i="89"/>
  <c r="G52" i="23"/>
  <c r="G51" i="56"/>
  <c r="G50" i="49"/>
  <c r="I52" i="181"/>
  <c r="G51" i="91"/>
  <c r="G52" i="35"/>
  <c r="G50" i="103"/>
  <c r="G52" i="103"/>
  <c r="G49" i="163"/>
  <c r="G55" i="35"/>
  <c r="T52" i="23"/>
  <c r="U52" i="23"/>
  <c r="X52" i="23"/>
  <c r="V52" i="23"/>
  <c r="W52" i="23"/>
  <c r="K52" i="23"/>
  <c r="K51" i="21"/>
  <c r="V51" i="21"/>
  <c r="T51" i="21"/>
  <c r="U51" i="21"/>
  <c r="U51" i="56"/>
  <c r="K51" i="56"/>
  <c r="T51" i="56"/>
  <c r="V51" i="56"/>
  <c r="K50" i="103"/>
  <c r="T50" i="103"/>
  <c r="U50" i="103"/>
  <c r="T52" i="35"/>
  <c r="U52" i="35"/>
  <c r="K52" i="35"/>
  <c r="V52" i="35"/>
  <c r="V51" i="51"/>
  <c r="T51" i="51"/>
  <c r="K51" i="51"/>
  <c r="W51" i="51"/>
  <c r="X51" i="51"/>
  <c r="U51" i="51"/>
  <c r="X50" i="19"/>
  <c r="V53" i="103"/>
  <c r="T53" i="103"/>
  <c r="U53" i="103"/>
  <c r="K53" i="103"/>
  <c r="K53" i="35"/>
  <c r="V53" i="35"/>
  <c r="T53" i="35"/>
  <c r="H52" i="81"/>
  <c r="V51" i="25"/>
  <c r="U51" i="25"/>
  <c r="T51" i="25"/>
  <c r="K51" i="25"/>
  <c r="V49" i="56"/>
  <c r="T49" i="56"/>
  <c r="U49" i="56"/>
  <c r="K49" i="56"/>
  <c r="W53" i="91"/>
  <c r="U53" i="91"/>
  <c r="T53" i="91"/>
  <c r="W54" i="35"/>
  <c r="P57" i="35" s="1"/>
  <c r="P58" i="35" s="1"/>
  <c r="Q36" i="36" s="1"/>
  <c r="K54" i="35"/>
  <c r="T50" i="17"/>
  <c r="U50" i="17"/>
  <c r="N57" i="17" s="1"/>
  <c r="N58" i="17" s="1"/>
  <c r="O36" i="18" s="1"/>
  <c r="T50" i="35"/>
  <c r="V50" i="35"/>
  <c r="U50" i="35"/>
  <c r="K50" i="35"/>
  <c r="T49" i="103"/>
  <c r="K49" i="103"/>
  <c r="V49" i="103"/>
  <c r="U49" i="103"/>
  <c r="U50" i="51"/>
  <c r="V50" i="51"/>
  <c r="X50" i="51"/>
  <c r="T50" i="51"/>
  <c r="W50" i="51"/>
  <c r="K50" i="51"/>
  <c r="K49" i="163"/>
  <c r="V49" i="163"/>
  <c r="T49" i="163"/>
  <c r="U49" i="163"/>
  <c r="U51" i="91"/>
  <c r="T51" i="91"/>
  <c r="V51" i="91"/>
  <c r="K51" i="91"/>
  <c r="W51" i="91"/>
  <c r="T50" i="81"/>
  <c r="U50" i="81"/>
  <c r="K50" i="81"/>
  <c r="K49" i="81"/>
  <c r="V49" i="81"/>
  <c r="U49" i="81"/>
  <c r="T49" i="81"/>
  <c r="K49" i="23"/>
  <c r="V49" i="23"/>
  <c r="U49" i="23"/>
  <c r="X49" i="23"/>
  <c r="T49" i="23"/>
  <c r="W49" i="23"/>
  <c r="N62" i="81" l="1"/>
  <c r="P62" i="81"/>
  <c r="W62" i="81" s="1"/>
  <c r="P59" i="81" s="1"/>
  <c r="Q25" i="82" s="1"/>
  <c r="O62" i="81"/>
  <c r="Q62" i="81"/>
  <c r="X62" i="81" s="1"/>
  <c r="Q59" i="81" s="1"/>
  <c r="R25" i="82" s="1"/>
  <c r="M62" i="81"/>
  <c r="O11" i="82"/>
  <c r="K19" i="81"/>
  <c r="M11" i="82" s="1"/>
  <c r="K19" i="56"/>
  <c r="M11" i="57" s="1"/>
  <c r="N11" i="57"/>
  <c r="M37" i="57"/>
  <c r="H31" i="4" s="1"/>
  <c r="K77" i="56"/>
  <c r="N11" i="22"/>
  <c r="K19" i="21"/>
  <c r="M11" i="22" s="1"/>
  <c r="Q57" i="19"/>
  <c r="Q58" i="19" s="1"/>
  <c r="R36" i="20" s="1"/>
  <c r="L51" i="195"/>
  <c r="T51" i="195"/>
  <c r="N25" i="58"/>
  <c r="M25" i="58"/>
  <c r="V30" i="59" s="1"/>
  <c r="O25" i="25"/>
  <c r="X30" i="26" s="1"/>
  <c r="N25" i="25"/>
  <c r="W30" i="26" s="1"/>
  <c r="M25" i="25"/>
  <c r="P25" i="49"/>
  <c r="Y30" i="50" s="1"/>
  <c r="N25" i="49"/>
  <c r="M25" i="49"/>
  <c r="N51" i="195"/>
  <c r="Z51" i="195"/>
  <c r="P51" i="195"/>
  <c r="N53" i="195"/>
  <c r="Z53" i="195"/>
  <c r="L53" i="195"/>
  <c r="W53" i="195"/>
  <c r="T53" i="195"/>
  <c r="P49" i="195"/>
  <c r="T49" i="195"/>
  <c r="W49" i="195"/>
  <c r="Z49" i="195"/>
  <c r="L49" i="195"/>
  <c r="V52" i="25"/>
  <c r="O57" i="25" s="1"/>
  <c r="O58" i="25" s="1"/>
  <c r="P36" i="26" s="1"/>
  <c r="T50" i="195"/>
  <c r="W50" i="195"/>
  <c r="K52" i="25"/>
  <c r="L50" i="195"/>
  <c r="N50" i="195"/>
  <c r="P50" i="195"/>
  <c r="P48" i="195"/>
  <c r="L48" i="195"/>
  <c r="T48" i="195"/>
  <c r="N48" i="195"/>
  <c r="Z48" i="195"/>
  <c r="T52" i="25"/>
  <c r="P57" i="207"/>
  <c r="P58" i="207" s="1"/>
  <c r="Q36" i="208" s="1"/>
  <c r="L52" i="195"/>
  <c r="Z52" i="195"/>
  <c r="M57" i="207"/>
  <c r="M58" i="207" s="1"/>
  <c r="O57" i="207"/>
  <c r="O58" i="207" s="1"/>
  <c r="P36" i="208" s="1"/>
  <c r="P52" i="195"/>
  <c r="N52" i="195"/>
  <c r="W52" i="195"/>
  <c r="P57" i="213"/>
  <c r="P58" i="213" s="1"/>
  <c r="Q36" i="214" s="1"/>
  <c r="AI30" i="4"/>
  <c r="I36" i="48"/>
  <c r="M38" i="48" s="1"/>
  <c r="AG33" i="4" s="1"/>
  <c r="I36" i="106"/>
  <c r="I36" i="108"/>
  <c r="M38" i="108" s="1"/>
  <c r="BS33" i="4" s="1"/>
  <c r="M38" i="200"/>
  <c r="I36" i="72"/>
  <c r="O38" i="72" s="1"/>
  <c r="AL33" i="4" s="1"/>
  <c r="I36" i="110"/>
  <c r="N38" i="110" s="1"/>
  <c r="BW33" i="4" s="1"/>
  <c r="I36" i="44"/>
  <c r="N38" i="44" s="1"/>
  <c r="H81" i="9"/>
  <c r="N78" i="215" s="1"/>
  <c r="I36" i="88"/>
  <c r="O38" i="88" s="1"/>
  <c r="BD33" i="4" s="1"/>
  <c r="I36" i="118"/>
  <c r="O38" i="118" s="1"/>
  <c r="I36" i="116"/>
  <c r="O38" i="116" s="1"/>
  <c r="CD33" i="4" s="1"/>
  <c r="I36" i="84"/>
  <c r="M38" i="84" s="1"/>
  <c r="AP33" i="4" s="1"/>
  <c r="O38" i="200"/>
  <c r="I36" i="114"/>
  <c r="N38" i="114" s="1"/>
  <c r="BQ33" i="4" s="1"/>
  <c r="I36" i="54"/>
  <c r="N38" i="54" s="1"/>
  <c r="X33" i="4" s="1"/>
  <c r="I36" i="158"/>
  <c r="N38" i="158" s="1"/>
  <c r="AA33" i="4" s="1"/>
  <c r="I36" i="192"/>
  <c r="N38" i="192" s="1"/>
  <c r="CI33" i="4" s="1"/>
  <c r="I36" i="180"/>
  <c r="M38" i="180" s="1"/>
  <c r="I36" i="196"/>
  <c r="N38" i="196" s="1"/>
  <c r="I36" i="86"/>
  <c r="N38" i="86" s="1"/>
  <c r="AW33" i="4" s="1"/>
  <c r="I36" i="182"/>
  <c r="N38" i="182" s="1"/>
  <c r="I36" i="90"/>
  <c r="N38" i="90" s="1"/>
  <c r="BI33" i="4" s="1"/>
  <c r="I36" i="112"/>
  <c r="O38" i="112" s="1"/>
  <c r="I36" i="188"/>
  <c r="N38" i="188" s="1"/>
  <c r="I36" i="74"/>
  <c r="N38" i="74" s="1"/>
  <c r="AN33" i="4" s="1"/>
  <c r="I36" i="120"/>
  <c r="N38" i="120" s="1"/>
  <c r="I36" i="194"/>
  <c r="N38" i="194" s="1"/>
  <c r="I36" i="198"/>
  <c r="O38" i="198" s="1"/>
  <c r="I36" i="202"/>
  <c r="M38" i="202" s="1"/>
  <c r="M57" i="209"/>
  <c r="M58" i="209" s="1"/>
  <c r="BV30" i="4"/>
  <c r="K52" i="49"/>
  <c r="U52" i="49"/>
  <c r="N57" i="49" s="1"/>
  <c r="N58" i="49" s="1"/>
  <c r="O36" i="50" s="1"/>
  <c r="W30" i="50"/>
  <c r="O16" i="50" s="1"/>
  <c r="Q25" i="49"/>
  <c r="Z30" i="50" s="1"/>
  <c r="R16" i="50" s="1"/>
  <c r="V30" i="50"/>
  <c r="U30" i="50"/>
  <c r="O25" i="49"/>
  <c r="X30" i="50" s="1"/>
  <c r="N57" i="207"/>
  <c r="N58" i="207" s="1"/>
  <c r="O36" i="208" s="1"/>
  <c r="O57" i="215"/>
  <c r="O58" i="215" s="1"/>
  <c r="P36" i="216" s="1"/>
  <c r="O11" i="92"/>
  <c r="K19" i="91"/>
  <c r="M11" i="92" s="1"/>
  <c r="P57" i="209"/>
  <c r="P58" i="209" s="1"/>
  <c r="Q36" i="210" s="1"/>
  <c r="P11" i="164"/>
  <c r="K19" i="163"/>
  <c r="M11" i="164" s="1"/>
  <c r="M58" i="211"/>
  <c r="M37" i="164"/>
  <c r="BL31" i="4" s="1"/>
  <c r="K77" i="163"/>
  <c r="P63" i="91"/>
  <c r="M63" i="91"/>
  <c r="Q63" i="91"/>
  <c r="X63" i="91" s="1"/>
  <c r="Q59" i="91" s="1"/>
  <c r="R25" i="92" s="1"/>
  <c r="O63" i="91"/>
  <c r="N63" i="91"/>
  <c r="N57" i="213"/>
  <c r="N58" i="213" s="1"/>
  <c r="O36" i="214" s="1"/>
  <c r="N57" i="209"/>
  <c r="N58" i="209" s="1"/>
  <c r="O36" i="210" s="1"/>
  <c r="Q63" i="159"/>
  <c r="X63" i="159" s="1"/>
  <c r="Q59" i="159" s="1"/>
  <c r="R25" i="160" s="1"/>
  <c r="M63" i="159"/>
  <c r="N63" i="159"/>
  <c r="O63" i="159"/>
  <c r="P63" i="159"/>
  <c r="W63" i="159" s="1"/>
  <c r="P59" i="159" s="1"/>
  <c r="Q25" i="160" s="1"/>
  <c r="O57" i="213"/>
  <c r="O58" i="213" s="1"/>
  <c r="P36" i="214" s="1"/>
  <c r="O11" i="160"/>
  <c r="K19" i="159"/>
  <c r="M11" i="160" s="1"/>
  <c r="R53" i="92"/>
  <c r="R50" i="92"/>
  <c r="R59" i="92"/>
  <c r="R60" i="92" s="1"/>
  <c r="R65" i="92"/>
  <c r="R33" i="92"/>
  <c r="M57" i="213"/>
  <c r="M57" i="215"/>
  <c r="R66" i="92"/>
  <c r="P57" i="215"/>
  <c r="P58" i="215" s="1"/>
  <c r="Q36" i="216" s="1"/>
  <c r="Q57" i="209"/>
  <c r="Q58" i="209" s="1"/>
  <c r="R36" i="210" s="1"/>
  <c r="Q63" i="163"/>
  <c r="X63" i="163" s="1"/>
  <c r="Q59" i="163" s="1"/>
  <c r="R25" i="164" s="1"/>
  <c r="O63" i="163"/>
  <c r="N63" i="163"/>
  <c r="P63" i="163"/>
  <c r="W63" i="163" s="1"/>
  <c r="P59" i="163" s="1"/>
  <c r="Q25" i="164" s="1"/>
  <c r="M63" i="163"/>
  <c r="N57" i="215"/>
  <c r="N58" i="215" s="1"/>
  <c r="O36" i="216" s="1"/>
  <c r="O57" i="209"/>
  <c r="O58" i="209" s="1"/>
  <c r="P36" i="210" s="1"/>
  <c r="N68" i="109"/>
  <c r="N67" i="109" s="1"/>
  <c r="N23" i="110" s="1"/>
  <c r="BW20" i="4" s="1"/>
  <c r="L68" i="201"/>
  <c r="L67" i="201" s="1"/>
  <c r="M23" i="202" s="1"/>
  <c r="P68" i="201"/>
  <c r="P67" i="201" s="1"/>
  <c r="O23" i="202" s="1"/>
  <c r="N68" i="201"/>
  <c r="N67" i="201" s="1"/>
  <c r="N23" i="202" s="1"/>
  <c r="P68" i="43"/>
  <c r="P67" i="43" s="1"/>
  <c r="O23" i="44" s="1"/>
  <c r="L68" i="43"/>
  <c r="L67" i="43" s="1"/>
  <c r="M23" i="44" s="1"/>
  <c r="N68" i="43"/>
  <c r="N67" i="43" s="1"/>
  <c r="N23" i="44" s="1"/>
  <c r="L68" i="199"/>
  <c r="L67" i="199" s="1"/>
  <c r="M23" i="200" s="1"/>
  <c r="N68" i="199"/>
  <c r="N67" i="199" s="1"/>
  <c r="N23" i="200" s="1"/>
  <c r="P68" i="199"/>
  <c r="P67" i="199" s="1"/>
  <c r="O23" i="200" s="1"/>
  <c r="L68" i="109"/>
  <c r="L67" i="109" s="1"/>
  <c r="M23" i="110" s="1"/>
  <c r="BV20" i="4" s="1"/>
  <c r="N68" i="195"/>
  <c r="N67" i="195" s="1"/>
  <c r="N23" i="196" s="1"/>
  <c r="L68" i="195"/>
  <c r="L67" i="195" s="1"/>
  <c r="M23" i="196" s="1"/>
  <c r="Q16" i="16"/>
  <c r="N16" i="16"/>
  <c r="O16" i="66"/>
  <c r="Q16" i="160"/>
  <c r="R16" i="160"/>
  <c r="P16" i="164"/>
  <c r="P16" i="18"/>
  <c r="M57" i="163"/>
  <c r="M58" i="163" s="1"/>
  <c r="N16" i="18"/>
  <c r="U30" i="26"/>
  <c r="P25" i="25"/>
  <c r="Y30" i="26" s="1"/>
  <c r="Q16" i="26" s="1"/>
  <c r="V30" i="26"/>
  <c r="N16" i="26" s="1"/>
  <c r="Q25" i="25"/>
  <c r="Z30" i="26" s="1"/>
  <c r="M57" i="23"/>
  <c r="M58" i="23" s="1"/>
  <c r="Q16" i="50"/>
  <c r="N16" i="82"/>
  <c r="M16" i="82"/>
  <c r="Q16" i="82"/>
  <c r="N16" i="208"/>
  <c r="Q16" i="208"/>
  <c r="R16" i="208"/>
  <c r="M16" i="22"/>
  <c r="P16" i="22"/>
  <c r="Q16" i="22"/>
  <c r="M16" i="57"/>
  <c r="Q16" i="57"/>
  <c r="N16" i="57"/>
  <c r="M16" i="32"/>
  <c r="N16" i="32"/>
  <c r="O16" i="32"/>
  <c r="R16" i="82"/>
  <c r="P16" i="82"/>
  <c r="O16" i="82"/>
  <c r="O16" i="208"/>
  <c r="M16" i="208"/>
  <c r="P16" i="208"/>
  <c r="Q25" i="58"/>
  <c r="Z30" i="59" s="1"/>
  <c r="P25" i="58"/>
  <c r="Y30" i="59" s="1"/>
  <c r="W30" i="59"/>
  <c r="U30" i="59"/>
  <c r="O25" i="58"/>
  <c r="X30" i="59" s="1"/>
  <c r="O16" i="22"/>
  <c r="R16" i="22"/>
  <c r="N16" i="22"/>
  <c r="R16" i="57"/>
  <c r="P16" i="57"/>
  <c r="O16" i="57"/>
  <c r="Q16" i="32"/>
  <c r="R16" i="32"/>
  <c r="P16" i="32"/>
  <c r="M40" i="212"/>
  <c r="K79" i="211"/>
  <c r="BZ30" i="4"/>
  <c r="CF30" i="4"/>
  <c r="M57" i="56"/>
  <c r="M58" i="56" s="1"/>
  <c r="P57" i="23"/>
  <c r="P58" i="23" s="1"/>
  <c r="Q36" i="24" s="1"/>
  <c r="Q57" i="23"/>
  <c r="Q58" i="23" s="1"/>
  <c r="R36" i="24" s="1"/>
  <c r="O57" i="23"/>
  <c r="O58" i="23" s="1"/>
  <c r="P36" i="24" s="1"/>
  <c r="N57" i="163"/>
  <c r="N58" i="163" s="1"/>
  <c r="O36" i="164" s="1"/>
  <c r="O57" i="163"/>
  <c r="O58" i="163" s="1"/>
  <c r="P36" i="164" s="1"/>
  <c r="N57" i="103"/>
  <c r="N58" i="103" s="1"/>
  <c r="O36" i="104" s="1"/>
  <c r="N57" i="56"/>
  <c r="N58" i="56" s="1"/>
  <c r="O36" i="57" s="1"/>
  <c r="O57" i="56"/>
  <c r="O58" i="56" s="1"/>
  <c r="P36" i="57" s="1"/>
  <c r="M57" i="49"/>
  <c r="M58" i="49" s="1"/>
  <c r="N57" i="23"/>
  <c r="N58" i="23" s="1"/>
  <c r="O36" i="24" s="1"/>
  <c r="O57" i="103"/>
  <c r="O58" i="103" s="1"/>
  <c r="P36" i="104" s="1"/>
  <c r="M57" i="103"/>
  <c r="V52" i="81"/>
  <c r="O57" i="81" s="1"/>
  <c r="O58" i="81" s="1"/>
  <c r="P36" i="82" s="1"/>
  <c r="K52" i="81"/>
  <c r="T52" i="81"/>
  <c r="M57" i="81" s="1"/>
  <c r="U52" i="81"/>
  <c r="N57" i="81" s="1"/>
  <c r="N58" i="81" s="1"/>
  <c r="O36" i="82" s="1"/>
  <c r="R52" i="181"/>
  <c r="U52" i="181"/>
  <c r="X52" i="181"/>
  <c r="X46" i="45"/>
  <c r="U46" i="45"/>
  <c r="R46" i="45"/>
  <c r="X52" i="89"/>
  <c r="R52" i="89"/>
  <c r="U52" i="89"/>
  <c r="Z50" i="15"/>
  <c r="AA50" i="15"/>
  <c r="AB50" i="15"/>
  <c r="X50" i="89"/>
  <c r="R50" i="89"/>
  <c r="U50" i="89"/>
  <c r="R50" i="181"/>
  <c r="X50" i="181"/>
  <c r="U50" i="181"/>
  <c r="N16" i="24"/>
  <c r="O16" i="24"/>
  <c r="P16" i="24"/>
  <c r="S12" i="4"/>
  <c r="R16" i="18"/>
  <c r="M57" i="51"/>
  <c r="O57" i="51"/>
  <c r="O58" i="51" s="1"/>
  <c r="P36" i="52" s="1"/>
  <c r="P57" i="51"/>
  <c r="P58" i="51" s="1"/>
  <c r="Q36" i="52" s="1"/>
  <c r="O57" i="35"/>
  <c r="O58" i="35" s="1"/>
  <c r="P36" i="36" s="1"/>
  <c r="M57" i="35"/>
  <c r="M57" i="21"/>
  <c r="O57" i="21"/>
  <c r="O58" i="21" s="1"/>
  <c r="P36" i="22" s="1"/>
  <c r="O57" i="91"/>
  <c r="O58" i="91" s="1"/>
  <c r="P36" i="92" s="1"/>
  <c r="M57" i="91"/>
  <c r="P16" i="92"/>
  <c r="M16" i="92"/>
  <c r="R16" i="92"/>
  <c r="AD50" i="19"/>
  <c r="U54" i="89"/>
  <c r="X54" i="89"/>
  <c r="R54" i="89"/>
  <c r="U51" i="89"/>
  <c r="X51" i="89"/>
  <c r="R51" i="89"/>
  <c r="R54" i="181"/>
  <c r="X54" i="181"/>
  <c r="U54" i="181"/>
  <c r="R51" i="181"/>
  <c r="X51" i="181"/>
  <c r="U51" i="181"/>
  <c r="M16" i="24"/>
  <c r="R16" i="24"/>
  <c r="Q16" i="24"/>
  <c r="R16" i="16"/>
  <c r="Q57" i="51"/>
  <c r="Q58" i="51" s="1"/>
  <c r="R36" i="52" s="1"/>
  <c r="N57" i="51"/>
  <c r="N58" i="51" s="1"/>
  <c r="O36" i="52" s="1"/>
  <c r="N57" i="35"/>
  <c r="N58" i="35" s="1"/>
  <c r="O36" i="36" s="1"/>
  <c r="N57" i="21"/>
  <c r="N58" i="21" s="1"/>
  <c r="O36" i="22" s="1"/>
  <c r="N57" i="91"/>
  <c r="N58" i="91" s="1"/>
  <c r="O36" i="92" s="1"/>
  <c r="P57" i="91"/>
  <c r="P58" i="91" s="1"/>
  <c r="Q36" i="92" s="1"/>
  <c r="Q16" i="92"/>
  <c r="N16" i="92"/>
  <c r="O16" i="92"/>
  <c r="S11" i="4"/>
  <c r="S8" i="4"/>
  <c r="H50" i="15" l="1"/>
  <c r="H50" i="19"/>
  <c r="O16" i="26"/>
  <c r="N16" i="50"/>
  <c r="N38" i="72"/>
  <c r="AK33" i="4" s="1"/>
  <c r="M38" i="72"/>
  <c r="AJ33" i="4" s="1"/>
  <c r="O38" i="182"/>
  <c r="P16" i="50"/>
  <c r="M16" i="50"/>
  <c r="N78" i="159"/>
  <c r="N79" i="159" s="1"/>
  <c r="P78" i="215"/>
  <c r="P79" i="215" s="1"/>
  <c r="O38" i="74"/>
  <c r="AO33" i="4" s="1"/>
  <c r="O38" i="194"/>
  <c r="M38" i="182"/>
  <c r="O38" i="48"/>
  <c r="AI33" i="4" s="1"/>
  <c r="M38" i="110"/>
  <c r="BV33" i="4" s="1"/>
  <c r="O38" i="84"/>
  <c r="AR33" i="4" s="1"/>
  <c r="M38" i="114"/>
  <c r="BP33" i="4" s="1"/>
  <c r="O38" i="202"/>
  <c r="O38" i="110"/>
  <c r="BX33" i="4" s="1"/>
  <c r="N78" i="91"/>
  <c r="O38" i="92" s="1"/>
  <c r="O40" i="92" s="1"/>
  <c r="N78" i="103"/>
  <c r="N79" i="103" s="1"/>
  <c r="O38" i="158"/>
  <c r="AB33" i="4" s="1"/>
  <c r="P78" i="65"/>
  <c r="Q38" i="66" s="1"/>
  <c r="Q40" i="66" s="1"/>
  <c r="P78" i="81"/>
  <c r="P79" i="81" s="1"/>
  <c r="Q78" i="81"/>
  <c r="Q79" i="81" s="1"/>
  <c r="O38" i="114"/>
  <c r="BR33" i="4" s="1"/>
  <c r="O38" i="90"/>
  <c r="BJ33" i="4" s="1"/>
  <c r="N78" i="163"/>
  <c r="O38" i="164" s="1"/>
  <c r="O40" i="164" s="1"/>
  <c r="M78" i="23"/>
  <c r="N38" i="24" s="1"/>
  <c r="N40" i="24" s="1"/>
  <c r="Q78" i="103"/>
  <c r="R38" i="104" s="1"/>
  <c r="R40" i="104" s="1"/>
  <c r="O78" i="35"/>
  <c r="P38" i="36" s="1"/>
  <c r="P40" i="36" s="1"/>
  <c r="M78" i="65"/>
  <c r="N38" i="66" s="1"/>
  <c r="N40" i="66" s="1"/>
  <c r="Q78" i="213"/>
  <c r="R38" i="214" s="1"/>
  <c r="R40" i="214" s="1"/>
  <c r="Q78" i="215"/>
  <c r="Q79" i="215" s="1"/>
  <c r="M38" i="90"/>
  <c r="BH33" i="4" s="1"/>
  <c r="N78" i="21"/>
  <c r="O38" i="22" s="1"/>
  <c r="O40" i="22" s="1"/>
  <c r="M78" i="35"/>
  <c r="N38" i="36" s="1"/>
  <c r="N40" i="36" s="1"/>
  <c r="M78" i="159"/>
  <c r="N38" i="160" s="1"/>
  <c r="N40" i="160" s="1"/>
  <c r="M78" i="56"/>
  <c r="N38" i="57" s="1"/>
  <c r="N40" i="57" s="1"/>
  <c r="M78" i="215"/>
  <c r="N38" i="216" s="1"/>
  <c r="N40" i="216" s="1"/>
  <c r="M78" i="81"/>
  <c r="M79" i="81" s="1"/>
  <c r="N38" i="112"/>
  <c r="BZ33" i="4" s="1"/>
  <c r="O38" i="108"/>
  <c r="BU33" i="4" s="1"/>
  <c r="M38" i="194"/>
  <c r="M38" i="112"/>
  <c r="CE33" i="4" s="1"/>
  <c r="N38" i="48"/>
  <c r="AH33" i="4" s="1"/>
  <c r="O38" i="54"/>
  <c r="Y33" i="4" s="1"/>
  <c r="N38" i="108"/>
  <c r="BT33" i="4" s="1"/>
  <c r="O38" i="196"/>
  <c r="M38" i="116"/>
  <c r="CB33" i="4" s="1"/>
  <c r="M38" i="44"/>
  <c r="M38" i="54"/>
  <c r="W33" i="4" s="1"/>
  <c r="N38" i="116"/>
  <c r="CC33" i="4" s="1"/>
  <c r="O38" i="44"/>
  <c r="M38" i="196"/>
  <c r="N38" i="180"/>
  <c r="P78" i="56"/>
  <c r="Q38" i="57" s="1"/>
  <c r="Q40" i="57" s="1"/>
  <c r="P78" i="21"/>
  <c r="P79" i="21" s="1"/>
  <c r="M78" i="103"/>
  <c r="N38" i="104" s="1"/>
  <c r="N40" i="104" s="1"/>
  <c r="O78" i="215"/>
  <c r="O79" i="215" s="1"/>
  <c r="Q78" i="207"/>
  <c r="Q79" i="207" s="1"/>
  <c r="O78" i="213"/>
  <c r="O79" i="213" s="1"/>
  <c r="O78" i="21"/>
  <c r="O79" i="21" s="1"/>
  <c r="P78" i="207"/>
  <c r="P79" i="207" s="1"/>
  <c r="M78" i="213"/>
  <c r="N38" i="214" s="1"/>
  <c r="N40" i="214" s="1"/>
  <c r="M78" i="207"/>
  <c r="M79" i="207" s="1"/>
  <c r="M78" i="163"/>
  <c r="N38" i="164" s="1"/>
  <c r="N40" i="164" s="1"/>
  <c r="Q78" i="21"/>
  <c r="R38" i="22" s="1"/>
  <c r="R40" i="22" s="1"/>
  <c r="N78" i="207"/>
  <c r="O38" i="208" s="1"/>
  <c r="O40" i="208" s="1"/>
  <c r="N78" i="209"/>
  <c r="O38" i="210" s="1"/>
  <c r="O40" i="210" s="1"/>
  <c r="M78" i="91"/>
  <c r="M79" i="91" s="1"/>
  <c r="M38" i="188"/>
  <c r="N78" i="65"/>
  <c r="N79" i="65" s="1"/>
  <c r="N78" i="56"/>
  <c r="O38" i="57" s="1"/>
  <c r="O40" i="57" s="1"/>
  <c r="O78" i="91"/>
  <c r="P38" i="92" s="1"/>
  <c r="P40" i="92" s="1"/>
  <c r="M78" i="209"/>
  <c r="M79" i="209" s="1"/>
  <c r="O78" i="207"/>
  <c r="O79" i="207" s="1"/>
  <c r="O78" i="65"/>
  <c r="O79" i="65" s="1"/>
  <c r="O38" i="188"/>
  <c r="O78" i="209"/>
  <c r="O79" i="209" s="1"/>
  <c r="P78" i="23"/>
  <c r="P79" i="23" s="1"/>
  <c r="O78" i="81"/>
  <c r="O79" i="81" s="1"/>
  <c r="O78" i="163"/>
  <c r="P38" i="164" s="1"/>
  <c r="P40" i="164" s="1"/>
  <c r="O78" i="23"/>
  <c r="P38" i="24" s="1"/>
  <c r="P40" i="24" s="1"/>
  <c r="N78" i="23"/>
  <c r="N79" i="23" s="1"/>
  <c r="O78" i="159"/>
  <c r="P38" i="160" s="1"/>
  <c r="P40" i="160" s="1"/>
  <c r="P78" i="103"/>
  <c r="P79" i="103" s="1"/>
  <c r="M38" i="158"/>
  <c r="Z33" i="4" s="1"/>
  <c r="O78" i="103"/>
  <c r="O79" i="103" s="1"/>
  <c r="Q78" i="56"/>
  <c r="R38" i="57" s="1"/>
  <c r="R40" i="57" s="1"/>
  <c r="P78" i="213"/>
  <c r="Q38" i="214" s="1"/>
  <c r="Q40" i="214" s="1"/>
  <c r="N78" i="81"/>
  <c r="N79" i="81" s="1"/>
  <c r="P78" i="91"/>
  <c r="Q38" i="92" s="1"/>
  <c r="Q40" i="92" s="1"/>
  <c r="P78" i="209"/>
  <c r="P79" i="209" s="1"/>
  <c r="O78" i="56"/>
  <c r="P38" i="57" s="1"/>
  <c r="P40" i="57" s="1"/>
  <c r="N78" i="213"/>
  <c r="O38" i="214" s="1"/>
  <c r="O40" i="214" s="1"/>
  <c r="Q78" i="209"/>
  <c r="R38" i="210" s="1"/>
  <c r="R40" i="210" s="1"/>
  <c r="M78" i="21"/>
  <c r="N38" i="22" s="1"/>
  <c r="N40" i="22" s="1"/>
  <c r="Q78" i="23"/>
  <c r="Q79" i="23" s="1"/>
  <c r="N38" i="118"/>
  <c r="N38" i="84"/>
  <c r="AQ33" i="4" s="1"/>
  <c r="N38" i="88"/>
  <c r="BC33" i="4" s="1"/>
  <c r="M38" i="74"/>
  <c r="AM33" i="4" s="1"/>
  <c r="O38" i="86"/>
  <c r="AX33" i="4" s="1"/>
  <c r="M38" i="120"/>
  <c r="M38" i="88"/>
  <c r="BB33" i="4" s="1"/>
  <c r="M38" i="198"/>
  <c r="M38" i="86"/>
  <c r="AV33" i="4" s="1"/>
  <c r="O38" i="120"/>
  <c r="O38" i="192"/>
  <c r="CJ33" i="4" s="1"/>
  <c r="N38" i="198"/>
  <c r="O38" i="180"/>
  <c r="M38" i="192"/>
  <c r="CH33" i="4" s="1"/>
  <c r="M38" i="118"/>
  <c r="N38" i="202"/>
  <c r="J63" i="163"/>
  <c r="N36" i="212"/>
  <c r="K57" i="207"/>
  <c r="M58" i="215"/>
  <c r="K57" i="215"/>
  <c r="K57" i="209"/>
  <c r="H52" i="209"/>
  <c r="K52" i="209" s="1"/>
  <c r="H54" i="215"/>
  <c r="K54" i="215" s="1"/>
  <c r="H54" i="213"/>
  <c r="K54" i="213" s="1"/>
  <c r="N36" i="208"/>
  <c r="K58" i="207"/>
  <c r="M36" i="208" s="1"/>
  <c r="M58" i="213"/>
  <c r="K57" i="213"/>
  <c r="J63" i="159"/>
  <c r="N36" i="210"/>
  <c r="K58" i="209"/>
  <c r="M36" i="210" s="1"/>
  <c r="J63" i="91"/>
  <c r="R16" i="26"/>
  <c r="M16" i="26"/>
  <c r="CG33" i="4"/>
  <c r="CA33" i="4"/>
  <c r="Q38" i="24"/>
  <c r="Q40" i="24" s="1"/>
  <c r="BY33" i="4"/>
  <c r="O38" i="216"/>
  <c r="O40" i="216" s="1"/>
  <c r="N79" i="215"/>
  <c r="P16" i="26"/>
  <c r="K57" i="49"/>
  <c r="K57" i="163"/>
  <c r="T33" i="4"/>
  <c r="P16" i="59"/>
  <c r="N16" i="59"/>
  <c r="Q16" i="59"/>
  <c r="M16" i="59"/>
  <c r="O16" i="59"/>
  <c r="R16" i="59"/>
  <c r="K57" i="56"/>
  <c r="M58" i="81"/>
  <c r="K57" i="81"/>
  <c r="N36" i="50"/>
  <c r="K58" i="49"/>
  <c r="M36" i="50" s="1"/>
  <c r="K57" i="91"/>
  <c r="M58" i="91"/>
  <c r="M58" i="35"/>
  <c r="M58" i="51"/>
  <c r="K57" i="51"/>
  <c r="M56" i="181"/>
  <c r="M57" i="181" s="1"/>
  <c r="N35" i="182" s="1"/>
  <c r="K56" i="181"/>
  <c r="K57" i="181" s="1"/>
  <c r="M35" i="182" s="1"/>
  <c r="K56" i="89"/>
  <c r="K57" i="89" s="1"/>
  <c r="M35" i="90" s="1"/>
  <c r="M58" i="103"/>
  <c r="K57" i="103"/>
  <c r="N36" i="164"/>
  <c r="K58" i="163"/>
  <c r="M36" i="164" s="1"/>
  <c r="K57" i="23"/>
  <c r="H51" i="211"/>
  <c r="H54" i="17"/>
  <c r="K54" i="17" s="1"/>
  <c r="H53" i="17"/>
  <c r="K53" i="17" s="1"/>
  <c r="H56" i="81"/>
  <c r="K56" i="81" s="1"/>
  <c r="M58" i="21"/>
  <c r="K57" i="21"/>
  <c r="O56" i="181"/>
  <c r="O57" i="181" s="1"/>
  <c r="O35" i="182" s="1"/>
  <c r="M56" i="89"/>
  <c r="M57" i="89" s="1"/>
  <c r="N35" i="90" s="1"/>
  <c r="O56" i="89"/>
  <c r="O57" i="89" s="1"/>
  <c r="O35" i="90" s="1"/>
  <c r="N36" i="57"/>
  <c r="K58" i="56"/>
  <c r="M36" i="57" s="1"/>
  <c r="K58" i="23"/>
  <c r="M36" i="24" s="1"/>
  <c r="N36" i="24"/>
  <c r="U50" i="19" l="1"/>
  <c r="N57" i="19" s="1"/>
  <c r="N58" i="19" s="1"/>
  <c r="O36" i="20" s="1"/>
  <c r="T50" i="19"/>
  <c r="M57" i="19" s="1"/>
  <c r="M58" i="19" s="1"/>
  <c r="N36" i="20" s="1"/>
  <c r="W50" i="19"/>
  <c r="P57" i="19" s="1"/>
  <c r="P58" i="19" s="1"/>
  <c r="Q36" i="20" s="1"/>
  <c r="O38" i="160"/>
  <c r="O40" i="160" s="1"/>
  <c r="M40" i="160" s="1"/>
  <c r="H53" i="213"/>
  <c r="K53" i="213" s="1"/>
  <c r="G50" i="19"/>
  <c r="G50" i="15"/>
  <c r="I46" i="53"/>
  <c r="H46" i="53"/>
  <c r="H53" i="81"/>
  <c r="K53" i="81" s="1"/>
  <c r="V50" i="19"/>
  <c r="O57" i="19" s="1"/>
  <c r="K50" i="19"/>
  <c r="W50" i="15"/>
  <c r="K50" i="15"/>
  <c r="N79" i="163"/>
  <c r="R38" i="208"/>
  <c r="R40" i="208" s="1"/>
  <c r="N79" i="209"/>
  <c r="K79" i="209" s="1"/>
  <c r="P38" i="214"/>
  <c r="P40" i="214" s="1"/>
  <c r="P79" i="65"/>
  <c r="M79" i="56"/>
  <c r="O79" i="35"/>
  <c r="M79" i="159"/>
  <c r="N79" i="207"/>
  <c r="K79" i="207" s="1"/>
  <c r="N79" i="21"/>
  <c r="O38" i="24"/>
  <c r="O40" i="24" s="1"/>
  <c r="M79" i="215"/>
  <c r="K79" i="215" s="1"/>
  <c r="Q79" i="213"/>
  <c r="Q38" i="216"/>
  <c r="Q40" i="216" s="1"/>
  <c r="O38" i="66"/>
  <c r="O40" i="66" s="1"/>
  <c r="N38" i="92"/>
  <c r="N40" i="92" s="1"/>
  <c r="M40" i="92" s="1"/>
  <c r="Q79" i="103"/>
  <c r="P38" i="22"/>
  <c r="P40" i="22" s="1"/>
  <c r="P79" i="56"/>
  <c r="CF33" i="4"/>
  <c r="P79" i="91"/>
  <c r="N79" i="91"/>
  <c r="M79" i="65"/>
  <c r="N79" i="213"/>
  <c r="M79" i="213"/>
  <c r="P38" i="208"/>
  <c r="P40" i="208" s="1"/>
  <c r="Q38" i="104"/>
  <c r="Q40" i="104" s="1"/>
  <c r="P38" i="104"/>
  <c r="P40" i="104" s="1"/>
  <c r="Q79" i="209"/>
  <c r="M79" i="23"/>
  <c r="K79" i="81"/>
  <c r="O79" i="159"/>
  <c r="O38" i="104"/>
  <c r="O40" i="104" s="1"/>
  <c r="P38" i="66"/>
  <c r="P40" i="66" s="1"/>
  <c r="M79" i="35"/>
  <c r="R38" i="216"/>
  <c r="R40" i="216" s="1"/>
  <c r="M79" i="21"/>
  <c r="N38" i="208"/>
  <c r="N40" i="208" s="1"/>
  <c r="N79" i="56"/>
  <c r="Q38" i="22"/>
  <c r="Q40" i="22" s="1"/>
  <c r="O79" i="163"/>
  <c r="O79" i="91"/>
  <c r="M79" i="103"/>
  <c r="K79" i="103" s="1"/>
  <c r="Q79" i="56"/>
  <c r="M79" i="163"/>
  <c r="P38" i="216"/>
  <c r="P40" i="216" s="1"/>
  <c r="P79" i="213"/>
  <c r="R38" i="24"/>
  <c r="R40" i="24" s="1"/>
  <c r="O79" i="23"/>
  <c r="Q79" i="21"/>
  <c r="N38" i="210"/>
  <c r="N40" i="210" s="1"/>
  <c r="Q38" i="208"/>
  <c r="Q40" i="208" s="1"/>
  <c r="O79" i="56"/>
  <c r="Q38" i="210"/>
  <c r="Q40" i="210" s="1"/>
  <c r="P38" i="210"/>
  <c r="P40" i="210" s="1"/>
  <c r="L30" i="4"/>
  <c r="G52" i="209"/>
  <c r="G54" i="215"/>
  <c r="G53" i="213"/>
  <c r="G51" i="211"/>
  <c r="G54" i="213"/>
  <c r="M30" i="4"/>
  <c r="U51" i="211"/>
  <c r="N57" i="211" s="1"/>
  <c r="K51" i="211"/>
  <c r="N36" i="216"/>
  <c r="K58" i="215"/>
  <c r="M36" i="216" s="1"/>
  <c r="N36" i="214"/>
  <c r="K58" i="213"/>
  <c r="M36" i="214" s="1"/>
  <c r="M40" i="164"/>
  <c r="BL33" i="4" s="1"/>
  <c r="M40" i="57"/>
  <c r="H33" i="4" s="1"/>
  <c r="K58" i="91"/>
  <c r="M36" i="92" s="1"/>
  <c r="N36" i="92"/>
  <c r="H30" i="4"/>
  <c r="BJ30" i="4"/>
  <c r="N36" i="22"/>
  <c r="K58" i="21"/>
  <c r="M36" i="22" s="1"/>
  <c r="H53" i="71"/>
  <c r="H54" i="201"/>
  <c r="I51" i="157"/>
  <c r="I54" i="201"/>
  <c r="G53" i="17"/>
  <c r="I52" i="179"/>
  <c r="H52" i="157"/>
  <c r="G53" i="81"/>
  <c r="I53" i="71"/>
  <c r="H53" i="179"/>
  <c r="I48" i="201"/>
  <c r="H52" i="179"/>
  <c r="I51" i="179"/>
  <c r="I52" i="157"/>
  <c r="H53" i="157"/>
  <c r="H48" i="201"/>
  <c r="H51" i="157"/>
  <c r="H51" i="179"/>
  <c r="G54" i="17"/>
  <c r="G56" i="81"/>
  <c r="I53" i="157"/>
  <c r="I53" i="179"/>
  <c r="D55" i="91"/>
  <c r="BL30" i="4"/>
  <c r="J30" i="4"/>
  <c r="BI30" i="4"/>
  <c r="D54" i="91"/>
  <c r="N36" i="104"/>
  <c r="K58" i="103"/>
  <c r="M36" i="104" s="1"/>
  <c r="BH30" i="4"/>
  <c r="N36" i="52"/>
  <c r="K58" i="51"/>
  <c r="M36" i="52" s="1"/>
  <c r="N36" i="36"/>
  <c r="D53" i="105"/>
  <c r="D56" i="163"/>
  <c r="D54" i="163"/>
  <c r="O30" i="4"/>
  <c r="N36" i="82"/>
  <c r="K58" i="81"/>
  <c r="M36" i="82" s="1"/>
  <c r="AC50" i="15" l="1"/>
  <c r="U46" i="53"/>
  <c r="R46" i="53"/>
  <c r="X46" i="53"/>
  <c r="O58" i="19"/>
  <c r="K57" i="19"/>
  <c r="K79" i="65"/>
  <c r="M40" i="214"/>
  <c r="U33" i="4" s="1"/>
  <c r="M40" i="208"/>
  <c r="L33" i="4" s="1"/>
  <c r="K79" i="159"/>
  <c r="K79" i="21"/>
  <c r="M40" i="24"/>
  <c r="J33" i="4" s="1"/>
  <c r="M40" i="66"/>
  <c r="K79" i="56"/>
  <c r="K79" i="23"/>
  <c r="M40" i="22"/>
  <c r="K33" i="4" s="1"/>
  <c r="K79" i="91"/>
  <c r="M40" i="104"/>
  <c r="I33" i="4" s="1"/>
  <c r="K79" i="213"/>
  <c r="M40" i="210"/>
  <c r="K79" i="163"/>
  <c r="M40" i="216"/>
  <c r="V30" i="4"/>
  <c r="N58" i="211"/>
  <c r="K57" i="211"/>
  <c r="U30" i="4"/>
  <c r="BK33" i="4"/>
  <c r="I30" i="4"/>
  <c r="N30" i="4"/>
  <c r="Q30" i="4"/>
  <c r="X53" i="179"/>
  <c r="R53" i="179"/>
  <c r="U53" i="179"/>
  <c r="X52" i="157"/>
  <c r="U52" i="157"/>
  <c r="R52" i="157"/>
  <c r="U53" i="71"/>
  <c r="R53" i="71"/>
  <c r="X53" i="71"/>
  <c r="U51" i="157"/>
  <c r="R51" i="157"/>
  <c r="X51" i="157"/>
  <c r="R53" i="157"/>
  <c r="X53" i="157"/>
  <c r="U53" i="157"/>
  <c r="X51" i="179"/>
  <c r="R51" i="179"/>
  <c r="U51" i="179"/>
  <c r="U48" i="201"/>
  <c r="X48" i="201"/>
  <c r="R48" i="201"/>
  <c r="U52" i="179"/>
  <c r="R52" i="179"/>
  <c r="X52" i="179"/>
  <c r="R54" i="201"/>
  <c r="U54" i="201"/>
  <c r="X54" i="201"/>
  <c r="D55" i="163"/>
  <c r="K30" i="4"/>
  <c r="D54" i="105"/>
  <c r="D56" i="91"/>
  <c r="P36" i="20" l="1"/>
  <c r="K58" i="19"/>
  <c r="M36" i="20" s="1"/>
  <c r="N54" i="196"/>
  <c r="N52" i="196"/>
  <c r="N53" i="196"/>
  <c r="N75" i="196" s="1"/>
  <c r="N55" i="196"/>
  <c r="M32" i="196"/>
  <c r="N33" i="196"/>
  <c r="M33" i="4"/>
  <c r="V33" i="4"/>
  <c r="O36" i="212"/>
  <c r="K58" i="211"/>
  <c r="M36" i="212" s="1"/>
  <c r="O32" i="196"/>
  <c r="O33" i="196"/>
  <c r="Q57" i="18"/>
  <c r="K56" i="179"/>
  <c r="K57" i="179" s="1"/>
  <c r="M35" i="180" s="1"/>
  <c r="M56" i="179"/>
  <c r="M57" i="179" s="1"/>
  <c r="N35" i="180" s="1"/>
  <c r="O56" i="179"/>
  <c r="O57" i="179" s="1"/>
  <c r="O35" i="180" s="1"/>
  <c r="H56" i="35"/>
  <c r="H50" i="31"/>
  <c r="H50" i="58"/>
  <c r="H54" i="81" l="1"/>
  <c r="K54" i="81" s="1"/>
  <c r="G50" i="31"/>
  <c r="G50" i="58"/>
  <c r="G56" i="35"/>
  <c r="G30" i="4"/>
  <c r="N60" i="196"/>
  <c r="N62" i="196"/>
  <c r="M53" i="196"/>
  <c r="M75" i="196" s="1"/>
  <c r="M55" i="196"/>
  <c r="M54" i="196"/>
  <c r="M56" i="196"/>
  <c r="H51" i="19"/>
  <c r="K51" i="19" s="1"/>
  <c r="T30" i="4"/>
  <c r="H54" i="91"/>
  <c r="K54" i="91" s="1"/>
  <c r="H54" i="163"/>
  <c r="K54" i="163" s="1"/>
  <c r="O55" i="196"/>
  <c r="O54" i="196"/>
  <c r="O52" i="196"/>
  <c r="O53" i="196"/>
  <c r="O75" i="196" s="1"/>
  <c r="O56" i="196"/>
  <c r="W50" i="31"/>
  <c r="V50" i="31"/>
  <c r="T50" i="31"/>
  <c r="K50" i="31"/>
  <c r="U50" i="31"/>
  <c r="G54" i="163"/>
  <c r="H45" i="53"/>
  <c r="H54" i="105"/>
  <c r="G54" i="91"/>
  <c r="H45" i="73"/>
  <c r="H45" i="71"/>
  <c r="I52" i="105"/>
  <c r="I54" i="105"/>
  <c r="I45" i="53"/>
  <c r="H53" i="105"/>
  <c r="H51" i="105"/>
  <c r="I45" i="71"/>
  <c r="I45" i="83"/>
  <c r="I53" i="105"/>
  <c r="H52" i="105"/>
  <c r="I51" i="105"/>
  <c r="H45" i="83"/>
  <c r="G51" i="19"/>
  <c r="I45" i="73"/>
  <c r="G54" i="81"/>
  <c r="K50" i="58"/>
  <c r="U50" i="58"/>
  <c r="N57" i="58" s="1"/>
  <c r="N58" i="58" s="1"/>
  <c r="O36" i="59" s="1"/>
  <c r="T50" i="58"/>
  <c r="M57" i="58" s="1"/>
  <c r="X56" i="35"/>
  <c r="Q57" i="35" s="1"/>
  <c r="K56" i="35"/>
  <c r="M62" i="196" l="1"/>
  <c r="M60" i="196"/>
  <c r="G49" i="15"/>
  <c r="O60" i="196"/>
  <c r="O62" i="196"/>
  <c r="M58" i="58"/>
  <c r="K57" i="58"/>
  <c r="U51" i="105"/>
  <c r="R51" i="105"/>
  <c r="X51" i="105"/>
  <c r="U45" i="83"/>
  <c r="R45" i="83"/>
  <c r="X45" i="83"/>
  <c r="R45" i="53"/>
  <c r="U45" i="53"/>
  <c r="X45" i="53"/>
  <c r="X52" i="105"/>
  <c r="R52" i="105"/>
  <c r="U52" i="105"/>
  <c r="H53" i="211"/>
  <c r="K53" i="211" s="1"/>
  <c r="H52" i="15"/>
  <c r="K52" i="15" s="1"/>
  <c r="H54" i="23"/>
  <c r="K54" i="23" s="1"/>
  <c r="H53" i="21"/>
  <c r="K53" i="21" s="1"/>
  <c r="H54" i="103"/>
  <c r="K54" i="103" s="1"/>
  <c r="H54" i="31"/>
  <c r="K54" i="31" s="1"/>
  <c r="H54" i="25"/>
  <c r="K54" i="25" s="1"/>
  <c r="H56" i="49"/>
  <c r="K56" i="49" s="1"/>
  <c r="H49" i="58"/>
  <c r="K49" i="58" s="1"/>
  <c r="H52" i="31"/>
  <c r="K52" i="31" s="1"/>
  <c r="H55" i="91"/>
  <c r="K55" i="91" s="1"/>
  <c r="H56" i="91"/>
  <c r="K56" i="91" s="1"/>
  <c r="H54" i="51"/>
  <c r="K54" i="51" s="1"/>
  <c r="H56" i="25"/>
  <c r="K56" i="25" s="1"/>
  <c r="H55" i="31"/>
  <c r="K55" i="31" s="1"/>
  <c r="H55" i="15"/>
  <c r="K55" i="15" s="1"/>
  <c r="H55" i="21"/>
  <c r="K55" i="21" s="1"/>
  <c r="H55" i="17"/>
  <c r="K55" i="17" s="1"/>
  <c r="H52" i="19"/>
  <c r="K52" i="19" s="1"/>
  <c r="H51" i="15"/>
  <c r="K51" i="15" s="1"/>
  <c r="H54" i="56"/>
  <c r="K54" i="56" s="1"/>
  <c r="H54" i="19"/>
  <c r="K54" i="19" s="1"/>
  <c r="H55" i="103"/>
  <c r="K55" i="103" s="1"/>
  <c r="H53" i="49"/>
  <c r="K53" i="49" s="1"/>
  <c r="H55" i="163"/>
  <c r="K55" i="163" s="1"/>
  <c r="H51" i="17"/>
  <c r="H56" i="103"/>
  <c r="K56" i="103" s="1"/>
  <c r="H55" i="51"/>
  <c r="K55" i="51" s="1"/>
  <c r="H56" i="17"/>
  <c r="K56" i="17" s="1"/>
  <c r="H56" i="15"/>
  <c r="K56" i="15" s="1"/>
  <c r="H54" i="58"/>
  <c r="K54" i="58" s="1"/>
  <c r="H52" i="17"/>
  <c r="K52" i="17" s="1"/>
  <c r="H53" i="31"/>
  <c r="K53" i="31" s="1"/>
  <c r="H56" i="58"/>
  <c r="K56" i="58" s="1"/>
  <c r="H56" i="56"/>
  <c r="K56" i="56" s="1"/>
  <c r="H56" i="31"/>
  <c r="K56" i="31" s="1"/>
  <c r="H56" i="163"/>
  <c r="K56" i="163" s="1"/>
  <c r="H49" i="15"/>
  <c r="H56" i="19"/>
  <c r="K56" i="19" s="1"/>
  <c r="H52" i="58"/>
  <c r="K52" i="58" s="1"/>
  <c r="H53" i="19"/>
  <c r="K53" i="19" s="1"/>
  <c r="H48" i="31"/>
  <c r="H53" i="58"/>
  <c r="K53" i="58" s="1"/>
  <c r="H56" i="51"/>
  <c r="K56" i="51" s="1"/>
  <c r="H52" i="21"/>
  <c r="K52" i="21" s="1"/>
  <c r="H52" i="51"/>
  <c r="K52" i="51" s="1"/>
  <c r="H55" i="81"/>
  <c r="K55" i="81" s="1"/>
  <c r="H54" i="15"/>
  <c r="K54" i="15" s="1"/>
  <c r="H54" i="21"/>
  <c r="K54" i="21" s="1"/>
  <c r="H51" i="58"/>
  <c r="K51" i="58" s="1"/>
  <c r="H53" i="15"/>
  <c r="K53" i="15" s="1"/>
  <c r="H56" i="21"/>
  <c r="K56" i="21" s="1"/>
  <c r="H55" i="56"/>
  <c r="K55" i="56" s="1"/>
  <c r="H55" i="49"/>
  <c r="K55" i="49" s="1"/>
  <c r="H53" i="51"/>
  <c r="K53" i="51" s="1"/>
  <c r="H55" i="23"/>
  <c r="K55" i="23" s="1"/>
  <c r="H55" i="58"/>
  <c r="K55" i="58" s="1"/>
  <c r="H55" i="25"/>
  <c r="K55" i="25" s="1"/>
  <c r="Q58" i="35"/>
  <c r="K57" i="35"/>
  <c r="U45" i="73"/>
  <c r="R45" i="73"/>
  <c r="X45" i="73"/>
  <c r="U53" i="105"/>
  <c r="X53" i="105"/>
  <c r="R53" i="105"/>
  <c r="U45" i="71"/>
  <c r="R45" i="71"/>
  <c r="X45" i="71"/>
  <c r="R54" i="105"/>
  <c r="U54" i="105"/>
  <c r="X54" i="105"/>
  <c r="K51" i="17" l="1"/>
  <c r="T51" i="17"/>
  <c r="M57" i="17" s="1"/>
  <c r="H53" i="25"/>
  <c r="H56" i="23"/>
  <c r="K56" i="23" s="1"/>
  <c r="H52" i="207"/>
  <c r="K52" i="207" s="1"/>
  <c r="H55" i="19"/>
  <c r="K55" i="19" s="1"/>
  <c r="H54" i="49"/>
  <c r="K54" i="49" s="1"/>
  <c r="H55" i="207"/>
  <c r="K55" i="207" s="1"/>
  <c r="K49" i="15"/>
  <c r="T49" i="15"/>
  <c r="M57" i="15" s="1"/>
  <c r="U49" i="15"/>
  <c r="N57" i="15" s="1"/>
  <c r="N58" i="15" s="1"/>
  <c r="O36" i="16" s="1"/>
  <c r="V49" i="15"/>
  <c r="O57" i="15" s="1"/>
  <c r="O58" i="15" s="1"/>
  <c r="P36" i="16" s="1"/>
  <c r="W49" i="15"/>
  <c r="P57" i="15" s="1"/>
  <c r="P58" i="15" s="1"/>
  <c r="Q36" i="16" s="1"/>
  <c r="H54" i="209"/>
  <c r="K54" i="209" s="1"/>
  <c r="G53" i="211"/>
  <c r="G55" i="215"/>
  <c r="G52" i="207"/>
  <c r="G56" i="215"/>
  <c r="G55" i="209"/>
  <c r="G56" i="209"/>
  <c r="G55" i="211"/>
  <c r="G54" i="207"/>
  <c r="G54" i="209"/>
  <c r="G52" i="211"/>
  <c r="G54" i="211"/>
  <c r="G55" i="213"/>
  <c r="G55" i="207"/>
  <c r="G53" i="207"/>
  <c r="G56" i="211"/>
  <c r="G56" i="213"/>
  <c r="G53" i="209"/>
  <c r="G56" i="207"/>
  <c r="H54" i="211"/>
  <c r="K54" i="211" s="1"/>
  <c r="H53" i="209"/>
  <c r="K53" i="209" s="1"/>
  <c r="H56" i="211"/>
  <c r="K56" i="211" s="1"/>
  <c r="H55" i="211"/>
  <c r="K55" i="211" s="1"/>
  <c r="H55" i="209"/>
  <c r="K55" i="209" s="1"/>
  <c r="H54" i="207"/>
  <c r="K54" i="207" s="1"/>
  <c r="H52" i="211"/>
  <c r="K52" i="211" s="1"/>
  <c r="H56" i="215"/>
  <c r="K56" i="215" s="1"/>
  <c r="H56" i="207"/>
  <c r="K56" i="207" s="1"/>
  <c r="H55" i="215"/>
  <c r="K55" i="215" s="1"/>
  <c r="H55" i="213"/>
  <c r="K55" i="213" s="1"/>
  <c r="H56" i="209"/>
  <c r="K56" i="209" s="1"/>
  <c r="H53" i="207"/>
  <c r="K53" i="207" s="1"/>
  <c r="H56" i="213"/>
  <c r="K56" i="213" s="1"/>
  <c r="R36" i="36"/>
  <c r="K58" i="35"/>
  <c r="M36" i="36" s="1"/>
  <c r="U48" i="31"/>
  <c r="N57" i="31" s="1"/>
  <c r="N58" i="31" s="1"/>
  <c r="O36" i="32" s="1"/>
  <c r="K48" i="31"/>
  <c r="T48" i="31"/>
  <c r="M57" i="31" s="1"/>
  <c r="W48" i="31"/>
  <c r="P57" i="31" s="1"/>
  <c r="P58" i="31" s="1"/>
  <c r="Q36" i="32" s="1"/>
  <c r="V48" i="31"/>
  <c r="O57" i="31" s="1"/>
  <c r="O58" i="31" s="1"/>
  <c r="P36" i="32" s="1"/>
  <c r="I50" i="45"/>
  <c r="G56" i="25"/>
  <c r="H53" i="83"/>
  <c r="H53" i="45"/>
  <c r="I55" i="73"/>
  <c r="I48" i="45"/>
  <c r="H55" i="53"/>
  <c r="G55" i="51"/>
  <c r="H55" i="45"/>
  <c r="H54" i="73"/>
  <c r="G54" i="49"/>
  <c r="H52" i="45"/>
  <c r="G54" i="56"/>
  <c r="I53" i="43"/>
  <c r="G56" i="58"/>
  <c r="G56" i="163"/>
  <c r="I55" i="71"/>
  <c r="I54" i="71"/>
  <c r="G54" i="23"/>
  <c r="I54" i="53"/>
  <c r="G54" i="21"/>
  <c r="G53" i="49"/>
  <c r="G55" i="91"/>
  <c r="I47" i="45"/>
  <c r="I54" i="73"/>
  <c r="G53" i="15"/>
  <c r="I54" i="43"/>
  <c r="H49" i="197"/>
  <c r="G55" i="19"/>
  <c r="G52" i="19"/>
  <c r="G52" i="17"/>
  <c r="H49" i="201"/>
  <c r="G51" i="58"/>
  <c r="G52" i="21"/>
  <c r="G53" i="19"/>
  <c r="H54" i="71"/>
  <c r="H50" i="45"/>
  <c r="G56" i="19"/>
  <c r="G48" i="31"/>
  <c r="H54" i="157"/>
  <c r="G55" i="49"/>
  <c r="I55" i="43"/>
  <c r="H48" i="45"/>
  <c r="I49" i="201"/>
  <c r="G55" i="58"/>
  <c r="G56" i="31"/>
  <c r="H54" i="45"/>
  <c r="H55" i="73"/>
  <c r="I49" i="197"/>
  <c r="H53" i="73"/>
  <c r="I49" i="45"/>
  <c r="I52" i="87"/>
  <c r="I53" i="191"/>
  <c r="H54" i="53"/>
  <c r="G54" i="15"/>
  <c r="G56" i="21"/>
  <c r="G55" i="103"/>
  <c r="G55" i="15"/>
  <c r="G55" i="81"/>
  <c r="I52" i="45"/>
  <c r="H48" i="197"/>
  <c r="G55" i="25"/>
  <c r="G56" i="51"/>
  <c r="G52" i="58"/>
  <c r="I46" i="73"/>
  <c r="G52" i="31"/>
  <c r="I52" i="83"/>
  <c r="G53" i="21"/>
  <c r="G56" i="17"/>
  <c r="G55" i="163"/>
  <c r="G49" i="58"/>
  <c r="G53" i="51"/>
  <c r="H49" i="45"/>
  <c r="G54" i="31"/>
  <c r="H52" i="87"/>
  <c r="H53" i="191"/>
  <c r="G54" i="51"/>
  <c r="H52" i="83"/>
  <c r="G56" i="56"/>
  <c r="G52" i="51"/>
  <c r="G53" i="31"/>
  <c r="I55" i="45"/>
  <c r="G56" i="49"/>
  <c r="G56" i="15"/>
  <c r="H55" i="43"/>
  <c r="I54" i="157"/>
  <c r="H52" i="187"/>
  <c r="G56" i="91"/>
  <c r="H53" i="53"/>
  <c r="G53" i="25"/>
  <c r="H53" i="43"/>
  <c r="I54" i="83"/>
  <c r="I55" i="157"/>
  <c r="G54" i="25"/>
  <c r="H54" i="43"/>
  <c r="H55" i="157"/>
  <c r="G54" i="58"/>
  <c r="G51" i="17"/>
  <c r="G55" i="56"/>
  <c r="H55" i="71"/>
  <c r="I51" i="45"/>
  <c r="I55" i="83"/>
  <c r="G52" i="15"/>
  <c r="I53" i="73"/>
  <c r="I54" i="45"/>
  <c r="G54" i="103"/>
  <c r="H51" i="45"/>
  <c r="I53" i="83"/>
  <c r="G53" i="58"/>
  <c r="I52" i="187"/>
  <c r="I55" i="53"/>
  <c r="G51" i="15"/>
  <c r="I53" i="45"/>
  <c r="H46" i="73"/>
  <c r="G55" i="31"/>
  <c r="H47" i="45"/>
  <c r="H55" i="83"/>
  <c r="G55" i="21"/>
  <c r="G56" i="103"/>
  <c r="I53" i="53"/>
  <c r="H54" i="83"/>
  <c r="I48" i="197"/>
  <c r="G55" i="17"/>
  <c r="G56" i="23"/>
  <c r="G55" i="23"/>
  <c r="G54" i="19"/>
  <c r="O56" i="105"/>
  <c r="O57" i="105" s="1"/>
  <c r="O35" i="106" s="1"/>
  <c r="M56" i="105"/>
  <c r="M57" i="105" s="1"/>
  <c r="N35" i="106" s="1"/>
  <c r="N36" i="59"/>
  <c r="K58" i="58"/>
  <c r="M36" i="59" s="1"/>
  <c r="K56" i="105"/>
  <c r="K57" i="105" s="1"/>
  <c r="M35" i="106" s="1"/>
  <c r="M58" i="17" l="1"/>
  <c r="K57" i="17"/>
  <c r="Z53" i="25"/>
  <c r="AA53" i="25"/>
  <c r="K53" i="25"/>
  <c r="T53" i="25"/>
  <c r="M57" i="25" s="1"/>
  <c r="U53" i="25"/>
  <c r="N57" i="25" s="1"/>
  <c r="N58" i="25" s="1"/>
  <c r="O36" i="26" s="1"/>
  <c r="M58" i="15"/>
  <c r="K57" i="15"/>
  <c r="BM30" i="4"/>
  <c r="BN30" i="4"/>
  <c r="AA48" i="31"/>
  <c r="AB48" i="31"/>
  <c r="Z48" i="31"/>
  <c r="AC48" i="31"/>
  <c r="X48" i="197"/>
  <c r="R48" i="197"/>
  <c r="U48" i="197"/>
  <c r="R53" i="53"/>
  <c r="U53" i="53"/>
  <c r="X53" i="53"/>
  <c r="R53" i="45"/>
  <c r="X53" i="45"/>
  <c r="U53" i="45"/>
  <c r="X53" i="83"/>
  <c r="U53" i="83"/>
  <c r="R53" i="83"/>
  <c r="R53" i="73"/>
  <c r="X53" i="73"/>
  <c r="U53" i="73"/>
  <c r="U55" i="83"/>
  <c r="R55" i="83"/>
  <c r="X55" i="83"/>
  <c r="R55" i="157"/>
  <c r="U55" i="157"/>
  <c r="X55" i="157"/>
  <c r="X54" i="157"/>
  <c r="U54" i="157"/>
  <c r="R54" i="157"/>
  <c r="X55" i="45"/>
  <c r="R55" i="45"/>
  <c r="U55" i="45"/>
  <c r="R52" i="83"/>
  <c r="X52" i="83"/>
  <c r="U52" i="83"/>
  <c r="R46" i="73"/>
  <c r="U46" i="73"/>
  <c r="X46" i="73"/>
  <c r="U52" i="45"/>
  <c r="R52" i="45"/>
  <c r="X52" i="45"/>
  <c r="X52" i="87"/>
  <c r="O56" i="87" s="1"/>
  <c r="O57" i="87" s="1"/>
  <c r="O35" i="88" s="1"/>
  <c r="U52" i="87"/>
  <c r="M56" i="87" s="1"/>
  <c r="M57" i="87" s="1"/>
  <c r="N35" i="88" s="1"/>
  <c r="R52" i="87"/>
  <c r="K56" i="87" s="1"/>
  <c r="K57" i="87" s="1"/>
  <c r="M35" i="88" s="1"/>
  <c r="R55" i="43"/>
  <c r="X55" i="43"/>
  <c r="U55" i="43"/>
  <c r="X54" i="43"/>
  <c r="U54" i="43"/>
  <c r="R54" i="43"/>
  <c r="U47" i="45"/>
  <c r="X47" i="45"/>
  <c r="R47" i="45"/>
  <c r="U54" i="53"/>
  <c r="X54" i="53"/>
  <c r="R54" i="53"/>
  <c r="U55" i="71"/>
  <c r="R55" i="71"/>
  <c r="X55" i="71"/>
  <c r="X53" i="43"/>
  <c r="U53" i="43"/>
  <c r="R53" i="43"/>
  <c r="X48" i="45"/>
  <c r="U48" i="45"/>
  <c r="R48" i="45"/>
  <c r="X50" i="45"/>
  <c r="R50" i="45"/>
  <c r="U50" i="45"/>
  <c r="R30" i="4"/>
  <c r="BO30" i="4"/>
  <c r="U55" i="53"/>
  <c r="X55" i="53"/>
  <c r="R55" i="53"/>
  <c r="X52" i="187"/>
  <c r="O56" i="187" s="1"/>
  <c r="O57" i="187" s="1"/>
  <c r="O35" i="188" s="1"/>
  <c r="U52" i="187"/>
  <c r="M56" i="187" s="1"/>
  <c r="M57" i="187" s="1"/>
  <c r="N35" i="188" s="1"/>
  <c r="R52" i="187"/>
  <c r="K56" i="187" s="1"/>
  <c r="K57" i="187" s="1"/>
  <c r="M35" i="188" s="1"/>
  <c r="R54" i="45"/>
  <c r="U54" i="45"/>
  <c r="X54" i="45"/>
  <c r="R51" i="45"/>
  <c r="U51" i="45"/>
  <c r="X51" i="45"/>
  <c r="X54" i="83"/>
  <c r="U54" i="83"/>
  <c r="R54" i="83"/>
  <c r="U53" i="191"/>
  <c r="M56" i="191" s="1"/>
  <c r="M57" i="191" s="1"/>
  <c r="N35" i="192" s="1"/>
  <c r="X53" i="191"/>
  <c r="O56" i="191" s="1"/>
  <c r="O57" i="191" s="1"/>
  <c r="O35" i="192" s="1"/>
  <c r="R53" i="191"/>
  <c r="K56" i="191" s="1"/>
  <c r="K57" i="191" s="1"/>
  <c r="M35" i="192" s="1"/>
  <c r="U49" i="45"/>
  <c r="X49" i="45"/>
  <c r="R49" i="45"/>
  <c r="X49" i="197"/>
  <c r="R49" i="197"/>
  <c r="U49" i="197"/>
  <c r="X49" i="201"/>
  <c r="U49" i="201"/>
  <c r="R49" i="201"/>
  <c r="X54" i="73"/>
  <c r="R54" i="73"/>
  <c r="U54" i="73"/>
  <c r="R54" i="71"/>
  <c r="U54" i="71"/>
  <c r="X54" i="71"/>
  <c r="U55" i="73"/>
  <c r="X55" i="73"/>
  <c r="R55" i="73"/>
  <c r="M58" i="31"/>
  <c r="K57" i="31"/>
  <c r="N36" i="18" l="1"/>
  <c r="K58" i="17"/>
  <c r="M36" i="18" s="1"/>
  <c r="K57" i="25"/>
  <c r="M58" i="25"/>
  <c r="K58" i="15"/>
  <c r="M36" i="16" s="1"/>
  <c r="N36" i="16"/>
  <c r="O56" i="71"/>
  <c r="O57" i="71" s="1"/>
  <c r="O35" i="72" s="1"/>
  <c r="AL30" i="4" s="1"/>
  <c r="M56" i="71"/>
  <c r="M57" i="71" s="1"/>
  <c r="N35" i="72" s="1"/>
  <c r="AK30" i="4" s="1"/>
  <c r="K56" i="71"/>
  <c r="K57" i="71" s="1"/>
  <c r="M35" i="72" s="1"/>
  <c r="K56" i="43"/>
  <c r="K57" i="43" s="1"/>
  <c r="M35" i="44" s="1"/>
  <c r="O56" i="43"/>
  <c r="O57" i="43" s="1"/>
  <c r="O35" i="44" s="1"/>
  <c r="K56" i="157"/>
  <c r="K57" i="157" s="1"/>
  <c r="M35" i="158" s="1"/>
  <c r="O56" i="157"/>
  <c r="O57" i="157" s="1"/>
  <c r="O35" i="158" s="1"/>
  <c r="M56" i="201"/>
  <c r="M57" i="201"/>
  <c r="N35" i="202" s="1"/>
  <c r="N36" i="32"/>
  <c r="K58" i="31"/>
  <c r="M36" i="32" s="1"/>
  <c r="K56" i="201"/>
  <c r="K57" i="201"/>
  <c r="M35" i="202" s="1"/>
  <c r="O56" i="201"/>
  <c r="O57" i="201"/>
  <c r="O35" i="202" s="1"/>
  <c r="CH30" i="4"/>
  <c r="CI30" i="4"/>
  <c r="M56" i="43"/>
  <c r="M57" i="43" s="1"/>
  <c r="N35" i="44" s="1"/>
  <c r="O56" i="45"/>
  <c r="O57" i="45" s="1"/>
  <c r="O35" i="46" s="1"/>
  <c r="BB30" i="4"/>
  <c r="BD30" i="4"/>
  <c r="O56" i="73"/>
  <c r="O57" i="73" s="1"/>
  <c r="O35" i="74" s="1"/>
  <c r="K56" i="73"/>
  <c r="K57" i="73" s="1"/>
  <c r="M35" i="74" s="1"/>
  <c r="O56" i="83"/>
  <c r="O57" i="83" s="1"/>
  <c r="O35" i="84" s="1"/>
  <c r="M56" i="157"/>
  <c r="M57" i="157" s="1"/>
  <c r="N35" i="158" s="1"/>
  <c r="O56" i="53"/>
  <c r="O57" i="53" s="1"/>
  <c r="O35" i="54" s="1"/>
  <c r="Y30" i="4" s="1"/>
  <c r="K56" i="53"/>
  <c r="K57" i="53" s="1"/>
  <c r="M35" i="54" s="1"/>
  <c r="W30" i="4" s="1"/>
  <c r="K56" i="197"/>
  <c r="K57" i="197" s="1"/>
  <c r="M35" i="198" s="1"/>
  <c r="CJ30" i="4"/>
  <c r="K56" i="45"/>
  <c r="K57" i="45" s="1"/>
  <c r="M35" i="46" s="1"/>
  <c r="M56" i="45"/>
  <c r="M57" i="45" s="1"/>
  <c r="N35" i="46" s="1"/>
  <c r="BC30" i="4"/>
  <c r="M56" i="73"/>
  <c r="M57" i="73" s="1"/>
  <c r="N35" i="74" s="1"/>
  <c r="M56" i="83"/>
  <c r="M57" i="83" s="1"/>
  <c r="N35" i="84" s="1"/>
  <c r="K56" i="83"/>
  <c r="K57" i="83" s="1"/>
  <c r="M35" i="84" s="1"/>
  <c r="M56" i="53"/>
  <c r="M57" i="53" s="1"/>
  <c r="N35" i="54" s="1"/>
  <c r="X30" i="4" s="1"/>
  <c r="M56" i="197"/>
  <c r="M57" i="197" s="1"/>
  <c r="N35" i="198" s="1"/>
  <c r="O56" i="197"/>
  <c r="O57" i="197" s="1"/>
  <c r="O35" i="198" s="1"/>
  <c r="E30" i="4" l="1"/>
  <c r="N36" i="26"/>
  <c r="K58" i="25"/>
  <c r="M36" i="26" s="1"/>
  <c r="F30" i="4"/>
  <c r="AJ30" i="4"/>
  <c r="AP30" i="4"/>
  <c r="AA30" i="4"/>
  <c r="Z30" i="4"/>
  <c r="AQ30" i="4"/>
  <c r="AR30" i="4"/>
  <c r="AB30" i="4"/>
  <c r="AN30" i="4"/>
  <c r="AC30" i="4"/>
  <c r="AO30" i="4"/>
  <c r="AD30" i="4"/>
  <c r="AM30" i="4"/>
  <c r="AE30" i="4"/>
  <c r="S30" i="4"/>
  <c r="P30" i="4" l="1"/>
  <c r="L29" i="178" l="1"/>
  <c r="L33" i="5"/>
  <c r="R32" i="203"/>
  <c r="J61" i="56" l="1"/>
  <c r="M52" i="196" l="1"/>
  <c r="N32" i="196"/>
  <c r="M33" i="196"/>
  <c r="Q64" i="18"/>
  <c r="N56" i="196"/>
  <c r="M65" i="196"/>
  <c r="O65" i="196"/>
  <c r="N65" i="196"/>
  <c r="O67" i="196"/>
  <c r="M67" i="196"/>
  <c r="N67" i="196"/>
  <c r="N7" i="11"/>
  <c r="N50" i="11"/>
  <c r="N42" i="11"/>
  <c r="N59" i="11"/>
  <c r="N34" i="11"/>
  <c r="N35" i="11" s="1"/>
  <c r="I39" i="26" s="1"/>
  <c r="N25" i="11"/>
  <c r="N30" i="11" s="1"/>
  <c r="AA3" i="203"/>
  <c r="Z4" i="12" s="1"/>
  <c r="N11" i="11" l="1"/>
  <c r="N10" i="11"/>
  <c r="N9" i="11"/>
  <c r="N8" i="11"/>
  <c r="I39" i="214"/>
  <c r="R39" i="214" s="1"/>
  <c r="R70" i="214" s="1"/>
  <c r="R71" i="214" s="1"/>
  <c r="AA7" i="203"/>
  <c r="AA9" i="203" s="1"/>
  <c r="M39" i="26"/>
  <c r="P39" i="26"/>
  <c r="R39" i="26"/>
  <c r="Q39" i="26"/>
  <c r="N39" i="26"/>
  <c r="O39" i="26"/>
  <c r="H2" i="51"/>
  <c r="I2" i="52" s="1"/>
  <c r="H2" i="49"/>
  <c r="I2" i="50" s="1"/>
  <c r="J2" i="71"/>
  <c r="J2" i="72" s="1"/>
  <c r="I39" i="216"/>
  <c r="H2" i="211"/>
  <c r="I2" i="212" s="1"/>
  <c r="H2" i="31"/>
  <c r="I2" i="32" s="1"/>
  <c r="I39" i="52"/>
  <c r="J2" i="201"/>
  <c r="N29" i="11"/>
  <c r="J2" i="45"/>
  <c r="J2" i="46" s="1"/>
  <c r="H2" i="25"/>
  <c r="I2" i="26" s="1"/>
  <c r="H2" i="159"/>
  <c r="I2" i="160" s="1"/>
  <c r="H2" i="56"/>
  <c r="I2" i="57" s="1"/>
  <c r="H2" i="213"/>
  <c r="I2" i="214" s="1"/>
  <c r="J2" i="105"/>
  <c r="J2" i="106" s="1"/>
  <c r="J2" i="87"/>
  <c r="J2" i="88" s="1"/>
  <c r="J2" i="115"/>
  <c r="J2" i="116" s="1"/>
  <c r="J2" i="111"/>
  <c r="J2" i="112" s="1"/>
  <c r="L5" i="13"/>
  <c r="N26" i="11"/>
  <c r="J2" i="73"/>
  <c r="J2" i="74" s="1"/>
  <c r="J37" i="198"/>
  <c r="C32" i="4"/>
  <c r="O75" i="14"/>
  <c r="J37" i="74"/>
  <c r="J37" i="72"/>
  <c r="J37" i="44"/>
  <c r="J37" i="54"/>
  <c r="J37" i="88"/>
  <c r="J37" i="46"/>
  <c r="J37" i="202"/>
  <c r="J37" i="188"/>
  <c r="J37" i="84"/>
  <c r="J37" i="192"/>
  <c r="J37" i="106"/>
  <c r="J37" i="158"/>
  <c r="O74" i="14"/>
  <c r="J37" i="180"/>
  <c r="I39" i="32"/>
  <c r="I39" i="66"/>
  <c r="I39" i="50"/>
  <c r="J37" i="182"/>
  <c r="J37" i="90"/>
  <c r="I39" i="57"/>
  <c r="J37" i="70"/>
  <c r="J37" i="146"/>
  <c r="J37" i="116"/>
  <c r="J37" i="108"/>
  <c r="J37" i="148"/>
  <c r="J37" i="86"/>
  <c r="J37" i="110"/>
  <c r="J37" i="196"/>
  <c r="I39" i="208"/>
  <c r="I39" i="36"/>
  <c r="I39" i="20"/>
  <c r="J37" i="48"/>
  <c r="J37" i="120"/>
  <c r="I39" i="59"/>
  <c r="I39" i="160"/>
  <c r="J37" i="152"/>
  <c r="I39" i="104"/>
  <c r="J37" i="154"/>
  <c r="J37" i="114"/>
  <c r="I39" i="210"/>
  <c r="J37" i="78"/>
  <c r="J37" i="68"/>
  <c r="I39" i="82"/>
  <c r="I39" i="22"/>
  <c r="J37" i="118"/>
  <c r="J37" i="194"/>
  <c r="J37" i="112"/>
  <c r="I39" i="92"/>
  <c r="J37" i="200"/>
  <c r="J37" i="190"/>
  <c r="I39" i="164"/>
  <c r="H2" i="207"/>
  <c r="I2" i="208" s="1"/>
  <c r="H2" i="103"/>
  <c r="I2" i="104" s="1"/>
  <c r="H2" i="81"/>
  <c r="I2" i="82" s="1"/>
  <c r="J2" i="85"/>
  <c r="J2" i="86" s="1"/>
  <c r="J2" i="195"/>
  <c r="J2" i="196" s="1"/>
  <c r="H2" i="65"/>
  <c r="I2" i="66" s="1"/>
  <c r="D2" i="4"/>
  <c r="I39" i="16"/>
  <c r="J2" i="151"/>
  <c r="J2" i="152" s="1"/>
  <c r="H2" i="58"/>
  <c r="I2" i="59" s="1"/>
  <c r="J2" i="83"/>
  <c r="J2" i="84" s="1"/>
  <c r="H2" i="91"/>
  <c r="I2" i="92" s="1"/>
  <c r="H2" i="15"/>
  <c r="I2" i="16" s="1"/>
  <c r="J2" i="179"/>
  <c r="J2" i="180" s="1"/>
  <c r="J2" i="153"/>
  <c r="J2" i="154" s="1"/>
  <c r="O4" i="14"/>
  <c r="I39" i="24"/>
  <c r="I39" i="18"/>
  <c r="H2" i="21"/>
  <c r="I2" i="22" s="1"/>
  <c r="J2" i="117"/>
  <c r="J2" i="118" s="1"/>
  <c r="H2" i="35"/>
  <c r="I2" i="36" s="1"/>
  <c r="J2" i="181"/>
  <c r="J2" i="182" s="1"/>
  <c r="J2" i="53"/>
  <c r="J2" i="54" s="1"/>
  <c r="H2" i="163"/>
  <c r="I2" i="164" s="1"/>
  <c r="H2" i="215"/>
  <c r="I2" i="216" s="1"/>
  <c r="J2" i="199"/>
  <c r="E15" i="102"/>
  <c r="J2" i="197"/>
  <c r="J2" i="198" s="1"/>
  <c r="J2" i="119"/>
  <c r="J2" i="120" s="1"/>
  <c r="J2" i="145"/>
  <c r="J2" i="146" s="1"/>
  <c r="J2" i="89"/>
  <c r="J2" i="90" s="1"/>
  <c r="J2" i="189"/>
  <c r="J2" i="190" s="1"/>
  <c r="J2" i="187"/>
  <c r="J2" i="188" s="1"/>
  <c r="J2" i="149"/>
  <c r="J2" i="150" s="1"/>
  <c r="J2" i="193"/>
  <c r="J2" i="194" s="1"/>
  <c r="J2" i="69"/>
  <c r="J2" i="70" s="1"/>
  <c r="H2" i="209"/>
  <c r="I2" i="210" s="1"/>
  <c r="H2" i="23"/>
  <c r="I2" i="24" s="1"/>
  <c r="J2" i="77"/>
  <c r="J2" i="78" s="1"/>
  <c r="J2" i="43"/>
  <c r="J2" i="157"/>
  <c r="J2" i="158" s="1"/>
  <c r="N27" i="11"/>
  <c r="Z6" i="12" s="1"/>
  <c r="J2" i="67"/>
  <c r="J2" i="68" s="1"/>
  <c r="N69" i="11"/>
  <c r="J37" i="150"/>
  <c r="I39" i="212"/>
  <c r="N28" i="11"/>
  <c r="J2" i="147"/>
  <c r="J2" i="148" s="1"/>
  <c r="H2" i="19"/>
  <c r="I2" i="20" s="1"/>
  <c r="J2" i="107"/>
  <c r="J2" i="108" s="1"/>
  <c r="J2" i="109"/>
  <c r="J2" i="110" s="1"/>
  <c r="J2" i="191"/>
  <c r="J2" i="192" s="1"/>
  <c r="J2" i="47"/>
  <c r="J2" i="48" s="1"/>
  <c r="J2" i="113"/>
  <c r="J2" i="114" s="1"/>
  <c r="H27" i="105" l="1"/>
  <c r="H32" i="91"/>
  <c r="H33" i="91" s="1"/>
  <c r="L32" i="91" s="1"/>
  <c r="H32" i="163"/>
  <c r="H33" i="163" s="1"/>
  <c r="L32" i="163" s="1"/>
  <c r="H27" i="87"/>
  <c r="H32" i="103"/>
  <c r="H33" i="103" s="1"/>
  <c r="L32" i="103" s="1"/>
  <c r="H27" i="153"/>
  <c r="H32" i="15"/>
  <c r="H33" i="15" s="1"/>
  <c r="L32" i="15" s="1"/>
  <c r="H32" i="81"/>
  <c r="H33" i="81" s="1"/>
  <c r="L32" i="81" s="1"/>
  <c r="H27" i="191"/>
  <c r="H27" i="85"/>
  <c r="H32" i="17"/>
  <c r="H33" i="17" s="1"/>
  <c r="L32" i="17" s="1"/>
  <c r="H27" i="111"/>
  <c r="H27" i="181"/>
  <c r="H32" i="211"/>
  <c r="H33" i="211" s="1"/>
  <c r="L32" i="211" s="1"/>
  <c r="H27" i="77"/>
  <c r="H32" i="23"/>
  <c r="H33" i="23" s="1"/>
  <c r="L32" i="23" s="1"/>
  <c r="H32" i="213"/>
  <c r="H33" i="213" s="1"/>
  <c r="L32" i="213" s="1"/>
  <c r="H27" i="195"/>
  <c r="H27" i="109"/>
  <c r="H27" i="107"/>
  <c r="H27" i="147"/>
  <c r="H32" i="35"/>
  <c r="H33" i="35" s="1"/>
  <c r="L32" i="35" s="1"/>
  <c r="H27" i="193"/>
  <c r="H32" i="207"/>
  <c r="H33" i="207" s="1"/>
  <c r="L32" i="207" s="1"/>
  <c r="H27" i="69"/>
  <c r="H27" i="43"/>
  <c r="H27" i="197"/>
  <c r="H27" i="117"/>
  <c r="H27" i="119"/>
  <c r="H27" i="151"/>
  <c r="H32" i="65"/>
  <c r="H33" i="65" s="1"/>
  <c r="L32" i="65" s="1"/>
  <c r="H27" i="67"/>
  <c r="H32" i="215"/>
  <c r="H33" i="215" s="1"/>
  <c r="L32" i="215" s="1"/>
  <c r="H32" i="209"/>
  <c r="H33" i="209" s="1"/>
  <c r="L32" i="209" s="1"/>
  <c r="H32" i="25"/>
  <c r="H33" i="25" s="1"/>
  <c r="L32" i="25" s="1"/>
  <c r="H32" i="58"/>
  <c r="H33" i="58" s="1"/>
  <c r="L32" i="58" s="1"/>
  <c r="H27" i="89"/>
  <c r="H32" i="51"/>
  <c r="H33" i="51" s="1"/>
  <c r="L32" i="51" s="1"/>
  <c r="H32" i="56"/>
  <c r="H33" i="56" s="1"/>
  <c r="L32" i="56" s="1"/>
  <c r="H32" i="31"/>
  <c r="H33" i="31" s="1"/>
  <c r="L32" i="31" s="1"/>
  <c r="H27" i="179"/>
  <c r="H27" i="47"/>
  <c r="H27" i="45"/>
  <c r="H27" i="149"/>
  <c r="H27" i="157"/>
  <c r="N40" i="11"/>
  <c r="H27" i="187"/>
  <c r="H27" i="145"/>
  <c r="H27" i="83"/>
  <c r="H27" i="113"/>
  <c r="H32" i="159"/>
  <c r="H33" i="159" s="1"/>
  <c r="L32" i="159" s="1"/>
  <c r="H27" i="199"/>
  <c r="H27" i="201"/>
  <c r="H27" i="71"/>
  <c r="H27" i="53"/>
  <c r="H27" i="115"/>
  <c r="H27" i="73"/>
  <c r="H27" i="189"/>
  <c r="H32" i="49"/>
  <c r="H33" i="49" s="1"/>
  <c r="L32" i="49" s="1"/>
  <c r="H32" i="19"/>
  <c r="H33" i="19" s="1"/>
  <c r="L32" i="19" s="1"/>
  <c r="H32" i="21"/>
  <c r="H33" i="21" s="1"/>
  <c r="L32" i="21" s="1"/>
  <c r="N13" i="11"/>
  <c r="H40" i="35"/>
  <c r="I42" i="35" s="1"/>
  <c r="L42" i="35" s="1"/>
  <c r="L40" i="35" s="1"/>
  <c r="H58" i="107"/>
  <c r="I27" i="12"/>
  <c r="H59" i="163"/>
  <c r="H59" i="21"/>
  <c r="H37" i="45"/>
  <c r="H58" i="179"/>
  <c r="H40" i="163"/>
  <c r="I42" i="163" s="1"/>
  <c r="L42" i="163" s="1"/>
  <c r="L40" i="163" s="1"/>
  <c r="I25" i="12"/>
  <c r="H37" i="195"/>
  <c r="H59" i="17"/>
  <c r="I22" i="12"/>
  <c r="H37" i="111"/>
  <c r="H58" i="201"/>
  <c r="H58" i="87"/>
  <c r="H40" i="213"/>
  <c r="I42" i="213" s="1"/>
  <c r="L42" i="213" s="1"/>
  <c r="L40" i="213" s="1"/>
  <c r="I34" i="12"/>
  <c r="N48" i="11"/>
  <c r="H58" i="67"/>
  <c r="I17" i="12"/>
  <c r="H37" i="89"/>
  <c r="H40" i="15"/>
  <c r="I42" i="15" s="1"/>
  <c r="L42" i="15" s="1"/>
  <c r="L40" i="15" s="1"/>
  <c r="H40" i="23"/>
  <c r="I42" i="23" s="1"/>
  <c r="L42" i="23" s="1"/>
  <c r="L40" i="23" s="1"/>
  <c r="I14" i="12"/>
  <c r="I39" i="12"/>
  <c r="H58" i="147"/>
  <c r="H37" i="109"/>
  <c r="H40" i="159"/>
  <c r="I42" i="159" s="1"/>
  <c r="L42" i="159" s="1"/>
  <c r="L40" i="159" s="1"/>
  <c r="H58" i="199"/>
  <c r="H40" i="103"/>
  <c r="I42" i="103" s="1"/>
  <c r="L42" i="103" s="1"/>
  <c r="L40" i="103" s="1"/>
  <c r="H37" i="191"/>
  <c r="H40" i="65"/>
  <c r="I42" i="65" s="1"/>
  <c r="L42" i="65" s="1"/>
  <c r="L40" i="65" s="1"/>
  <c r="H40" i="207"/>
  <c r="I42" i="207" s="1"/>
  <c r="L42" i="207" s="1"/>
  <c r="L40" i="207" s="1"/>
  <c r="H40" i="49"/>
  <c r="I42" i="49" s="1"/>
  <c r="L42" i="49" s="1"/>
  <c r="L40" i="49" s="1"/>
  <c r="I33" i="12"/>
  <c r="H59" i="19"/>
  <c r="H37" i="189"/>
  <c r="I40" i="12"/>
  <c r="I37" i="12"/>
  <c r="H37" i="119"/>
  <c r="I24" i="12"/>
  <c r="I35" i="12"/>
  <c r="H58" i="43"/>
  <c r="H37" i="147"/>
  <c r="H59" i="23"/>
  <c r="H58" i="45"/>
  <c r="F5" i="14"/>
  <c r="H58" i="153"/>
  <c r="H58" i="111"/>
  <c r="H59" i="209"/>
  <c r="I42" i="12"/>
  <c r="H40" i="31"/>
  <c r="I42" i="31" s="1"/>
  <c r="L42" i="31" s="1"/>
  <c r="L40" i="31" s="1"/>
  <c r="H59" i="103"/>
  <c r="H37" i="115"/>
  <c r="I32" i="12"/>
  <c r="H37" i="201"/>
  <c r="H40" i="211"/>
  <c r="I42" i="211" s="1"/>
  <c r="L42" i="211" s="1"/>
  <c r="L40" i="211" s="1"/>
  <c r="H40" i="19"/>
  <c r="I42" i="19" s="1"/>
  <c r="L42" i="19" s="1"/>
  <c r="L40" i="19" s="1"/>
  <c r="H58" i="145"/>
  <c r="H37" i="149"/>
  <c r="I41" i="12"/>
  <c r="H58" i="71"/>
  <c r="H37" i="83"/>
  <c r="I38" i="12"/>
  <c r="J38" i="12" s="1"/>
  <c r="I21" i="12"/>
  <c r="H58" i="113"/>
  <c r="H59" i="213"/>
  <c r="H58" i="77"/>
  <c r="H58" i="109"/>
  <c r="H58" i="149"/>
  <c r="H58" i="181"/>
  <c r="H40" i="81"/>
  <c r="I42" i="81" s="1"/>
  <c r="L42" i="81" s="1"/>
  <c r="L40" i="81" s="1"/>
  <c r="H58" i="89"/>
  <c r="I16" i="12"/>
  <c r="J16" i="12" s="1"/>
  <c r="H37" i="73"/>
  <c r="H58" i="151"/>
  <c r="I29" i="12"/>
  <c r="I23" i="12"/>
  <c r="I36" i="12"/>
  <c r="H58" i="85"/>
  <c r="H40" i="215"/>
  <c r="I42" i="215" s="1"/>
  <c r="L42" i="215" s="1"/>
  <c r="L40" i="215" s="1"/>
  <c r="H37" i="193"/>
  <c r="H59" i="65"/>
  <c r="H58" i="193"/>
  <c r="H59" i="49"/>
  <c r="H59" i="56"/>
  <c r="I18" i="12"/>
  <c r="I31" i="12"/>
  <c r="J31" i="12" s="1"/>
  <c r="H40" i="58"/>
  <c r="I42" i="58" s="1"/>
  <c r="L42" i="58" s="1"/>
  <c r="L40" i="58" s="1"/>
  <c r="H58" i="157"/>
  <c r="I30" i="12"/>
  <c r="H58" i="117"/>
  <c r="H59" i="51"/>
  <c r="H61" i="51" s="1"/>
  <c r="H59" i="159"/>
  <c r="H58" i="47"/>
  <c r="H37" i="105"/>
  <c r="N57" i="11"/>
  <c r="I43" i="12"/>
  <c r="H40" i="17"/>
  <c r="I42" i="17" s="1"/>
  <c r="L42" i="17" s="1"/>
  <c r="L40" i="17" s="1"/>
  <c r="H37" i="113"/>
  <c r="H37" i="153"/>
  <c r="H58" i="73"/>
  <c r="H58" i="195"/>
  <c r="H59" i="35"/>
  <c r="H37" i="181"/>
  <c r="H37" i="117"/>
  <c r="I28" i="12"/>
  <c r="I19" i="12"/>
  <c r="H58" i="53"/>
  <c r="H59" i="25"/>
  <c r="H40" i="21"/>
  <c r="I42" i="21" s="1"/>
  <c r="L42" i="21" s="1"/>
  <c r="L40" i="21" s="1"/>
  <c r="H40" i="209"/>
  <c r="I42" i="209" s="1"/>
  <c r="L42" i="209" s="1"/>
  <c r="L40" i="209" s="1"/>
  <c r="Q6" i="12"/>
  <c r="H40" i="56"/>
  <c r="I42" i="56" s="1"/>
  <c r="L42" i="56" s="1"/>
  <c r="L40" i="56" s="1"/>
  <c r="H58" i="69"/>
  <c r="H59" i="91"/>
  <c r="H40" i="25"/>
  <c r="I42" i="25" s="1"/>
  <c r="L42" i="25" s="1"/>
  <c r="L40" i="25" s="1"/>
  <c r="H37" i="43"/>
  <c r="H40" i="51"/>
  <c r="I42" i="51" s="1"/>
  <c r="L42" i="51" s="1"/>
  <c r="L40" i="51" s="1"/>
  <c r="H58" i="119"/>
  <c r="H58" i="115"/>
  <c r="H37" i="47"/>
  <c r="H59" i="31"/>
  <c r="H37" i="157"/>
  <c r="I20" i="12"/>
  <c r="H58" i="187"/>
  <c r="H37" i="179"/>
  <c r="H58" i="83"/>
  <c r="H58" i="105"/>
  <c r="H37" i="197"/>
  <c r="H59" i="215"/>
  <c r="H37" i="53"/>
  <c r="H37" i="77"/>
  <c r="H59" i="211"/>
  <c r="H37" i="145"/>
  <c r="H37" i="85"/>
  <c r="H37" i="199"/>
  <c r="H40" i="91"/>
  <c r="I42" i="91" s="1"/>
  <c r="L42" i="91" s="1"/>
  <c r="L40" i="91" s="1"/>
  <c r="H37" i="67"/>
  <c r="H59" i="207"/>
  <c r="H59" i="81"/>
  <c r="H59" i="15"/>
  <c r="H37" i="187"/>
  <c r="H37" i="107"/>
  <c r="H58" i="197"/>
  <c r="H37" i="71"/>
  <c r="H59" i="58"/>
  <c r="H58" i="191"/>
  <c r="H37" i="151"/>
  <c r="H58" i="189"/>
  <c r="I15" i="12"/>
  <c r="H37" i="87"/>
  <c r="H37" i="69"/>
  <c r="I69" i="153"/>
  <c r="I69" i="191"/>
  <c r="I69" i="83"/>
  <c r="I69" i="195"/>
  <c r="I69" i="85"/>
  <c r="I69" i="45"/>
  <c r="I69" i="87"/>
  <c r="I69" i="189"/>
  <c r="I69" i="119"/>
  <c r="I69" i="147"/>
  <c r="I69" i="43"/>
  <c r="I69" i="71"/>
  <c r="I69" i="151"/>
  <c r="I69" i="199"/>
  <c r="I69" i="47"/>
  <c r="I69" i="67"/>
  <c r="I69" i="179"/>
  <c r="I69" i="115"/>
  <c r="I69" i="193"/>
  <c r="I69" i="53"/>
  <c r="I69" i="145"/>
  <c r="I69" i="187"/>
  <c r="I69" i="73"/>
  <c r="I69" i="109"/>
  <c r="L49" i="13"/>
  <c r="I69" i="107"/>
  <c r="I69" i="77"/>
  <c r="I69" i="111"/>
  <c r="I69" i="113"/>
  <c r="I69" i="149"/>
  <c r="I69" i="181"/>
  <c r="I69" i="201"/>
  <c r="I69" i="89"/>
  <c r="I69" i="157"/>
  <c r="I69" i="69"/>
  <c r="I69" i="117"/>
  <c r="I69" i="197"/>
  <c r="P39" i="214"/>
  <c r="AA8" i="203"/>
  <c r="P25" i="77" s="1"/>
  <c r="P24" i="77" s="1"/>
  <c r="O15" i="78" s="1"/>
  <c r="O17" i="78" s="1"/>
  <c r="N39" i="214"/>
  <c r="Q39" i="214"/>
  <c r="O39" i="214"/>
  <c r="M39" i="214"/>
  <c r="U32" i="4" s="1"/>
  <c r="O39" i="24"/>
  <c r="R39" i="24"/>
  <c r="M39" i="24"/>
  <c r="N39" i="24"/>
  <c r="Q39" i="24"/>
  <c r="P39" i="24"/>
  <c r="O39" i="92"/>
  <c r="R39" i="92"/>
  <c r="Q39" i="92"/>
  <c r="N39" i="92"/>
  <c r="M39" i="92"/>
  <c r="P39" i="92"/>
  <c r="Q39" i="210"/>
  <c r="R39" i="210"/>
  <c r="N39" i="210"/>
  <c r="O39" i="210"/>
  <c r="M39" i="210"/>
  <c r="P39" i="210"/>
  <c r="M37" i="48"/>
  <c r="N37" i="48"/>
  <c r="O37" i="48"/>
  <c r="O37" i="108"/>
  <c r="M37" i="108"/>
  <c r="N37" i="108"/>
  <c r="P39" i="66"/>
  <c r="M39" i="66"/>
  <c r="N39" i="66"/>
  <c r="R39" i="66"/>
  <c r="Q39" i="66"/>
  <c r="O39" i="66"/>
  <c r="O37" i="188"/>
  <c r="N37" i="188"/>
  <c r="M37" i="188"/>
  <c r="M39" i="52"/>
  <c r="Q39" i="52"/>
  <c r="N39" i="52"/>
  <c r="P39" i="52"/>
  <c r="R39" i="52"/>
  <c r="O39" i="52"/>
  <c r="F17" i="13"/>
  <c r="Z7" i="12"/>
  <c r="J50" i="12" s="1"/>
  <c r="F28" i="13"/>
  <c r="M39" i="212"/>
  <c r="O39" i="212"/>
  <c r="Q39" i="212"/>
  <c r="N39" i="212"/>
  <c r="P39" i="212"/>
  <c r="R39" i="212"/>
  <c r="N37" i="112"/>
  <c r="M37" i="112"/>
  <c r="O37" i="112"/>
  <c r="N37" i="114"/>
  <c r="M37" i="114"/>
  <c r="O37" i="114"/>
  <c r="P39" i="20"/>
  <c r="M39" i="20"/>
  <c r="O39" i="20"/>
  <c r="Q39" i="20"/>
  <c r="R39" i="20"/>
  <c r="N39" i="20"/>
  <c r="N37" i="116"/>
  <c r="O37" i="116"/>
  <c r="M37" i="116"/>
  <c r="N39" i="32"/>
  <c r="M39" i="32"/>
  <c r="P39" i="32"/>
  <c r="Q39" i="32"/>
  <c r="O39" i="32"/>
  <c r="R39" i="32"/>
  <c r="M37" i="202"/>
  <c r="O37" i="202"/>
  <c r="N37" i="202"/>
  <c r="O37" i="150"/>
  <c r="N37" i="150"/>
  <c r="M37" i="150"/>
  <c r="O37" i="194"/>
  <c r="M37" i="194"/>
  <c r="N37" i="194"/>
  <c r="N37" i="154"/>
  <c r="O37" i="154"/>
  <c r="M37" i="154"/>
  <c r="M39" i="36"/>
  <c r="R39" i="36"/>
  <c r="P39" i="36"/>
  <c r="N39" i="36"/>
  <c r="Q39" i="36"/>
  <c r="O39" i="36"/>
  <c r="N37" i="146"/>
  <c r="M37" i="146"/>
  <c r="O37" i="146"/>
  <c r="N37" i="180"/>
  <c r="M37" i="180"/>
  <c r="O37" i="180"/>
  <c r="O37" i="46"/>
  <c r="M37" i="46"/>
  <c r="N37" i="46"/>
  <c r="O37" i="198"/>
  <c r="M37" i="198"/>
  <c r="N37" i="198"/>
  <c r="N37" i="118"/>
  <c r="M37" i="118"/>
  <c r="O37" i="118"/>
  <c r="M39" i="104"/>
  <c r="O39" i="104"/>
  <c r="Q39" i="104"/>
  <c r="R39" i="104"/>
  <c r="N39" i="104"/>
  <c r="P39" i="104"/>
  <c r="Q39" i="208"/>
  <c r="N39" i="208"/>
  <c r="M39" i="208"/>
  <c r="O39" i="208"/>
  <c r="R39" i="208"/>
  <c r="P39" i="208"/>
  <c r="O37" i="70"/>
  <c r="M37" i="70"/>
  <c r="N37" i="70"/>
  <c r="I50" i="31"/>
  <c r="I56" i="35"/>
  <c r="I50" i="58"/>
  <c r="N37" i="88"/>
  <c r="M37" i="88"/>
  <c r="O37" i="88"/>
  <c r="M39" i="216"/>
  <c r="N39" i="216"/>
  <c r="P39" i="216"/>
  <c r="O39" i="216"/>
  <c r="Q39" i="216"/>
  <c r="R39" i="216"/>
  <c r="L31" i="51"/>
  <c r="L30" i="51" s="1"/>
  <c r="N25" i="111"/>
  <c r="N24" i="111" s="1"/>
  <c r="N15" i="112" s="1"/>
  <c r="N17" i="112" s="1"/>
  <c r="N25" i="119"/>
  <c r="N24" i="119" s="1"/>
  <c r="N15" i="120" s="1"/>
  <c r="N17" i="120" s="1"/>
  <c r="L25" i="157"/>
  <c r="L24" i="157" s="1"/>
  <c r="M15" i="158" s="1"/>
  <c r="M17" i="158" s="1"/>
  <c r="N25" i="197"/>
  <c r="N24" i="197" s="1"/>
  <c r="N15" i="198" s="1"/>
  <c r="N17" i="198" s="1"/>
  <c r="L31" i="21"/>
  <c r="L30" i="21" s="1"/>
  <c r="L31" i="65"/>
  <c r="L30" i="65" s="1"/>
  <c r="L25" i="89"/>
  <c r="L24" i="89" s="1"/>
  <c r="M15" i="90" s="1"/>
  <c r="M17" i="90" s="1"/>
  <c r="P25" i="111"/>
  <c r="P24" i="111" s="1"/>
  <c r="O15" i="112" s="1"/>
  <c r="O17" i="112" s="1"/>
  <c r="P25" i="181"/>
  <c r="P24" i="181" s="1"/>
  <c r="O15" i="182" s="1"/>
  <c r="O17" i="182" s="1"/>
  <c r="P25" i="201"/>
  <c r="P24" i="201" s="1"/>
  <c r="O15" i="202" s="1"/>
  <c r="O17" i="202" s="1"/>
  <c r="P25" i="73"/>
  <c r="P24" i="73" s="1"/>
  <c r="O15" i="74" s="1"/>
  <c r="O17" i="74" s="1"/>
  <c r="L25" i="199"/>
  <c r="L24" i="199" s="1"/>
  <c r="M15" i="200" s="1"/>
  <c r="M17" i="200" s="1"/>
  <c r="N25" i="191"/>
  <c r="N24" i="191" s="1"/>
  <c r="N15" i="192" s="1"/>
  <c r="N17" i="192" s="1"/>
  <c r="L25" i="69"/>
  <c r="L24" i="69" s="1"/>
  <c r="M15" i="70" s="1"/>
  <c r="M17" i="70" s="1"/>
  <c r="N25" i="187"/>
  <c r="N24" i="187" s="1"/>
  <c r="N15" i="188" s="1"/>
  <c r="N17" i="188" s="1"/>
  <c r="P25" i="87"/>
  <c r="P24" i="87" s="1"/>
  <c r="O15" i="88" s="1"/>
  <c r="O17" i="88" s="1"/>
  <c r="L31" i="35"/>
  <c r="L30" i="35" s="1"/>
  <c r="L25" i="113"/>
  <c r="L24" i="113" s="1"/>
  <c r="M15" i="114" s="1"/>
  <c r="M17" i="114" s="1"/>
  <c r="N25" i="45"/>
  <c r="N24" i="45" s="1"/>
  <c r="N15" i="46" s="1"/>
  <c r="N17" i="46" s="1"/>
  <c r="N25" i="189"/>
  <c r="N24" i="189" s="1"/>
  <c r="N15" i="190" s="1"/>
  <c r="N17" i="190" s="1"/>
  <c r="N39" i="22"/>
  <c r="M39" i="22"/>
  <c r="P39" i="22"/>
  <c r="Q39" i="22"/>
  <c r="R39" i="22"/>
  <c r="O39" i="22"/>
  <c r="O37" i="152"/>
  <c r="M37" i="152"/>
  <c r="N37" i="152"/>
  <c r="O37" i="196"/>
  <c r="M37" i="196"/>
  <c r="N37" i="196"/>
  <c r="N39" i="57"/>
  <c r="P39" i="57"/>
  <c r="M39" i="57"/>
  <c r="R39" i="57"/>
  <c r="O39" i="57"/>
  <c r="Q39" i="57"/>
  <c r="N37" i="158"/>
  <c r="O37" i="158"/>
  <c r="M37" i="158"/>
  <c r="M37" i="54"/>
  <c r="N37" i="54"/>
  <c r="O37" i="54"/>
  <c r="L70" i="197"/>
  <c r="L72" i="56"/>
  <c r="L72" i="103"/>
  <c r="L72" i="58"/>
  <c r="L72" i="213"/>
  <c r="L70" i="105"/>
  <c r="L70" i="193"/>
  <c r="L72" i="21"/>
  <c r="L70" i="107"/>
  <c r="L70" i="87"/>
  <c r="L72" i="215"/>
  <c r="L70" i="113"/>
  <c r="L70" i="191"/>
  <c r="L72" i="207"/>
  <c r="L70" i="73"/>
  <c r="L72" i="51"/>
  <c r="L70" i="45"/>
  <c r="L70" i="89"/>
  <c r="L70" i="53"/>
  <c r="L70" i="157"/>
  <c r="L70" i="181"/>
  <c r="L72" i="23"/>
  <c r="L70" i="187"/>
  <c r="L70" i="43"/>
  <c r="L72" i="209"/>
  <c r="L70" i="115"/>
  <c r="L70" i="47"/>
  <c r="L70" i="117"/>
  <c r="L70" i="111"/>
  <c r="L70" i="179"/>
  <c r="L70" i="71"/>
  <c r="L72" i="31"/>
  <c r="L70" i="119"/>
  <c r="L70" i="85"/>
  <c r="L70" i="83"/>
  <c r="L70" i="201"/>
  <c r="L72" i="35"/>
  <c r="L70" i="195"/>
  <c r="L70" i="77"/>
  <c r="L70" i="109"/>
  <c r="L72" i="15"/>
  <c r="L70" i="149"/>
  <c r="L70" i="151"/>
  <c r="L72" i="91"/>
  <c r="L70" i="67"/>
  <c r="L72" i="159"/>
  <c r="L70" i="189"/>
  <c r="L70" i="147"/>
  <c r="L70" i="199"/>
  <c r="L72" i="81"/>
  <c r="L72" i="19"/>
  <c r="L70" i="145"/>
  <c r="L72" i="49"/>
  <c r="L72" i="65"/>
  <c r="L72" i="211"/>
  <c r="L72" i="25"/>
  <c r="L70" i="153"/>
  <c r="L70" i="69"/>
  <c r="L72" i="163"/>
  <c r="L72" i="17"/>
  <c r="Q39" i="164"/>
  <c r="P39" i="164"/>
  <c r="O39" i="164"/>
  <c r="R39" i="164"/>
  <c r="N39" i="164"/>
  <c r="M39" i="164"/>
  <c r="M39" i="82"/>
  <c r="N39" i="82"/>
  <c r="O39" i="82"/>
  <c r="Q39" i="82"/>
  <c r="P39" i="82"/>
  <c r="R39" i="82"/>
  <c r="Q39" i="160"/>
  <c r="M39" i="160"/>
  <c r="O39" i="160"/>
  <c r="R39" i="160"/>
  <c r="N39" i="160"/>
  <c r="P39" i="160"/>
  <c r="O37" i="110"/>
  <c r="M37" i="110"/>
  <c r="N37" i="110"/>
  <c r="N37" i="90"/>
  <c r="M37" i="90"/>
  <c r="O37" i="90"/>
  <c r="M37" i="106"/>
  <c r="N37" i="106"/>
  <c r="O37" i="106"/>
  <c r="N37" i="44"/>
  <c r="M37" i="44"/>
  <c r="O37" i="44"/>
  <c r="J25" i="12"/>
  <c r="J22" i="12"/>
  <c r="J36" i="12"/>
  <c r="J18" i="12"/>
  <c r="J15" i="12"/>
  <c r="J24" i="12"/>
  <c r="J29" i="12"/>
  <c r="J34" i="12"/>
  <c r="U34" i="12" s="1"/>
  <c r="J37" i="12"/>
  <c r="J20" i="12"/>
  <c r="J33" i="12"/>
  <c r="J32" i="12"/>
  <c r="J14" i="12"/>
  <c r="J23" i="12"/>
  <c r="J30" i="12"/>
  <c r="J19" i="12"/>
  <c r="J42" i="12"/>
  <c r="J28" i="12"/>
  <c r="U28" i="12" s="1"/>
  <c r="K17" i="102"/>
  <c r="M13" i="102"/>
  <c r="O17" i="102"/>
  <c r="K15" i="102"/>
  <c r="O19" i="102"/>
  <c r="M15" i="102"/>
  <c r="K13" i="102"/>
  <c r="M19" i="102"/>
  <c r="K19" i="102"/>
  <c r="O13" i="102"/>
  <c r="M17" i="102"/>
  <c r="O15" i="102"/>
  <c r="O21" i="102"/>
  <c r="O23" i="102" s="1"/>
  <c r="K21" i="102"/>
  <c r="K23" i="102" s="1"/>
  <c r="M21" i="102"/>
  <c r="M23" i="102" s="1"/>
  <c r="M39" i="18"/>
  <c r="P39" i="18"/>
  <c r="O39" i="18"/>
  <c r="R39" i="18"/>
  <c r="Q39" i="18"/>
  <c r="N39" i="18"/>
  <c r="O37" i="190"/>
  <c r="N37" i="190"/>
  <c r="M37" i="190"/>
  <c r="M37" i="68"/>
  <c r="N37" i="68"/>
  <c r="O37" i="68"/>
  <c r="N39" i="59"/>
  <c r="M39" i="59"/>
  <c r="O39" i="59"/>
  <c r="P39" i="59"/>
  <c r="Q39" i="59"/>
  <c r="R39" i="59"/>
  <c r="N37" i="86"/>
  <c r="M37" i="86"/>
  <c r="O37" i="86"/>
  <c r="M37" i="182"/>
  <c r="N37" i="182"/>
  <c r="O37" i="182"/>
  <c r="O37" i="192"/>
  <c r="M37" i="192"/>
  <c r="N37" i="192"/>
  <c r="O37" i="72"/>
  <c r="N37" i="72"/>
  <c r="M37" i="72"/>
  <c r="M39" i="16"/>
  <c r="N39" i="16"/>
  <c r="R39" i="16"/>
  <c r="Q39" i="16"/>
  <c r="P39" i="16"/>
  <c r="O39" i="16"/>
  <c r="O37" i="200"/>
  <c r="M37" i="200"/>
  <c r="N37" i="200"/>
  <c r="N37" i="78"/>
  <c r="M37" i="78"/>
  <c r="O37" i="78"/>
  <c r="M37" i="120"/>
  <c r="N37" i="120"/>
  <c r="O37" i="120"/>
  <c r="M37" i="148"/>
  <c r="N37" i="148"/>
  <c r="O37" i="148"/>
  <c r="P39" i="50"/>
  <c r="Q39" i="50"/>
  <c r="M39" i="50"/>
  <c r="O39" i="50"/>
  <c r="N39" i="50"/>
  <c r="R39" i="50"/>
  <c r="N37" i="84"/>
  <c r="O37" i="84"/>
  <c r="M37" i="84"/>
  <c r="N37" i="74"/>
  <c r="O37" i="74"/>
  <c r="M37" i="74"/>
  <c r="P32" i="4"/>
  <c r="N40" i="91" l="1"/>
  <c r="O21" i="92" s="1"/>
  <c r="M21" i="92"/>
  <c r="O40" i="91"/>
  <c r="P21" i="92" s="1"/>
  <c r="M40" i="91"/>
  <c r="N21" i="92" s="1"/>
  <c r="P40" i="91"/>
  <c r="Q21" i="92" s="1"/>
  <c r="Q40" i="91"/>
  <c r="R21" i="92" s="1"/>
  <c r="I40" i="193"/>
  <c r="I39" i="193"/>
  <c r="I41" i="193"/>
  <c r="I62" i="113"/>
  <c r="J60" i="113"/>
  <c r="I61" i="147"/>
  <c r="I60" i="147"/>
  <c r="I62" i="147"/>
  <c r="I41" i="195"/>
  <c r="I39" i="195"/>
  <c r="I40" i="195"/>
  <c r="I30" i="115"/>
  <c r="I29" i="115"/>
  <c r="I30" i="145"/>
  <c r="I29" i="145"/>
  <c r="L25" i="45"/>
  <c r="L24" i="45" s="1"/>
  <c r="M15" i="46" s="1"/>
  <c r="M17" i="46" s="1"/>
  <c r="P25" i="89"/>
  <c r="P24" i="89" s="1"/>
  <c r="O15" i="90" s="1"/>
  <c r="O17" i="90" s="1"/>
  <c r="N25" i="199"/>
  <c r="N24" i="199" s="1"/>
  <c r="N15" i="200" s="1"/>
  <c r="N17" i="200" s="1"/>
  <c r="N48" i="200" s="1"/>
  <c r="N25" i="85"/>
  <c r="N24" i="85" s="1"/>
  <c r="N15" i="86" s="1"/>
  <c r="N17" i="86" s="1"/>
  <c r="P25" i="195"/>
  <c r="P24" i="195" s="1"/>
  <c r="O15" i="196" s="1"/>
  <c r="O17" i="196" s="1"/>
  <c r="N25" i="181"/>
  <c r="N24" i="181" s="1"/>
  <c r="N15" i="182" s="1"/>
  <c r="N17" i="182" s="1"/>
  <c r="L31" i="103"/>
  <c r="L30" i="103" s="1"/>
  <c r="N25" i="179"/>
  <c r="N24" i="179" s="1"/>
  <c r="N15" i="180" s="1"/>
  <c r="N17" i="180" s="1"/>
  <c r="P25" i="193"/>
  <c r="P24" i="193" s="1"/>
  <c r="O15" i="194" s="1"/>
  <c r="O17" i="194" s="1"/>
  <c r="I40" i="69"/>
  <c r="I41" i="69"/>
  <c r="I39" i="69"/>
  <c r="J61" i="197"/>
  <c r="J60" i="197"/>
  <c r="I62" i="197"/>
  <c r="I39" i="199"/>
  <c r="I41" i="199"/>
  <c r="I40" i="199"/>
  <c r="I60" i="105"/>
  <c r="I61" i="105"/>
  <c r="I62" i="105"/>
  <c r="I60" i="115"/>
  <c r="I61" i="115"/>
  <c r="I62" i="115"/>
  <c r="I39" i="181"/>
  <c r="I41" i="181"/>
  <c r="I40" i="181"/>
  <c r="N65" i="11"/>
  <c r="N64" i="11"/>
  <c r="N62" i="11"/>
  <c r="N66" i="11"/>
  <c r="N61" i="11"/>
  <c r="N63" i="11"/>
  <c r="P40" i="58"/>
  <c r="Q21" i="59" s="1"/>
  <c r="N40" i="58"/>
  <c r="O21" i="59" s="1"/>
  <c r="M21" i="59"/>
  <c r="R17" i="4" s="1"/>
  <c r="O40" i="58"/>
  <c r="P21" i="59" s="1"/>
  <c r="Q40" i="58"/>
  <c r="R21" i="59" s="1"/>
  <c r="M40" i="58"/>
  <c r="N21" i="59" s="1"/>
  <c r="N40" i="215"/>
  <c r="O21" i="216" s="1"/>
  <c r="P40" i="215"/>
  <c r="Q21" i="216" s="1"/>
  <c r="O40" i="215"/>
  <c r="P21" i="216" s="1"/>
  <c r="Q40" i="215"/>
  <c r="R21" i="216" s="1"/>
  <c r="M21" i="216"/>
  <c r="V17" i="4" s="1"/>
  <c r="M40" i="215"/>
  <c r="N21" i="216" s="1"/>
  <c r="I61" i="89"/>
  <c r="I60" i="89"/>
  <c r="I62" i="89"/>
  <c r="M21" i="212"/>
  <c r="T17" i="4" s="1"/>
  <c r="O40" i="211"/>
  <c r="P21" i="212" s="1"/>
  <c r="N40" i="211"/>
  <c r="O21" i="212" s="1"/>
  <c r="P40" i="211"/>
  <c r="Q21" i="212" s="1"/>
  <c r="Q40" i="211"/>
  <c r="R21" i="212" s="1"/>
  <c r="M40" i="211"/>
  <c r="N21" i="212" s="1"/>
  <c r="I62" i="111"/>
  <c r="I60" i="111"/>
  <c r="I61" i="111"/>
  <c r="M21" i="208"/>
  <c r="L17" i="4" s="1"/>
  <c r="N40" i="207"/>
  <c r="O21" i="208" s="1"/>
  <c r="P40" i="207"/>
  <c r="Q21" i="208" s="1"/>
  <c r="M40" i="207"/>
  <c r="N21" i="208" s="1"/>
  <c r="O40" i="207"/>
  <c r="P21" i="208" s="1"/>
  <c r="Q40" i="207"/>
  <c r="R21" i="208" s="1"/>
  <c r="N40" i="35"/>
  <c r="O21" i="36" s="1"/>
  <c r="M40" i="35"/>
  <c r="N21" i="36" s="1"/>
  <c r="P40" i="35"/>
  <c r="Q21" i="36" s="1"/>
  <c r="M21" i="36"/>
  <c r="O40" i="35"/>
  <c r="P21" i="36" s="1"/>
  <c r="Q40" i="35"/>
  <c r="R21" i="36" s="1"/>
  <c r="I29" i="53"/>
  <c r="I30" i="53"/>
  <c r="I30" i="187"/>
  <c r="I29" i="187"/>
  <c r="M19" i="57"/>
  <c r="H15" i="4" s="1"/>
  <c r="Q32" i="56"/>
  <c r="R19" i="57" s="1"/>
  <c r="M32" i="56"/>
  <c r="N19" i="57" s="1"/>
  <c r="O32" i="56"/>
  <c r="P19" i="57" s="1"/>
  <c r="N32" i="56"/>
  <c r="O19" i="57" s="1"/>
  <c r="P32" i="56"/>
  <c r="Q19" i="57" s="1"/>
  <c r="P32" i="65"/>
  <c r="Q19" i="66" s="1"/>
  <c r="M19" i="66"/>
  <c r="N32" i="65"/>
  <c r="O19" i="66" s="1"/>
  <c r="O32" i="65"/>
  <c r="P19" i="66" s="1"/>
  <c r="M32" i="65"/>
  <c r="N19" i="66" s="1"/>
  <c r="Q32" i="65"/>
  <c r="R19" i="66" s="1"/>
  <c r="I30" i="193"/>
  <c r="I29" i="193"/>
  <c r="I29" i="77"/>
  <c r="I30" i="77"/>
  <c r="N32" i="15"/>
  <c r="O19" i="16" s="1"/>
  <c r="P32" i="15"/>
  <c r="Q19" i="16" s="1"/>
  <c r="M32" i="15"/>
  <c r="N19" i="16" s="1"/>
  <c r="O32" i="15"/>
  <c r="P19" i="16" s="1"/>
  <c r="Q32" i="15"/>
  <c r="R19" i="16" s="1"/>
  <c r="M19" i="16"/>
  <c r="M40" i="56"/>
  <c r="N21" i="57" s="1"/>
  <c r="O40" i="56"/>
  <c r="P21" i="57" s="1"/>
  <c r="P40" i="56"/>
  <c r="Q21" i="57" s="1"/>
  <c r="N40" i="56"/>
  <c r="O21" i="57" s="1"/>
  <c r="Q40" i="56"/>
  <c r="R21" i="57" s="1"/>
  <c r="M21" i="57"/>
  <c r="H17" i="4" s="1"/>
  <c r="N54" i="11"/>
  <c r="N53" i="11"/>
  <c r="N52" i="11"/>
  <c r="N32" i="31"/>
  <c r="O19" i="32" s="1"/>
  <c r="Q32" i="31"/>
  <c r="R19" i="32" s="1"/>
  <c r="M19" i="32"/>
  <c r="S15" i="4" s="1"/>
  <c r="O32" i="31"/>
  <c r="P19" i="32" s="1"/>
  <c r="P32" i="31"/>
  <c r="Q19" i="32" s="1"/>
  <c r="M32" i="31"/>
  <c r="N19" i="32" s="1"/>
  <c r="I60" i="83"/>
  <c r="I61" i="83"/>
  <c r="I62" i="83"/>
  <c r="H63" i="35"/>
  <c r="L63" i="35" s="1"/>
  <c r="H61" i="35"/>
  <c r="J60" i="85"/>
  <c r="I62" i="85"/>
  <c r="I44" i="12"/>
  <c r="Q32" i="211"/>
  <c r="R19" i="212" s="1"/>
  <c r="P32" i="211"/>
  <c r="Q19" i="212" s="1"/>
  <c r="N32" i="211"/>
  <c r="O19" i="212" s="1"/>
  <c r="M19" i="212"/>
  <c r="T15" i="4" s="1"/>
  <c r="O32" i="211"/>
  <c r="P19" i="212" s="1"/>
  <c r="M32" i="211"/>
  <c r="N19" i="212" s="1"/>
  <c r="N25" i="77"/>
  <c r="N24" i="77" s="1"/>
  <c r="N15" i="78" s="1"/>
  <c r="N17" i="78" s="1"/>
  <c r="P25" i="71"/>
  <c r="P24" i="71" s="1"/>
  <c r="O15" i="72" s="1"/>
  <c r="O17" i="72" s="1"/>
  <c r="L25" i="187"/>
  <c r="L24" i="187" s="1"/>
  <c r="M15" i="188" s="1"/>
  <c r="M17" i="188" s="1"/>
  <c r="N25" i="113"/>
  <c r="N24" i="113" s="1"/>
  <c r="N15" i="114" s="1"/>
  <c r="N17" i="114" s="1"/>
  <c r="N25" i="153"/>
  <c r="N24" i="153" s="1"/>
  <c r="N15" i="154" s="1"/>
  <c r="N17" i="154" s="1"/>
  <c r="N29" i="154" s="1"/>
  <c r="P25" i="151"/>
  <c r="P24" i="151" s="1"/>
  <c r="O15" i="152" s="1"/>
  <c r="O17" i="152" s="1"/>
  <c r="P25" i="109"/>
  <c r="P24" i="109" s="1"/>
  <c r="O15" i="110" s="1"/>
  <c r="O17" i="110" s="1"/>
  <c r="O48" i="110" s="1"/>
  <c r="BX43" i="4" s="1"/>
  <c r="L25" i="87"/>
  <c r="L24" i="87" s="1"/>
  <c r="M15" i="88" s="1"/>
  <c r="M17" i="88" s="1"/>
  <c r="L31" i="17"/>
  <c r="L30" i="17" s="1"/>
  <c r="L31" i="215"/>
  <c r="L30" i="215" s="1"/>
  <c r="I40" i="187"/>
  <c r="I41" i="187"/>
  <c r="I39" i="187"/>
  <c r="I40" i="145"/>
  <c r="I41" i="145"/>
  <c r="I39" i="145"/>
  <c r="I41" i="179"/>
  <c r="I40" i="179"/>
  <c r="I39" i="179"/>
  <c r="N40" i="51"/>
  <c r="O21" i="52" s="1"/>
  <c r="M21" i="52"/>
  <c r="Q17" i="4" s="1"/>
  <c r="P40" i="51"/>
  <c r="Q21" i="52" s="1"/>
  <c r="M40" i="51"/>
  <c r="N21" i="52" s="1"/>
  <c r="Q40" i="51"/>
  <c r="R21" i="52" s="1"/>
  <c r="O40" i="51"/>
  <c r="P21" i="52" s="1"/>
  <c r="M21" i="22"/>
  <c r="K17" i="4" s="1"/>
  <c r="M40" i="21"/>
  <c r="N21" i="22" s="1"/>
  <c r="O40" i="21"/>
  <c r="P21" i="22" s="1"/>
  <c r="N40" i="21"/>
  <c r="O21" i="22" s="1"/>
  <c r="P40" i="21"/>
  <c r="Q21" i="22" s="1"/>
  <c r="Q40" i="21"/>
  <c r="R21" i="22" s="1"/>
  <c r="J61" i="195"/>
  <c r="J60" i="195"/>
  <c r="I62" i="195"/>
  <c r="I62" i="47"/>
  <c r="I61" i="47"/>
  <c r="I60" i="47"/>
  <c r="I60" i="181"/>
  <c r="I61" i="181"/>
  <c r="I62" i="181"/>
  <c r="I41" i="83"/>
  <c r="I39" i="83"/>
  <c r="I40" i="83"/>
  <c r="O79" i="14"/>
  <c r="I53" i="19" s="1"/>
  <c r="L53" i="19" s="1"/>
  <c r="O68" i="14"/>
  <c r="O61" i="14"/>
  <c r="I52" i="35" s="1"/>
  <c r="O34" i="14"/>
  <c r="J50" i="199" s="1"/>
  <c r="O67" i="14"/>
  <c r="O59" i="14"/>
  <c r="O40" i="14"/>
  <c r="O27" i="14"/>
  <c r="O54" i="14"/>
  <c r="O58" i="14"/>
  <c r="O32" i="14"/>
  <c r="O46" i="14"/>
  <c r="O31" i="14"/>
  <c r="O44" i="14"/>
  <c r="O62" i="14"/>
  <c r="O63" i="14"/>
  <c r="O73" i="14"/>
  <c r="O30" i="14"/>
  <c r="O78" i="14"/>
  <c r="O71" i="14"/>
  <c r="O39" i="14"/>
  <c r="O70" i="14"/>
  <c r="J53" i="179" s="1"/>
  <c r="O41" i="14"/>
  <c r="O50" i="14"/>
  <c r="O57" i="14"/>
  <c r="O76" i="14"/>
  <c r="O43" i="14"/>
  <c r="O36" i="14"/>
  <c r="O48" i="14"/>
  <c r="O45" i="14"/>
  <c r="O52" i="14"/>
  <c r="O77" i="14"/>
  <c r="O60" i="14"/>
  <c r="O47" i="14"/>
  <c r="O55" i="14"/>
  <c r="O72" i="14"/>
  <c r="O69" i="14"/>
  <c r="O51" i="14"/>
  <c r="O38" i="14"/>
  <c r="J48" i="109" s="1"/>
  <c r="O29" i="14"/>
  <c r="O66" i="14"/>
  <c r="O49" i="14"/>
  <c r="O56" i="14"/>
  <c r="O53" i="14"/>
  <c r="O33" i="14"/>
  <c r="O42" i="14"/>
  <c r="O37" i="14"/>
  <c r="O65" i="14"/>
  <c r="O64" i="14"/>
  <c r="I55" i="35" s="1"/>
  <c r="O28" i="14"/>
  <c r="O35" i="14"/>
  <c r="I41" i="191"/>
  <c r="I40" i="191"/>
  <c r="I39" i="191"/>
  <c r="O40" i="23"/>
  <c r="P21" i="24" s="1"/>
  <c r="P40" i="23"/>
  <c r="Q21" i="24" s="1"/>
  <c r="Q40" i="23"/>
  <c r="R21" i="24" s="1"/>
  <c r="M21" i="24"/>
  <c r="J17" i="4" s="1"/>
  <c r="M40" i="23"/>
  <c r="N21" i="24" s="1"/>
  <c r="N40" i="23"/>
  <c r="O21" i="24" s="1"/>
  <c r="I62" i="87"/>
  <c r="I61" i="87"/>
  <c r="I60" i="87"/>
  <c r="J61" i="179"/>
  <c r="J60" i="179"/>
  <c r="I62" i="179"/>
  <c r="M32" i="21"/>
  <c r="N19" i="22" s="1"/>
  <c r="M19" i="22"/>
  <c r="K15" i="4" s="1"/>
  <c r="O32" i="21"/>
  <c r="P19" i="22" s="1"/>
  <c r="N32" i="21"/>
  <c r="O19" i="22" s="1"/>
  <c r="P32" i="21"/>
  <c r="Q19" i="22" s="1"/>
  <c r="Q32" i="21"/>
  <c r="R19" i="22" s="1"/>
  <c r="I29" i="201"/>
  <c r="I30" i="201"/>
  <c r="I30" i="157"/>
  <c r="I29" i="157"/>
  <c r="I29" i="89"/>
  <c r="I30" i="89"/>
  <c r="I29" i="119"/>
  <c r="I30" i="119"/>
  <c r="I29" i="147"/>
  <c r="I30" i="147"/>
  <c r="I30" i="181"/>
  <c r="I29" i="181"/>
  <c r="M19" i="104"/>
  <c r="I15" i="4" s="1"/>
  <c r="Q32" i="103"/>
  <c r="R19" i="104" s="1"/>
  <c r="P32" i="103"/>
  <c r="Q19" i="104" s="1"/>
  <c r="O32" i="103"/>
  <c r="P19" i="104" s="1"/>
  <c r="N32" i="103"/>
  <c r="O19" i="104" s="1"/>
  <c r="M32" i="103"/>
  <c r="N19" i="104" s="1"/>
  <c r="I39" i="47"/>
  <c r="I40" i="47"/>
  <c r="I41" i="47"/>
  <c r="I61" i="157"/>
  <c r="I60" i="157"/>
  <c r="I62" i="157"/>
  <c r="I60" i="107"/>
  <c r="I62" i="107"/>
  <c r="I61" i="107"/>
  <c r="I30" i="67"/>
  <c r="I29" i="67"/>
  <c r="I41" i="87"/>
  <c r="I39" i="87"/>
  <c r="I40" i="87"/>
  <c r="I60" i="119"/>
  <c r="I61" i="119"/>
  <c r="I62" i="119"/>
  <c r="I62" i="153"/>
  <c r="I61" i="153"/>
  <c r="I60" i="153"/>
  <c r="Q40" i="213"/>
  <c r="R21" i="214" s="1"/>
  <c r="M40" i="213"/>
  <c r="N21" i="214" s="1"/>
  <c r="P40" i="213"/>
  <c r="Q21" i="214" s="1"/>
  <c r="N40" i="213"/>
  <c r="O21" i="214" s="1"/>
  <c r="M21" i="214"/>
  <c r="U17" i="4" s="1"/>
  <c r="O40" i="213"/>
  <c r="P21" i="214" s="1"/>
  <c r="N17" i="11"/>
  <c r="N19" i="11"/>
  <c r="N20" i="11"/>
  <c r="N18" i="11"/>
  <c r="H63" i="51"/>
  <c r="L63" i="51" s="1"/>
  <c r="N44" i="11"/>
  <c r="I30" i="153"/>
  <c r="I29" i="153"/>
  <c r="N25" i="67"/>
  <c r="N24" i="67" s="1"/>
  <c r="N15" i="68" s="1"/>
  <c r="N17" i="68" s="1"/>
  <c r="L25" i="77"/>
  <c r="L24" i="77" s="1"/>
  <c r="M15" i="78" s="1"/>
  <c r="M17" i="78" s="1"/>
  <c r="L25" i="43"/>
  <c r="L24" i="43" s="1"/>
  <c r="M15" i="44" s="1"/>
  <c r="M17" i="44" s="1"/>
  <c r="P25" i="199"/>
  <c r="P24" i="199" s="1"/>
  <c r="O15" i="200" s="1"/>
  <c r="O17" i="200" s="1"/>
  <c r="O48" i="200" s="1"/>
  <c r="L25" i="195"/>
  <c r="L24" i="195" s="1"/>
  <c r="M15" i="196" s="1"/>
  <c r="M17" i="196" s="1"/>
  <c r="N25" i="105"/>
  <c r="N24" i="105" s="1"/>
  <c r="N15" i="106" s="1"/>
  <c r="N17" i="106" s="1"/>
  <c r="L31" i="81"/>
  <c r="L30" i="81" s="1"/>
  <c r="L25" i="153"/>
  <c r="L24" i="153" s="1"/>
  <c r="M15" i="154" s="1"/>
  <c r="M17" i="154" s="1"/>
  <c r="M48" i="154" s="1"/>
  <c r="L25" i="201"/>
  <c r="L24" i="201" s="1"/>
  <c r="M15" i="202" s="1"/>
  <c r="M17" i="202" s="1"/>
  <c r="L31" i="25"/>
  <c r="L30" i="25" s="1"/>
  <c r="I62" i="189"/>
  <c r="I60" i="189"/>
  <c r="I61" i="189"/>
  <c r="H63" i="15"/>
  <c r="L63" i="15" s="1"/>
  <c r="H61" i="15"/>
  <c r="H62" i="211"/>
  <c r="L62" i="211" s="1"/>
  <c r="H63" i="211"/>
  <c r="L63" i="211" s="1"/>
  <c r="H61" i="211"/>
  <c r="L61" i="211" s="1"/>
  <c r="L59" i="211" s="1"/>
  <c r="M25" i="212" s="1"/>
  <c r="T19" i="4" s="1"/>
  <c r="I60" i="187"/>
  <c r="I62" i="187"/>
  <c r="I61" i="187"/>
  <c r="I40" i="43"/>
  <c r="I41" i="43"/>
  <c r="I39" i="43"/>
  <c r="H63" i="25"/>
  <c r="L63" i="25" s="1"/>
  <c r="H61" i="25"/>
  <c r="I61" i="73"/>
  <c r="I60" i="73"/>
  <c r="I62" i="73"/>
  <c r="H61" i="159"/>
  <c r="H63" i="159"/>
  <c r="H61" i="56"/>
  <c r="H63" i="56"/>
  <c r="L63" i="56" s="1"/>
  <c r="H62" i="56"/>
  <c r="L62" i="56" s="1"/>
  <c r="I62" i="149"/>
  <c r="J60" i="149"/>
  <c r="I61" i="71"/>
  <c r="I62" i="71"/>
  <c r="I60" i="71"/>
  <c r="I41" i="115"/>
  <c r="I39" i="115"/>
  <c r="I40" i="115"/>
  <c r="I61" i="45"/>
  <c r="I60" i="45"/>
  <c r="I62" i="45"/>
  <c r="P40" i="103"/>
  <c r="Q21" i="104" s="1"/>
  <c r="Q40" i="103"/>
  <c r="R21" i="104" s="1"/>
  <c r="N40" i="103"/>
  <c r="O21" i="104" s="1"/>
  <c r="M21" i="104"/>
  <c r="I17" i="4" s="1"/>
  <c r="M40" i="103"/>
  <c r="N21" i="104" s="1"/>
  <c r="O40" i="103"/>
  <c r="P21" i="104" s="1"/>
  <c r="M21" i="16"/>
  <c r="F17" i="4" s="1"/>
  <c r="Q40" i="15"/>
  <c r="R21" i="16" s="1"/>
  <c r="O40" i="15"/>
  <c r="P21" i="16" s="1"/>
  <c r="N40" i="15"/>
  <c r="O21" i="16" s="1"/>
  <c r="M40" i="15"/>
  <c r="N21" i="16" s="1"/>
  <c r="P40" i="15"/>
  <c r="Q21" i="16" s="1"/>
  <c r="J60" i="201"/>
  <c r="J61" i="201"/>
  <c r="I62" i="201"/>
  <c r="I40" i="45"/>
  <c r="I39" i="45"/>
  <c r="I41" i="45"/>
  <c r="O32" i="19"/>
  <c r="P19" i="20" s="1"/>
  <c r="Q32" i="19"/>
  <c r="R19" i="20" s="1"/>
  <c r="M32" i="19"/>
  <c r="N19" i="20" s="1"/>
  <c r="P32" i="19"/>
  <c r="Q19" i="20" s="1"/>
  <c r="N32" i="19"/>
  <c r="O19" i="20" s="1"/>
  <c r="M19" i="20"/>
  <c r="I29" i="199"/>
  <c r="I30" i="199"/>
  <c r="I29" i="149"/>
  <c r="I30" i="149"/>
  <c r="M19" i="59"/>
  <c r="R15" i="4" s="1"/>
  <c r="N32" i="58"/>
  <c r="O19" i="59" s="1"/>
  <c r="P32" i="58"/>
  <c r="Q19" i="59" s="1"/>
  <c r="O32" i="58"/>
  <c r="P19" i="59" s="1"/>
  <c r="M32" i="58"/>
  <c r="N19" i="59" s="1"/>
  <c r="Q32" i="58"/>
  <c r="R19" i="59" s="1"/>
  <c r="I30" i="117"/>
  <c r="I29" i="117"/>
  <c r="I29" i="107"/>
  <c r="I30" i="107"/>
  <c r="I29" i="111"/>
  <c r="I30" i="111"/>
  <c r="I30" i="87"/>
  <c r="I29" i="87"/>
  <c r="I39" i="71"/>
  <c r="I40" i="71"/>
  <c r="I41" i="71"/>
  <c r="O40" i="19"/>
  <c r="P21" i="20" s="1"/>
  <c r="P40" i="19"/>
  <c r="Q21" i="20" s="1"/>
  <c r="N40" i="19"/>
  <c r="O21" i="20" s="1"/>
  <c r="Q40" i="19"/>
  <c r="R21" i="20" s="1"/>
  <c r="M40" i="19"/>
  <c r="N21" i="20" s="1"/>
  <c r="M21" i="20"/>
  <c r="G17" i="4" s="1"/>
  <c r="M19" i="208"/>
  <c r="L15" i="4" s="1"/>
  <c r="P32" i="207"/>
  <c r="Q19" i="208" s="1"/>
  <c r="O32" i="207"/>
  <c r="P19" i="208" s="1"/>
  <c r="M32" i="207"/>
  <c r="N19" i="208" s="1"/>
  <c r="N32" i="207"/>
  <c r="O19" i="208" s="1"/>
  <c r="Q32" i="207"/>
  <c r="R19" i="208" s="1"/>
  <c r="I40" i="107"/>
  <c r="I41" i="107"/>
  <c r="I39" i="107"/>
  <c r="I39" i="105"/>
  <c r="I40" i="105"/>
  <c r="I41" i="105"/>
  <c r="I41" i="201"/>
  <c r="I39" i="201"/>
  <c r="I40" i="201"/>
  <c r="O32" i="51"/>
  <c r="P19" i="52" s="1"/>
  <c r="M19" i="52"/>
  <c r="Q15" i="4" s="1"/>
  <c r="P32" i="51"/>
  <c r="Q19" i="52" s="1"/>
  <c r="Q32" i="51"/>
  <c r="R19" i="52" s="1"/>
  <c r="M32" i="51"/>
  <c r="N19" i="52" s="1"/>
  <c r="N32" i="51"/>
  <c r="O19" i="52" s="1"/>
  <c r="P25" i="145"/>
  <c r="P24" i="145" s="1"/>
  <c r="O15" i="146" s="1"/>
  <c r="O17" i="146" s="1"/>
  <c r="P25" i="147"/>
  <c r="P24" i="147" s="1"/>
  <c r="O15" i="148" s="1"/>
  <c r="O17" i="148" s="1"/>
  <c r="N25" i="151"/>
  <c r="N24" i="151" s="1"/>
  <c r="N15" i="152" s="1"/>
  <c r="N17" i="152" s="1"/>
  <c r="N29" i="152" s="1"/>
  <c r="L25" i="111"/>
  <c r="L24" i="111" s="1"/>
  <c r="M15" i="112" s="1"/>
  <c r="M17" i="112" s="1"/>
  <c r="L31" i="31"/>
  <c r="L30" i="31" s="1"/>
  <c r="N25" i="201"/>
  <c r="N24" i="201" s="1"/>
  <c r="N15" i="202" s="1"/>
  <c r="N17" i="202" s="1"/>
  <c r="L25" i="85"/>
  <c r="L24" i="85" s="1"/>
  <c r="M15" i="86" s="1"/>
  <c r="M17" i="86" s="1"/>
  <c r="M29" i="86" s="1"/>
  <c r="L25" i="47"/>
  <c r="L24" i="47" s="1"/>
  <c r="M15" i="48" s="1"/>
  <c r="M17" i="48" s="1"/>
  <c r="P25" i="149"/>
  <c r="P24" i="149" s="1"/>
  <c r="O15" i="150" s="1"/>
  <c r="O17" i="150" s="1"/>
  <c r="L31" i="49"/>
  <c r="L30" i="49" s="1"/>
  <c r="I40" i="151"/>
  <c r="I39" i="151"/>
  <c r="I41" i="151"/>
  <c r="H61" i="81"/>
  <c r="H63" i="81"/>
  <c r="L63" i="81" s="1"/>
  <c r="H62" i="81"/>
  <c r="I40" i="77"/>
  <c r="I41" i="77"/>
  <c r="I39" i="77"/>
  <c r="M40" i="25"/>
  <c r="N21" i="26" s="1"/>
  <c r="O40" i="25"/>
  <c r="P21" i="26" s="1"/>
  <c r="P40" i="25"/>
  <c r="Q21" i="26" s="1"/>
  <c r="Q40" i="25"/>
  <c r="R21" i="26" s="1"/>
  <c r="N40" i="25"/>
  <c r="O21" i="26" s="1"/>
  <c r="M21" i="26"/>
  <c r="P17" i="4" s="1"/>
  <c r="I62" i="53"/>
  <c r="I60" i="53"/>
  <c r="I61" i="53"/>
  <c r="I40" i="153"/>
  <c r="I41" i="153"/>
  <c r="I39" i="153"/>
  <c r="W61" i="51"/>
  <c r="L61" i="51"/>
  <c r="V61" i="51"/>
  <c r="U61" i="51"/>
  <c r="X61" i="51"/>
  <c r="T61" i="51"/>
  <c r="H63" i="49"/>
  <c r="L63" i="49" s="1"/>
  <c r="H61" i="49"/>
  <c r="I61" i="109"/>
  <c r="I62" i="109"/>
  <c r="I60" i="109"/>
  <c r="H63" i="103"/>
  <c r="L63" i="103" s="1"/>
  <c r="H61" i="103"/>
  <c r="H63" i="23"/>
  <c r="L63" i="23" s="1"/>
  <c r="H61" i="23"/>
  <c r="I39" i="189"/>
  <c r="I41" i="189"/>
  <c r="I40" i="189"/>
  <c r="J60" i="199"/>
  <c r="I62" i="199"/>
  <c r="J61" i="199"/>
  <c r="I40" i="89"/>
  <c r="I41" i="89"/>
  <c r="I39" i="89"/>
  <c r="I40" i="111"/>
  <c r="I41" i="111"/>
  <c r="I39" i="111"/>
  <c r="H61" i="21"/>
  <c r="H62" i="21"/>
  <c r="H63" i="21"/>
  <c r="L63" i="21" s="1"/>
  <c r="Q32" i="49"/>
  <c r="R19" i="50" s="1"/>
  <c r="P32" i="49"/>
  <c r="Q19" i="50" s="1"/>
  <c r="O32" i="49"/>
  <c r="P19" i="50" s="1"/>
  <c r="M19" i="50"/>
  <c r="O15" i="4" s="1"/>
  <c r="M32" i="49"/>
  <c r="N19" i="50" s="1"/>
  <c r="N32" i="49"/>
  <c r="O19" i="50" s="1"/>
  <c r="M32" i="159"/>
  <c r="N19" i="160" s="1"/>
  <c r="N32" i="159"/>
  <c r="O19" i="160" s="1"/>
  <c r="Q32" i="159"/>
  <c r="R19" i="160" s="1"/>
  <c r="P32" i="159"/>
  <c r="Q19" i="160" s="1"/>
  <c r="M19" i="160"/>
  <c r="O32" i="159"/>
  <c r="P19" i="160" s="1"/>
  <c r="I30" i="45"/>
  <c r="I29" i="45"/>
  <c r="P32" i="25"/>
  <c r="Q19" i="26" s="1"/>
  <c r="M19" i="26"/>
  <c r="M32" i="25"/>
  <c r="N19" i="26" s="1"/>
  <c r="N32" i="25"/>
  <c r="O19" i="26" s="1"/>
  <c r="Q32" i="25"/>
  <c r="R19" i="26" s="1"/>
  <c r="O32" i="25"/>
  <c r="P19" i="26" s="1"/>
  <c r="I30" i="197"/>
  <c r="I29" i="197"/>
  <c r="I30" i="109"/>
  <c r="I29" i="109"/>
  <c r="P32" i="17"/>
  <c r="Q19" i="18" s="1"/>
  <c r="O32" i="17"/>
  <c r="P19" i="18" s="1"/>
  <c r="M19" i="18"/>
  <c r="M32" i="17"/>
  <c r="N19" i="18" s="1"/>
  <c r="N32" i="17"/>
  <c r="O19" i="18" s="1"/>
  <c r="Q32" i="17"/>
  <c r="R19" i="18" s="1"/>
  <c r="M32" i="163"/>
  <c r="N19" i="164" s="1"/>
  <c r="P32" i="163"/>
  <c r="Q19" i="164" s="1"/>
  <c r="N32" i="163"/>
  <c r="O19" i="164" s="1"/>
  <c r="M19" i="164"/>
  <c r="BL15" i="4" s="1"/>
  <c r="Q32" i="163"/>
  <c r="R19" i="164" s="1"/>
  <c r="O32" i="163"/>
  <c r="P19" i="164" s="1"/>
  <c r="M42" i="84"/>
  <c r="AP37" i="4" s="1"/>
  <c r="O42" i="90"/>
  <c r="BJ37" i="4" s="1"/>
  <c r="M42" i="86"/>
  <c r="AV37" i="4" s="1"/>
  <c r="N42" i="68"/>
  <c r="AT37" i="4" s="1"/>
  <c r="O42" i="180"/>
  <c r="N42" i="198"/>
  <c r="O42" i="182"/>
  <c r="M44" i="208"/>
  <c r="N42" i="54"/>
  <c r="X37" i="4" s="1"/>
  <c r="M42" i="54"/>
  <c r="W37" i="4" s="1"/>
  <c r="M42" i="158"/>
  <c r="Z37" i="4" s="1"/>
  <c r="N42" i="78"/>
  <c r="BF37" i="4" s="1"/>
  <c r="N42" i="150"/>
  <c r="M44" i="210"/>
  <c r="M44" i="104"/>
  <c r="O42" i="198"/>
  <c r="M42" i="150"/>
  <c r="O42" i="188"/>
  <c r="O42" i="202"/>
  <c r="N42" i="146"/>
  <c r="O42" i="88"/>
  <c r="BD37" i="4" s="1"/>
  <c r="N42" i="90"/>
  <c r="BI37" i="4" s="1"/>
  <c r="O42" i="48"/>
  <c r="AI37" i="4" s="1"/>
  <c r="M44" i="66"/>
  <c r="M42" i="112"/>
  <c r="N42" i="116"/>
  <c r="CC37" i="4" s="1"/>
  <c r="N42" i="86"/>
  <c r="AW37" i="4" s="1"/>
  <c r="N42" i="152"/>
  <c r="M44" i="50"/>
  <c r="M42" i="198"/>
  <c r="M42" i="88"/>
  <c r="BB37" i="4" s="1"/>
  <c r="O42" i="114"/>
  <c r="BR37" i="4" s="1"/>
  <c r="N42" i="120"/>
  <c r="M42" i="78"/>
  <c r="BE37" i="4" s="1"/>
  <c r="O42" i="110"/>
  <c r="BX37" i="4" s="1"/>
  <c r="M42" i="192"/>
  <c r="CH37" i="4" s="1"/>
  <c r="M44" i="216"/>
  <c r="M42" i="146"/>
  <c r="O42" i="70"/>
  <c r="BA37" i="4" s="1"/>
  <c r="N42" i="70"/>
  <c r="AZ37" i="4" s="1"/>
  <c r="O42" i="200"/>
  <c r="N42" i="194"/>
  <c r="M42" i="196"/>
  <c r="M42" i="152"/>
  <c r="N42" i="112"/>
  <c r="N42" i="108"/>
  <c r="BT37" i="4" s="1"/>
  <c r="O42" i="108"/>
  <c r="BU37" i="4" s="1"/>
  <c r="N42" i="188"/>
  <c r="M42" i="48"/>
  <c r="AG37" i="4" s="1"/>
  <c r="M42" i="44"/>
  <c r="M42" i="114"/>
  <c r="BP37" i="4" s="1"/>
  <c r="N42" i="190"/>
  <c r="M42" i="202"/>
  <c r="O42" i="196"/>
  <c r="O42" i="120"/>
  <c r="M42" i="148"/>
  <c r="O42" i="148"/>
  <c r="M44" i="214"/>
  <c r="M42" i="190"/>
  <c r="M42" i="188"/>
  <c r="O42" i="74"/>
  <c r="AO37" i="4" s="1"/>
  <c r="M44" i="52"/>
  <c r="O42" i="86"/>
  <c r="AX37" i="4" s="1"/>
  <c r="M42" i="72"/>
  <c r="AJ37" i="4" s="1"/>
  <c r="M44" i="57"/>
  <c r="N42" i="88"/>
  <c r="BC37" i="4" s="1"/>
  <c r="N42" i="192"/>
  <c r="CI37" i="4" s="1"/>
  <c r="N42" i="48"/>
  <c r="AH37" i="4" s="1"/>
  <c r="O42" i="192"/>
  <c r="CJ37" i="4" s="1"/>
  <c r="N42" i="118"/>
  <c r="M44" i="18"/>
  <c r="O42" i="84"/>
  <c r="AR37" i="4" s="1"/>
  <c r="O42" i="194"/>
  <c r="M42" i="118"/>
  <c r="M44" i="82"/>
  <c r="M44" i="160"/>
  <c r="O42" i="78"/>
  <c r="BG37" i="4" s="1"/>
  <c r="N42" i="44"/>
  <c r="O42" i="152"/>
  <c r="O42" i="54"/>
  <c r="Y37" i="4" s="1"/>
  <c r="M42" i="200"/>
  <c r="M42" i="90"/>
  <c r="BH37" i="4" s="1"/>
  <c r="N42" i="110"/>
  <c r="BW37" i="4" s="1"/>
  <c r="O42" i="146"/>
  <c r="M44" i="16"/>
  <c r="M44" i="26"/>
  <c r="M44" i="164"/>
  <c r="M42" i="194"/>
  <c r="O42" i="112"/>
  <c r="M42" i="120"/>
  <c r="M42" i="68"/>
  <c r="AS37" i="4" s="1"/>
  <c r="M42" i="70"/>
  <c r="AY37" i="4" s="1"/>
  <c r="O42" i="116"/>
  <c r="CD37" i="4" s="1"/>
  <c r="M42" i="116"/>
  <c r="CB37" i="4" s="1"/>
  <c r="M44" i="36"/>
  <c r="M44" i="32"/>
  <c r="N42" i="196"/>
  <c r="O42" i="154"/>
  <c r="M42" i="108"/>
  <c r="BS37" i="4" s="1"/>
  <c r="N42" i="72"/>
  <c r="AK37" i="4" s="1"/>
  <c r="M44" i="92"/>
  <c r="O42" i="190"/>
  <c r="N42" i="114"/>
  <c r="BQ37" i="4" s="1"/>
  <c r="O42" i="72"/>
  <c r="AL37" i="4" s="1"/>
  <c r="M42" i="154"/>
  <c r="N42" i="158"/>
  <c r="AA37" i="4" s="1"/>
  <c r="O42" i="118"/>
  <c r="O42" i="44"/>
  <c r="N42" i="202"/>
  <c r="N42" i="182"/>
  <c r="N42" i="200"/>
  <c r="M42" i="182"/>
  <c r="N42" i="148"/>
  <c r="O42" i="158"/>
  <c r="AB37" i="4" s="1"/>
  <c r="M42" i="180"/>
  <c r="N42" i="74"/>
  <c r="AN37" i="4" s="1"/>
  <c r="M44" i="20"/>
  <c r="O42" i="68"/>
  <c r="AU37" i="4" s="1"/>
  <c r="M42" i="110"/>
  <c r="BV37" i="4" s="1"/>
  <c r="M44" i="22"/>
  <c r="M44" i="24"/>
  <c r="N42" i="84"/>
  <c r="AQ37" i="4" s="1"/>
  <c r="M42" i="74"/>
  <c r="AM37" i="4" s="1"/>
  <c r="N42" i="180"/>
  <c r="M44" i="59"/>
  <c r="M44" i="212"/>
  <c r="O42" i="150"/>
  <c r="N42" i="154"/>
  <c r="I41" i="197"/>
  <c r="I39" i="197"/>
  <c r="I40" i="197"/>
  <c r="N40" i="49"/>
  <c r="O21" i="50" s="1"/>
  <c r="P40" i="49"/>
  <c r="Q21" i="50" s="1"/>
  <c r="M40" i="49"/>
  <c r="N21" i="50" s="1"/>
  <c r="Q40" i="49"/>
  <c r="R21" i="50" s="1"/>
  <c r="O40" i="49"/>
  <c r="P21" i="50" s="1"/>
  <c r="M21" i="50"/>
  <c r="O17" i="4" s="1"/>
  <c r="P32" i="23"/>
  <c r="Q19" i="24" s="1"/>
  <c r="N32" i="23"/>
  <c r="O19" i="24" s="1"/>
  <c r="M32" i="23"/>
  <c r="N19" i="24" s="1"/>
  <c r="Q32" i="23"/>
  <c r="R19" i="24" s="1"/>
  <c r="O32" i="23"/>
  <c r="P19" i="24" s="1"/>
  <c r="M19" i="24"/>
  <c r="J15" i="4" s="1"/>
  <c r="I41" i="85"/>
  <c r="I40" i="85"/>
  <c r="I39" i="85"/>
  <c r="M21" i="66"/>
  <c r="O40" i="65"/>
  <c r="P21" i="66" s="1"/>
  <c r="N40" i="65"/>
  <c r="O21" i="66" s="1"/>
  <c r="Q40" i="65"/>
  <c r="R21" i="66" s="1"/>
  <c r="M40" i="65"/>
  <c r="N21" i="66" s="1"/>
  <c r="P40" i="65"/>
  <c r="Q21" i="66" s="1"/>
  <c r="I29" i="151"/>
  <c r="I30" i="151"/>
  <c r="L31" i="15"/>
  <c r="L30" i="15" s="1"/>
  <c r="P30" i="15" s="1"/>
  <c r="Y31" i="16" s="1"/>
  <c r="L25" i="119"/>
  <c r="L24" i="119" s="1"/>
  <c r="M15" i="120" s="1"/>
  <c r="M17" i="120" s="1"/>
  <c r="L31" i="209"/>
  <c r="L30" i="209" s="1"/>
  <c r="Q30" i="209" s="1"/>
  <c r="Z31" i="210" s="1"/>
  <c r="P25" i="53"/>
  <c r="P24" i="53" s="1"/>
  <c r="O15" i="54" s="1"/>
  <c r="O17" i="54" s="1"/>
  <c r="L31" i="19"/>
  <c r="L30" i="19" s="1"/>
  <c r="N25" i="149"/>
  <c r="N24" i="149" s="1"/>
  <c r="N15" i="150" s="1"/>
  <c r="N17" i="150" s="1"/>
  <c r="N25" i="73"/>
  <c r="N24" i="73" s="1"/>
  <c r="N15" i="74" s="1"/>
  <c r="N17" i="74" s="1"/>
  <c r="N25" i="147"/>
  <c r="N24" i="147" s="1"/>
  <c r="N15" i="148" s="1"/>
  <c r="N17" i="148" s="1"/>
  <c r="N29" i="148" s="1"/>
  <c r="P25" i="191"/>
  <c r="P24" i="191" s="1"/>
  <c r="O15" i="192" s="1"/>
  <c r="O17" i="192" s="1"/>
  <c r="I62" i="191"/>
  <c r="J61" i="191"/>
  <c r="J60" i="191"/>
  <c r="H61" i="207"/>
  <c r="H62" i="207"/>
  <c r="H63" i="207"/>
  <c r="L63" i="207" s="1"/>
  <c r="I41" i="53"/>
  <c r="I39" i="53"/>
  <c r="I40" i="53"/>
  <c r="I39" i="157"/>
  <c r="I40" i="157"/>
  <c r="I41" i="157"/>
  <c r="H61" i="91"/>
  <c r="H63" i="91"/>
  <c r="H62" i="91"/>
  <c r="I41" i="113"/>
  <c r="I39" i="113"/>
  <c r="I40" i="113"/>
  <c r="I62" i="117"/>
  <c r="I61" i="117"/>
  <c r="I60" i="117"/>
  <c r="J60" i="193"/>
  <c r="J61" i="193"/>
  <c r="I62" i="193"/>
  <c r="I60" i="151"/>
  <c r="I62" i="151"/>
  <c r="I61" i="151"/>
  <c r="I60" i="77"/>
  <c r="I62" i="77"/>
  <c r="I61" i="77"/>
  <c r="I41" i="149"/>
  <c r="I40" i="149"/>
  <c r="I39" i="149"/>
  <c r="N40" i="31"/>
  <c r="O21" i="32" s="1"/>
  <c r="M21" i="32"/>
  <c r="S17" i="4" s="1"/>
  <c r="M40" i="31"/>
  <c r="N21" i="32" s="1"/>
  <c r="Q40" i="31"/>
  <c r="R21" i="32" s="1"/>
  <c r="P40" i="31"/>
  <c r="Q21" i="32" s="1"/>
  <c r="O40" i="31"/>
  <c r="P21" i="32" s="1"/>
  <c r="I39" i="147"/>
  <c r="I41" i="147"/>
  <c r="I40" i="147"/>
  <c r="H63" i="19"/>
  <c r="L63" i="19" s="1"/>
  <c r="H61" i="19"/>
  <c r="O40" i="159"/>
  <c r="P21" i="160" s="1"/>
  <c r="Q40" i="159"/>
  <c r="R21" i="160" s="1"/>
  <c r="P40" i="159"/>
  <c r="Q21" i="160" s="1"/>
  <c r="M21" i="160"/>
  <c r="BK17" i="4" s="1"/>
  <c r="N40" i="159"/>
  <c r="O21" i="160" s="1"/>
  <c r="M40" i="159"/>
  <c r="N21" i="160" s="1"/>
  <c r="H63" i="163"/>
  <c r="H61" i="163"/>
  <c r="H62" i="163"/>
  <c r="I30" i="189"/>
  <c r="I29" i="189"/>
  <c r="I29" i="113"/>
  <c r="I30" i="113"/>
  <c r="I29" i="47"/>
  <c r="I30" i="47"/>
  <c r="M19" i="210"/>
  <c r="M15" i="4" s="1"/>
  <c r="N32" i="209"/>
  <c r="O19" i="210" s="1"/>
  <c r="Q32" i="209"/>
  <c r="R19" i="210" s="1"/>
  <c r="M32" i="209"/>
  <c r="N19" i="210" s="1"/>
  <c r="P32" i="209"/>
  <c r="Q19" i="210" s="1"/>
  <c r="O32" i="209"/>
  <c r="P19" i="210" s="1"/>
  <c r="I30" i="43"/>
  <c r="I29" i="43"/>
  <c r="I29" i="195"/>
  <c r="I30" i="195"/>
  <c r="I29" i="85"/>
  <c r="I30" i="85"/>
  <c r="P32" i="91"/>
  <c r="Q19" i="92" s="1"/>
  <c r="M32" i="91"/>
  <c r="N19" i="92" s="1"/>
  <c r="N32" i="91"/>
  <c r="O19" i="92" s="1"/>
  <c r="O32" i="91"/>
  <c r="P19" i="92" s="1"/>
  <c r="M19" i="92"/>
  <c r="Q32" i="91"/>
  <c r="R19" i="92" s="1"/>
  <c r="I40" i="117"/>
  <c r="I41" i="117"/>
  <c r="I39" i="117"/>
  <c r="H62" i="209"/>
  <c r="H63" i="209"/>
  <c r="L63" i="209" s="1"/>
  <c r="H61" i="209"/>
  <c r="N32" i="81"/>
  <c r="O19" i="82" s="1"/>
  <c r="M32" i="81"/>
  <c r="N19" i="82" s="1"/>
  <c r="Q32" i="81"/>
  <c r="R19" i="82" s="1"/>
  <c r="M19" i="82"/>
  <c r="P32" i="81"/>
  <c r="Q19" i="82" s="1"/>
  <c r="O32" i="81"/>
  <c r="P19" i="82" s="1"/>
  <c r="Q40" i="209"/>
  <c r="R21" i="210" s="1"/>
  <c r="M40" i="209"/>
  <c r="N21" i="210" s="1"/>
  <c r="P40" i="209"/>
  <c r="Q21" i="210" s="1"/>
  <c r="N40" i="209"/>
  <c r="O21" i="210" s="1"/>
  <c r="M21" i="210"/>
  <c r="M17" i="4" s="1"/>
  <c r="O40" i="209"/>
  <c r="P21" i="210" s="1"/>
  <c r="M40" i="81"/>
  <c r="N21" i="82" s="1"/>
  <c r="M21" i="82"/>
  <c r="N17" i="4" s="1"/>
  <c r="O40" i="81"/>
  <c r="P21" i="82" s="1"/>
  <c r="Q40" i="81"/>
  <c r="R21" i="82" s="1"/>
  <c r="P40" i="81"/>
  <c r="Q21" i="82" s="1"/>
  <c r="N40" i="81"/>
  <c r="O21" i="82" s="1"/>
  <c r="I41" i="119"/>
  <c r="I39" i="119"/>
  <c r="I40" i="119"/>
  <c r="M40" i="163"/>
  <c r="N21" i="164" s="1"/>
  <c r="Q40" i="163"/>
  <c r="R21" i="164" s="1"/>
  <c r="M21" i="164"/>
  <c r="BL17" i="4" s="1"/>
  <c r="O40" i="163"/>
  <c r="P21" i="164" s="1"/>
  <c r="P40" i="163"/>
  <c r="Q21" i="164" s="1"/>
  <c r="N40" i="163"/>
  <c r="O21" i="164" s="1"/>
  <c r="I29" i="71"/>
  <c r="I30" i="71"/>
  <c r="M19" i="36"/>
  <c r="N32" i="35"/>
  <c r="O19" i="36" s="1"/>
  <c r="O32" i="35"/>
  <c r="P19" i="36" s="1"/>
  <c r="M32" i="35"/>
  <c r="N19" i="36" s="1"/>
  <c r="Q32" i="35"/>
  <c r="R19" i="36" s="1"/>
  <c r="P32" i="35"/>
  <c r="Q19" i="36" s="1"/>
  <c r="L25" i="83"/>
  <c r="L24" i="83" s="1"/>
  <c r="M15" i="84" s="1"/>
  <c r="M17" i="84" s="1"/>
  <c r="M29" i="84" s="1"/>
  <c r="P25" i="197"/>
  <c r="P24" i="197" s="1"/>
  <c r="O15" i="198" s="1"/>
  <c r="O17" i="198" s="1"/>
  <c r="O29" i="198" s="1"/>
  <c r="L25" i="149"/>
  <c r="L24" i="149" s="1"/>
  <c r="M15" i="150" s="1"/>
  <c r="M17" i="150" s="1"/>
  <c r="M29" i="150" s="1"/>
  <c r="N25" i="115"/>
  <c r="N24" i="115" s="1"/>
  <c r="N15" i="116" s="1"/>
  <c r="N17" i="116" s="1"/>
  <c r="P25" i="45"/>
  <c r="P24" i="45" s="1"/>
  <c r="O15" i="46" s="1"/>
  <c r="O17" i="46" s="1"/>
  <c r="N25" i="117"/>
  <c r="N24" i="117" s="1"/>
  <c r="N15" i="118" s="1"/>
  <c r="N17" i="118" s="1"/>
  <c r="L25" i="197"/>
  <c r="L24" i="197" s="1"/>
  <c r="M15" i="198" s="1"/>
  <c r="M17" i="198" s="1"/>
  <c r="L25" i="193"/>
  <c r="L24" i="193" s="1"/>
  <c r="M15" i="194" s="1"/>
  <c r="M17" i="194" s="1"/>
  <c r="P25" i="47"/>
  <c r="P24" i="47" s="1"/>
  <c r="O15" i="48" s="1"/>
  <c r="O17" i="48" s="1"/>
  <c r="O48" i="48" s="1"/>
  <c r="AI43" i="4" s="1"/>
  <c r="P25" i="179"/>
  <c r="P24" i="179" s="1"/>
  <c r="O15" i="180" s="1"/>
  <c r="O17" i="180" s="1"/>
  <c r="H63" i="58"/>
  <c r="L63" i="58" s="1"/>
  <c r="H61" i="58"/>
  <c r="L61" i="58" s="1"/>
  <c r="I40" i="67"/>
  <c r="I39" i="67"/>
  <c r="I41" i="67"/>
  <c r="H61" i="215"/>
  <c r="H62" i="215"/>
  <c r="L62" i="215" s="1"/>
  <c r="H63" i="215"/>
  <c r="L63" i="215" s="1"/>
  <c r="H63" i="31"/>
  <c r="L63" i="31" s="1"/>
  <c r="H61" i="31"/>
  <c r="I61" i="69"/>
  <c r="I62" i="69"/>
  <c r="I60" i="69"/>
  <c r="N40" i="17"/>
  <c r="O21" i="18" s="1"/>
  <c r="M40" i="17"/>
  <c r="N21" i="18" s="1"/>
  <c r="O40" i="17"/>
  <c r="P21" i="18" s="1"/>
  <c r="M21" i="18"/>
  <c r="E17" i="4" s="1"/>
  <c r="P40" i="17"/>
  <c r="Q21" i="18" s="1"/>
  <c r="Q40" i="17"/>
  <c r="R21" i="18" s="1"/>
  <c r="H63" i="65"/>
  <c r="H61" i="65"/>
  <c r="I40" i="73"/>
  <c r="I39" i="73"/>
  <c r="I41" i="73"/>
  <c r="H63" i="213"/>
  <c r="L63" i="213" s="1"/>
  <c r="H62" i="213"/>
  <c r="L62" i="213" s="1"/>
  <c r="H61" i="213"/>
  <c r="I62" i="145"/>
  <c r="I61" i="145"/>
  <c r="I60" i="145"/>
  <c r="I62" i="43"/>
  <c r="I60" i="43"/>
  <c r="I61" i="43"/>
  <c r="I41" i="109"/>
  <c r="I39" i="109"/>
  <c r="I40" i="109"/>
  <c r="J60" i="67"/>
  <c r="I62" i="67"/>
  <c r="H61" i="17"/>
  <c r="L61" i="17" s="1"/>
  <c r="H63" i="17"/>
  <c r="L63" i="17" s="1"/>
  <c r="L59" i="17" s="1"/>
  <c r="M25" i="18" s="1"/>
  <c r="E19" i="4" s="1"/>
  <c r="I30" i="73"/>
  <c r="I29" i="73"/>
  <c r="I29" i="83"/>
  <c r="I30" i="83"/>
  <c r="I29" i="179"/>
  <c r="I30" i="179"/>
  <c r="N32" i="215"/>
  <c r="O19" i="216" s="1"/>
  <c r="M32" i="215"/>
  <c r="N19" i="216" s="1"/>
  <c r="P32" i="215"/>
  <c r="Q19" i="216" s="1"/>
  <c r="M19" i="216"/>
  <c r="V15" i="4" s="1"/>
  <c r="Q32" i="215"/>
  <c r="R19" i="216" s="1"/>
  <c r="O32" i="215"/>
  <c r="P19" i="216" s="1"/>
  <c r="I29" i="69"/>
  <c r="I30" i="69"/>
  <c r="M19" i="214"/>
  <c r="U15" i="4" s="1"/>
  <c r="P32" i="213"/>
  <c r="Q19" i="214" s="1"/>
  <c r="N32" i="213"/>
  <c r="O19" i="214" s="1"/>
  <c r="O32" i="213"/>
  <c r="P19" i="214" s="1"/>
  <c r="Q32" i="213"/>
  <c r="R19" i="214" s="1"/>
  <c r="M32" i="213"/>
  <c r="N19" i="214" s="1"/>
  <c r="I29" i="191"/>
  <c r="I30" i="191"/>
  <c r="I30" i="105"/>
  <c r="I29" i="105"/>
  <c r="N25" i="145"/>
  <c r="N24" i="145" s="1"/>
  <c r="N15" i="146" s="1"/>
  <c r="N17" i="146" s="1"/>
  <c r="P25" i="115"/>
  <c r="P24" i="115" s="1"/>
  <c r="O15" i="116" s="1"/>
  <c r="O17" i="116" s="1"/>
  <c r="O48" i="116" s="1"/>
  <c r="CD43" i="4" s="1"/>
  <c r="P25" i="117"/>
  <c r="P24" i="117" s="1"/>
  <c r="O15" i="118" s="1"/>
  <c r="O17" i="118" s="1"/>
  <c r="P25" i="153"/>
  <c r="P24" i="153" s="1"/>
  <c r="O15" i="154" s="1"/>
  <c r="O17" i="154" s="1"/>
  <c r="O48" i="154" s="1"/>
  <c r="P25" i="189"/>
  <c r="P24" i="189" s="1"/>
  <c r="O15" i="190" s="1"/>
  <c r="O17" i="190" s="1"/>
  <c r="O48" i="190" s="1"/>
  <c r="L25" i="117"/>
  <c r="L24" i="117" s="1"/>
  <c r="M15" i="118" s="1"/>
  <c r="M17" i="118" s="1"/>
  <c r="M48" i="118" s="1"/>
  <c r="P25" i="107"/>
  <c r="P24" i="107" s="1"/>
  <c r="O15" i="108" s="1"/>
  <c r="O17" i="108" s="1"/>
  <c r="O29" i="108" s="1"/>
  <c r="L25" i="67"/>
  <c r="L24" i="67" s="1"/>
  <c r="M15" i="68" s="1"/>
  <c r="M17" i="68" s="1"/>
  <c r="L31" i="58"/>
  <c r="L30" i="58" s="1"/>
  <c r="L25" i="105"/>
  <c r="L24" i="105" s="1"/>
  <c r="M15" i="106" s="1"/>
  <c r="M17" i="106" s="1"/>
  <c r="M29" i="106" s="1"/>
  <c r="N25" i="157"/>
  <c r="N24" i="157" s="1"/>
  <c r="N15" i="158" s="1"/>
  <c r="N17" i="158" s="1"/>
  <c r="L25" i="151"/>
  <c r="L24" i="151" s="1"/>
  <c r="M15" i="152" s="1"/>
  <c r="M17" i="152" s="1"/>
  <c r="M48" i="152" s="1"/>
  <c r="L25" i="109"/>
  <c r="L24" i="109" s="1"/>
  <c r="M15" i="110" s="1"/>
  <c r="M17" i="110" s="1"/>
  <c r="M48" i="110" s="1"/>
  <c r="BV43" i="4" s="1"/>
  <c r="L25" i="73"/>
  <c r="L24" i="73" s="1"/>
  <c r="M15" i="74" s="1"/>
  <c r="M17" i="74" s="1"/>
  <c r="M29" i="74" s="1"/>
  <c r="P25" i="43"/>
  <c r="P24" i="43" s="1"/>
  <c r="O15" i="44" s="1"/>
  <c r="O17" i="44" s="1"/>
  <c r="O29" i="44" s="1"/>
  <c r="L31" i="91"/>
  <c r="L30" i="91" s="1"/>
  <c r="L31" i="159"/>
  <c r="L30" i="159" s="1"/>
  <c r="P25" i="69"/>
  <c r="P24" i="69" s="1"/>
  <c r="O15" i="70" s="1"/>
  <c r="O17" i="70" s="1"/>
  <c r="O29" i="70" s="1"/>
  <c r="L25" i="115"/>
  <c r="L24" i="115" s="1"/>
  <c r="M15" i="116" s="1"/>
  <c r="M17" i="116" s="1"/>
  <c r="M29" i="116" s="1"/>
  <c r="N25" i="109"/>
  <c r="N24" i="109" s="1"/>
  <c r="N15" i="110" s="1"/>
  <c r="N17" i="110" s="1"/>
  <c r="N29" i="110" s="1"/>
  <c r="L31" i="213"/>
  <c r="L30" i="213" s="1"/>
  <c r="P25" i="83"/>
  <c r="P24" i="83" s="1"/>
  <c r="O15" i="84" s="1"/>
  <c r="O17" i="84" s="1"/>
  <c r="N25" i="69"/>
  <c r="N24" i="69" s="1"/>
  <c r="N15" i="70" s="1"/>
  <c r="N17" i="70" s="1"/>
  <c r="N29" i="70" s="1"/>
  <c r="L31" i="56"/>
  <c r="L30" i="56" s="1"/>
  <c r="N25" i="107"/>
  <c r="N24" i="107" s="1"/>
  <c r="N15" i="108" s="1"/>
  <c r="N17" i="108" s="1"/>
  <c r="L25" i="181"/>
  <c r="L24" i="181" s="1"/>
  <c r="M15" i="182" s="1"/>
  <c r="M17" i="182" s="1"/>
  <c r="M48" i="182" s="1"/>
  <c r="L31" i="211"/>
  <c r="L30" i="211" s="1"/>
  <c r="U31" i="212" s="1"/>
  <c r="L25" i="107"/>
  <c r="L24" i="107" s="1"/>
  <c r="M15" i="108" s="1"/>
  <c r="M17" i="108" s="1"/>
  <c r="M48" i="108" s="1"/>
  <c r="BS43" i="4" s="1"/>
  <c r="N25" i="89"/>
  <c r="N24" i="89" s="1"/>
  <c r="N15" i="90" s="1"/>
  <c r="N17" i="90" s="1"/>
  <c r="L25" i="179"/>
  <c r="L24" i="179" s="1"/>
  <c r="M15" i="180" s="1"/>
  <c r="M17" i="180" s="1"/>
  <c r="N25" i="195"/>
  <c r="N24" i="195" s="1"/>
  <c r="N15" i="196" s="1"/>
  <c r="N17" i="196" s="1"/>
  <c r="N29" i="196" s="1"/>
  <c r="L25" i="53"/>
  <c r="L24" i="53" s="1"/>
  <c r="M15" i="54" s="1"/>
  <c r="M17" i="54" s="1"/>
  <c r="L25" i="191"/>
  <c r="L24" i="191" s="1"/>
  <c r="M15" i="192" s="1"/>
  <c r="M17" i="192" s="1"/>
  <c r="L31" i="207"/>
  <c r="L30" i="207" s="1"/>
  <c r="O30" i="207" s="1"/>
  <c r="X31" i="208" s="1"/>
  <c r="P25" i="157"/>
  <c r="P24" i="157" s="1"/>
  <c r="O15" i="158" s="1"/>
  <c r="O17" i="158" s="1"/>
  <c r="O48" i="158" s="1"/>
  <c r="AB43" i="4" s="1"/>
  <c r="L31" i="23"/>
  <c r="L30" i="23" s="1"/>
  <c r="P30" i="23" s="1"/>
  <c r="Y31" i="24" s="1"/>
  <c r="P25" i="85"/>
  <c r="P24" i="85" s="1"/>
  <c r="O15" i="86" s="1"/>
  <c r="O17" i="86" s="1"/>
  <c r="N25" i="193"/>
  <c r="N24" i="193" s="1"/>
  <c r="N15" i="194" s="1"/>
  <c r="N17" i="194" s="1"/>
  <c r="P25" i="113"/>
  <c r="P24" i="113" s="1"/>
  <c r="O15" i="114" s="1"/>
  <c r="O17" i="114" s="1"/>
  <c r="O29" i="114" s="1"/>
  <c r="N25" i="47"/>
  <c r="N24" i="47" s="1"/>
  <c r="N15" i="48" s="1"/>
  <c r="N17" i="48" s="1"/>
  <c r="P25" i="119"/>
  <c r="P24" i="119" s="1"/>
  <c r="O15" i="120" s="1"/>
  <c r="O17" i="120" s="1"/>
  <c r="L25" i="145"/>
  <c r="L24" i="145" s="1"/>
  <c r="M15" i="146" s="1"/>
  <c r="M17" i="146" s="1"/>
  <c r="M48" i="146" s="1"/>
  <c r="L25" i="71"/>
  <c r="L24" i="71" s="1"/>
  <c r="M15" i="72" s="1"/>
  <c r="M17" i="72" s="1"/>
  <c r="M29" i="72" s="1"/>
  <c r="P25" i="67"/>
  <c r="P24" i="67" s="1"/>
  <c r="O15" i="68" s="1"/>
  <c r="O17" i="68" s="1"/>
  <c r="O29" i="68" s="1"/>
  <c r="N25" i="71"/>
  <c r="N24" i="71" s="1"/>
  <c r="N15" i="72" s="1"/>
  <c r="N17" i="72" s="1"/>
  <c r="N25" i="53"/>
  <c r="N24" i="53" s="1"/>
  <c r="N15" i="54" s="1"/>
  <c r="N17" i="54" s="1"/>
  <c r="N25" i="83"/>
  <c r="N24" i="83" s="1"/>
  <c r="N15" i="84" s="1"/>
  <c r="N17" i="84" s="1"/>
  <c r="N29" i="84" s="1"/>
  <c r="L25" i="147"/>
  <c r="L24" i="147" s="1"/>
  <c r="M15" i="148" s="1"/>
  <c r="M17" i="148" s="1"/>
  <c r="P25" i="105"/>
  <c r="P24" i="105" s="1"/>
  <c r="O15" i="106" s="1"/>
  <c r="O17" i="106" s="1"/>
  <c r="N25" i="43"/>
  <c r="N24" i="43" s="1"/>
  <c r="N15" i="44" s="1"/>
  <c r="N17" i="44" s="1"/>
  <c r="L31" i="163"/>
  <c r="L30" i="163" s="1"/>
  <c r="P30" i="163" s="1"/>
  <c r="Y31" i="164" s="1"/>
  <c r="P25" i="187"/>
  <c r="P24" i="187" s="1"/>
  <c r="O15" i="188" s="1"/>
  <c r="O17" i="188" s="1"/>
  <c r="O48" i="188" s="1"/>
  <c r="L25" i="189"/>
  <c r="L24" i="189" s="1"/>
  <c r="M15" i="190" s="1"/>
  <c r="M17" i="190" s="1"/>
  <c r="N25" i="87"/>
  <c r="N24" i="87" s="1"/>
  <c r="N15" i="88" s="1"/>
  <c r="N17" i="88" s="1"/>
  <c r="CI32" i="4"/>
  <c r="AW32" i="4"/>
  <c r="AT32" i="4"/>
  <c r="E32" i="4"/>
  <c r="Z33" i="12"/>
  <c r="T33" i="12"/>
  <c r="X18" i="12"/>
  <c r="V18" i="12"/>
  <c r="Z18" i="12"/>
  <c r="W18" i="12"/>
  <c r="BH32" i="4"/>
  <c r="N32" i="4"/>
  <c r="Y32" i="4"/>
  <c r="N48" i="146"/>
  <c r="N29" i="146"/>
  <c r="O48" i="118"/>
  <c r="O29" i="118"/>
  <c r="M48" i="68"/>
  <c r="AS43" i="4" s="1"/>
  <c r="M29" i="68"/>
  <c r="N30" i="58"/>
  <c r="W31" i="59" s="1"/>
  <c r="U31" i="59"/>
  <c r="Q30" i="58"/>
  <c r="Z31" i="59" s="1"/>
  <c r="M30" i="58"/>
  <c r="V31" i="59" s="1"/>
  <c r="O30" i="58"/>
  <c r="X31" i="59" s="1"/>
  <c r="P30" i="58"/>
  <c r="Y31" i="59" s="1"/>
  <c r="N29" i="158"/>
  <c r="N48" i="158"/>
  <c r="AA43" i="4" s="1"/>
  <c r="O30" i="91"/>
  <c r="X31" i="92" s="1"/>
  <c r="P30" i="91"/>
  <c r="Y31" i="92" s="1"/>
  <c r="U31" i="92"/>
  <c r="N30" i="91"/>
  <c r="W31" i="92" s="1"/>
  <c r="Q30" i="91"/>
  <c r="Z31" i="92" s="1"/>
  <c r="M30" i="91"/>
  <c r="V31" i="92" s="1"/>
  <c r="N30" i="159"/>
  <c r="W31" i="160" s="1"/>
  <c r="P30" i="159"/>
  <c r="Y31" i="160" s="1"/>
  <c r="U31" i="160"/>
  <c r="M30" i="159"/>
  <c r="V31" i="160" s="1"/>
  <c r="Q30" i="159"/>
  <c r="Z31" i="160" s="1"/>
  <c r="O30" i="159"/>
  <c r="X31" i="160" s="1"/>
  <c r="BC32" i="4"/>
  <c r="R70" i="208"/>
  <c r="R71" i="208" s="1"/>
  <c r="AC32" i="4"/>
  <c r="M43" i="46"/>
  <c r="AC38" i="4" s="1"/>
  <c r="S32" i="4"/>
  <c r="BZ32" i="4"/>
  <c r="CF32" i="4"/>
  <c r="AI32" i="4"/>
  <c r="CH32" i="4"/>
  <c r="AS32" i="4"/>
  <c r="M25" i="102"/>
  <c r="M24" i="102"/>
  <c r="Z31" i="12"/>
  <c r="T31" i="12"/>
  <c r="Z20" i="12"/>
  <c r="W20" i="12"/>
  <c r="X20" i="12"/>
  <c r="V20" i="12"/>
  <c r="T36" i="12"/>
  <c r="Z36" i="12"/>
  <c r="BI32" i="4"/>
  <c r="BK32" i="4"/>
  <c r="BL32" i="4"/>
  <c r="X32" i="4"/>
  <c r="H32" i="4"/>
  <c r="N29" i="46"/>
  <c r="N48" i="46"/>
  <c r="AD43" i="4" s="1"/>
  <c r="M30" i="15"/>
  <c r="V31" i="16" s="1"/>
  <c r="O30" i="15"/>
  <c r="X31" i="16" s="1"/>
  <c r="N30" i="15"/>
  <c r="W31" i="16" s="1"/>
  <c r="O29" i="72"/>
  <c r="O48" i="72"/>
  <c r="AL43" i="4" s="1"/>
  <c r="N48" i="188"/>
  <c r="N29" i="188"/>
  <c r="M48" i="200"/>
  <c r="M29" i="200"/>
  <c r="O48" i="46"/>
  <c r="AE43" i="4" s="1"/>
  <c r="O29" i="46"/>
  <c r="M29" i="196"/>
  <c r="M48" i="196"/>
  <c r="O29" i="196"/>
  <c r="O48" i="196"/>
  <c r="N29" i="150"/>
  <c r="N48" i="150"/>
  <c r="M30" i="21"/>
  <c r="V31" i="22" s="1"/>
  <c r="O30" i="21"/>
  <c r="X31" i="22" s="1"/>
  <c r="P30" i="21"/>
  <c r="Y31" i="22" s="1"/>
  <c r="U31" i="22"/>
  <c r="Q30" i="21"/>
  <c r="Z31" i="22" s="1"/>
  <c r="N30" i="21"/>
  <c r="W31" i="22" s="1"/>
  <c r="M48" i="158"/>
  <c r="Z43" i="4" s="1"/>
  <c r="M29" i="158"/>
  <c r="M48" i="202"/>
  <c r="M29" i="202"/>
  <c r="N48" i="112"/>
  <c r="N29" i="112"/>
  <c r="P30" i="25"/>
  <c r="Y31" i="26" s="1"/>
  <c r="U31" i="26"/>
  <c r="O30" i="25"/>
  <c r="X31" i="26" s="1"/>
  <c r="N30" i="25"/>
  <c r="W31" i="26" s="1"/>
  <c r="Q30" i="25"/>
  <c r="Z31" i="26" s="1"/>
  <c r="M30" i="25"/>
  <c r="V31" i="26" s="1"/>
  <c r="L50" i="58"/>
  <c r="Z50" i="58"/>
  <c r="AA50" i="58"/>
  <c r="AE32" i="4"/>
  <c r="O43" i="46"/>
  <c r="AE38" i="4" s="1"/>
  <c r="G32" i="4"/>
  <c r="AH32" i="4"/>
  <c r="AM32" i="4"/>
  <c r="AO32" i="4"/>
  <c r="O32" i="4"/>
  <c r="CJ32" i="4"/>
  <c r="K25" i="102"/>
  <c r="K24" i="102"/>
  <c r="M39" i="102" s="1"/>
  <c r="M40" i="102" s="1"/>
  <c r="U42" i="12"/>
  <c r="Z42" i="12"/>
  <c r="T42" i="12"/>
  <c r="W42" i="12"/>
  <c r="V42" i="12"/>
  <c r="X42" i="12"/>
  <c r="Z37" i="12"/>
  <c r="T37" i="12"/>
  <c r="V22" i="12"/>
  <c r="Z22" i="12"/>
  <c r="X22" i="12"/>
  <c r="U22" i="12"/>
  <c r="W22" i="12"/>
  <c r="T22" i="12"/>
  <c r="BW32" i="4"/>
  <c r="W32" i="4"/>
  <c r="M29" i="114"/>
  <c r="M48" i="114"/>
  <c r="BP43" i="4" s="1"/>
  <c r="M29" i="78"/>
  <c r="M48" i="78"/>
  <c r="BE43" i="4" s="1"/>
  <c r="O29" i="90"/>
  <c r="O48" i="90"/>
  <c r="BJ43" i="4" s="1"/>
  <c r="N29" i="114"/>
  <c r="N48" i="114"/>
  <c r="BQ43" i="4" s="1"/>
  <c r="O29" i="74"/>
  <c r="O48" i="74"/>
  <c r="AO43" i="4" s="1"/>
  <c r="M30" i="31"/>
  <c r="V31" i="32" s="1"/>
  <c r="N30" i="31"/>
  <c r="W31" i="32" s="1"/>
  <c r="P30" i="31"/>
  <c r="Y31" i="32" s="1"/>
  <c r="Q30" i="31"/>
  <c r="Z31" i="32" s="1"/>
  <c r="U31" i="32"/>
  <c r="O30" i="31"/>
  <c r="X31" i="32" s="1"/>
  <c r="O48" i="112"/>
  <c r="O29" i="112"/>
  <c r="M29" i="198"/>
  <c r="M48" i="198"/>
  <c r="M30" i="81"/>
  <c r="V31" i="82" s="1"/>
  <c r="N30" i="81"/>
  <c r="W31" i="82" s="1"/>
  <c r="O30" i="81"/>
  <c r="X31" i="82" s="1"/>
  <c r="Q30" i="81"/>
  <c r="Z31" i="82" s="1"/>
  <c r="U31" i="82"/>
  <c r="P30" i="81"/>
  <c r="Y31" i="82" s="1"/>
  <c r="P30" i="103"/>
  <c r="Y31" i="104" s="1"/>
  <c r="U31" i="104"/>
  <c r="N30" i="103"/>
  <c r="W31" i="104" s="1"/>
  <c r="M30" i="103"/>
  <c r="V31" i="104" s="1"/>
  <c r="Q30" i="103"/>
  <c r="Z31" i="104" s="1"/>
  <c r="O30" i="103"/>
  <c r="X31" i="104" s="1"/>
  <c r="M48" i="48"/>
  <c r="AG43" i="4" s="1"/>
  <c r="M29" i="48"/>
  <c r="N29" i="180"/>
  <c r="N48" i="180"/>
  <c r="O48" i="150"/>
  <c r="O29" i="150"/>
  <c r="O29" i="194"/>
  <c r="O48" i="194"/>
  <c r="M30" i="49"/>
  <c r="V31" i="50" s="1"/>
  <c r="Q30" i="49"/>
  <c r="Z31" i="50" s="1"/>
  <c r="N30" i="49"/>
  <c r="W31" i="50" s="1"/>
  <c r="U31" i="50"/>
  <c r="P30" i="49"/>
  <c r="Y31" i="50" s="1"/>
  <c r="O30" i="49"/>
  <c r="X31" i="50" s="1"/>
  <c r="R70" i="216"/>
  <c r="R71" i="216" s="1"/>
  <c r="AD56" i="35"/>
  <c r="L56" i="35"/>
  <c r="L32" i="4"/>
  <c r="I32" i="4"/>
  <c r="CB32" i="4"/>
  <c r="AG32" i="4"/>
  <c r="BG32" i="4"/>
  <c r="O24" i="102"/>
  <c r="O25" i="102"/>
  <c r="W19" i="12"/>
  <c r="X19" i="12"/>
  <c r="V19" i="12"/>
  <c r="Z19" i="12"/>
  <c r="X38" i="12"/>
  <c r="T38" i="12"/>
  <c r="U16" i="12"/>
  <c r="V16" i="12"/>
  <c r="T16" i="12"/>
  <c r="X16" i="12"/>
  <c r="W16" i="12"/>
  <c r="Z16" i="12"/>
  <c r="BV32" i="4"/>
  <c r="R70" i="82"/>
  <c r="R71" i="82" s="1"/>
  <c r="Z32" i="4"/>
  <c r="R70" i="22"/>
  <c r="R71" i="22" s="1"/>
  <c r="O30" i="213"/>
  <c r="X31" i="214" s="1"/>
  <c r="U31" i="214"/>
  <c r="P30" i="213"/>
  <c r="Y31" i="214" s="1"/>
  <c r="M30" i="213"/>
  <c r="V31" i="214" s="1"/>
  <c r="N30" i="213"/>
  <c r="W31" i="214" s="1"/>
  <c r="Q30" i="213"/>
  <c r="Z31" i="214" s="1"/>
  <c r="O48" i="84"/>
  <c r="AR43" i="4" s="1"/>
  <c r="O29" i="84"/>
  <c r="O30" i="56"/>
  <c r="X31" i="57" s="1"/>
  <c r="Q30" i="56"/>
  <c r="Z31" i="57" s="1"/>
  <c r="M30" i="56"/>
  <c r="V31" i="57" s="1"/>
  <c r="P30" i="56"/>
  <c r="Y31" i="57" s="1"/>
  <c r="U31" i="57"/>
  <c r="N30" i="56"/>
  <c r="W31" i="57" s="1"/>
  <c r="N48" i="108"/>
  <c r="BT43" i="4" s="1"/>
  <c r="N29" i="108"/>
  <c r="N30" i="211"/>
  <c r="W31" i="212" s="1"/>
  <c r="M29" i="108"/>
  <c r="N48" i="90"/>
  <c r="BI43" i="4" s="1"/>
  <c r="N29" i="90"/>
  <c r="M48" i="180"/>
  <c r="M29" i="180"/>
  <c r="M48" i="54"/>
  <c r="W43" i="4" s="1"/>
  <c r="M29" i="54"/>
  <c r="M29" i="192"/>
  <c r="M48" i="192"/>
  <c r="CH43" i="4" s="1"/>
  <c r="L50" i="31"/>
  <c r="AA50" i="31"/>
  <c r="Z50" i="31"/>
  <c r="AC50" i="31"/>
  <c r="AB50" i="31"/>
  <c r="CD32" i="4"/>
  <c r="BR32" i="4"/>
  <c r="Q32" i="4"/>
  <c r="AN32" i="4"/>
  <c r="AP32" i="4"/>
  <c r="BE32" i="4"/>
  <c r="T30" i="12"/>
  <c r="Z30" i="12"/>
  <c r="V25" i="12"/>
  <c r="U25" i="12"/>
  <c r="O43" i="106"/>
  <c r="BO38" i="4" s="1"/>
  <c r="BO32" i="4"/>
  <c r="BX32" i="4"/>
  <c r="AB32" i="4"/>
  <c r="Q70" i="22"/>
  <c r="Q71" i="22" s="1"/>
  <c r="O29" i="86"/>
  <c r="O48" i="86"/>
  <c r="AX43" i="4" s="1"/>
  <c r="N29" i="194"/>
  <c r="N48" i="194"/>
  <c r="N48" i="48"/>
  <c r="AH43" i="4" s="1"/>
  <c r="N29" i="48"/>
  <c r="O48" i="120"/>
  <c r="O29" i="120"/>
  <c r="N48" i="72"/>
  <c r="N29" i="72"/>
  <c r="N29" i="54"/>
  <c r="N48" i="54"/>
  <c r="M29" i="148"/>
  <c r="M48" i="148"/>
  <c r="O48" i="106"/>
  <c r="BO43" i="4" s="1"/>
  <c r="O29" i="106"/>
  <c r="N48" i="44"/>
  <c r="N29" i="44"/>
  <c r="AZ32" i="4"/>
  <c r="CC32" i="4"/>
  <c r="BP32" i="4"/>
  <c r="T32" i="4"/>
  <c r="M32" i="4"/>
  <c r="AR32" i="4"/>
  <c r="BF32" i="4"/>
  <c r="AJ32" i="4"/>
  <c r="R32" i="4"/>
  <c r="W23" i="12"/>
  <c r="X23" i="12"/>
  <c r="V23" i="12"/>
  <c r="T29" i="12"/>
  <c r="U29" i="12"/>
  <c r="N43" i="106"/>
  <c r="BN38" i="4" s="1"/>
  <c r="BN32" i="4"/>
  <c r="Q70" i="82"/>
  <c r="Q71" i="82" s="1"/>
  <c r="AA32" i="4"/>
  <c r="N29" i="78"/>
  <c r="N48" i="78"/>
  <c r="BF43" i="4" s="1"/>
  <c r="M30" i="35"/>
  <c r="V31" i="36" s="1"/>
  <c r="U31" i="36"/>
  <c r="Q30" i="35"/>
  <c r="Z31" i="36" s="1"/>
  <c r="P30" i="35"/>
  <c r="Y31" i="36" s="1"/>
  <c r="O30" i="35"/>
  <c r="X31" i="36" s="1"/>
  <c r="N30" i="35"/>
  <c r="W31" i="36" s="1"/>
  <c r="O29" i="148"/>
  <c r="O48" i="148"/>
  <c r="M48" i="70"/>
  <c r="AY43" i="4" s="1"/>
  <c r="M29" i="70"/>
  <c r="N29" i="116"/>
  <c r="N48" i="116"/>
  <c r="CC43" i="4" s="1"/>
  <c r="N29" i="86"/>
  <c r="N48" i="86"/>
  <c r="AW43" i="4" s="1"/>
  <c r="U31" i="20"/>
  <c r="N30" i="19"/>
  <c r="W31" i="20" s="1"/>
  <c r="M30" i="19"/>
  <c r="V31" i="20" s="1"/>
  <c r="P30" i="19"/>
  <c r="Y31" i="20" s="1"/>
  <c r="Q30" i="19"/>
  <c r="Z31" i="20" s="1"/>
  <c r="O30" i="19"/>
  <c r="X31" i="20" s="1"/>
  <c r="O48" i="152"/>
  <c r="O29" i="152"/>
  <c r="M48" i="90"/>
  <c r="BH43" i="4" s="1"/>
  <c r="M29" i="90"/>
  <c r="M48" i="86"/>
  <c r="AV43" i="4" s="1"/>
  <c r="N48" i="198"/>
  <c r="N29" i="198"/>
  <c r="N48" i="120"/>
  <c r="N29" i="120"/>
  <c r="O48" i="192"/>
  <c r="CJ43" i="4" s="1"/>
  <c r="O29" i="192"/>
  <c r="Q30" i="51"/>
  <c r="Z31" i="52" s="1"/>
  <c r="O30" i="51"/>
  <c r="X31" i="52" s="1"/>
  <c r="U31" i="52"/>
  <c r="P30" i="51"/>
  <c r="Y31" i="52" s="1"/>
  <c r="N30" i="51"/>
  <c r="W31" i="52" s="1"/>
  <c r="M30" i="51"/>
  <c r="V31" i="52" s="1"/>
  <c r="AY32" i="4"/>
  <c r="BQ32" i="4"/>
  <c r="BT32" i="4"/>
  <c r="J32" i="4"/>
  <c r="AQ32" i="4"/>
  <c r="F32" i="4"/>
  <c r="AK32" i="4"/>
  <c r="AX32" i="4"/>
  <c r="X14" i="12"/>
  <c r="W14" i="12"/>
  <c r="J44" i="12"/>
  <c r="T14" i="12"/>
  <c r="V14" i="12"/>
  <c r="Z14" i="12"/>
  <c r="X24" i="12"/>
  <c r="W24" i="12"/>
  <c r="V24" i="12"/>
  <c r="BM32" i="4"/>
  <c r="M43" i="106"/>
  <c r="BM38" i="4" s="1"/>
  <c r="K32" i="4"/>
  <c r="N29" i="68"/>
  <c r="N48" i="68"/>
  <c r="AT43" i="4" s="1"/>
  <c r="M29" i="46"/>
  <c r="M48" i="46"/>
  <c r="AC43" i="4" s="1"/>
  <c r="M29" i="120"/>
  <c r="M48" i="120"/>
  <c r="M48" i="188"/>
  <c r="M29" i="188"/>
  <c r="N29" i="192"/>
  <c r="N48" i="192"/>
  <c r="CI43" i="4" s="1"/>
  <c r="M29" i="112"/>
  <c r="M48" i="112"/>
  <c r="O29" i="202"/>
  <c r="O48" i="202"/>
  <c r="N48" i="118"/>
  <c r="N29" i="118"/>
  <c r="N29" i="106"/>
  <c r="N48" i="106"/>
  <c r="BN43" i="4" s="1"/>
  <c r="N29" i="182"/>
  <c r="N48" i="182"/>
  <c r="N29" i="74"/>
  <c r="N48" i="74"/>
  <c r="O29" i="188"/>
  <c r="M48" i="190"/>
  <c r="M29" i="190"/>
  <c r="N29" i="88"/>
  <c r="N48" i="88"/>
  <c r="BC43" i="4" s="1"/>
  <c r="O29" i="78"/>
  <c r="O48" i="78"/>
  <c r="BG43" i="4" s="1"/>
  <c r="BD32" i="4"/>
  <c r="BA32" i="4"/>
  <c r="CG32" i="4"/>
  <c r="CA32" i="4"/>
  <c r="J54" i="12"/>
  <c r="T50" i="12"/>
  <c r="T54" i="12" s="1"/>
  <c r="W50" i="12"/>
  <c r="W54" i="12" s="1"/>
  <c r="Z50" i="12"/>
  <c r="Z54" i="12" s="1"/>
  <c r="V50" i="12"/>
  <c r="V54" i="12" s="1"/>
  <c r="U50" i="12"/>
  <c r="U54" i="12" s="1"/>
  <c r="X50" i="12"/>
  <c r="X54" i="12" s="1"/>
  <c r="BS32" i="4"/>
  <c r="AL32" i="4"/>
  <c r="AV32" i="4"/>
  <c r="AU32" i="4"/>
  <c r="T32" i="12"/>
  <c r="Z32" i="12"/>
  <c r="W15" i="12"/>
  <c r="T15" i="12"/>
  <c r="Z15" i="12"/>
  <c r="V15" i="12"/>
  <c r="X15" i="12"/>
  <c r="U15" i="12"/>
  <c r="BJ32" i="4"/>
  <c r="N29" i="190"/>
  <c r="N48" i="190"/>
  <c r="O29" i="146"/>
  <c r="O48" i="146"/>
  <c r="O48" i="88"/>
  <c r="BD43" i="4" s="1"/>
  <c r="O29" i="88"/>
  <c r="M48" i="44"/>
  <c r="M29" i="44"/>
  <c r="O48" i="54"/>
  <c r="Y43" i="4" s="1"/>
  <c r="O29" i="54"/>
  <c r="O29" i="182"/>
  <c r="O48" i="182"/>
  <c r="N29" i="202"/>
  <c r="N48" i="202"/>
  <c r="M30" i="65"/>
  <c r="V31" i="66" s="1"/>
  <c r="U31" i="66"/>
  <c r="N30" i="65"/>
  <c r="W31" i="66" s="1"/>
  <c r="Q30" i="65"/>
  <c r="Z31" i="66" s="1"/>
  <c r="P30" i="65"/>
  <c r="Y31" i="66" s="1"/>
  <c r="O30" i="65"/>
  <c r="X31" i="66" s="1"/>
  <c r="M48" i="194"/>
  <c r="M29" i="194"/>
  <c r="M29" i="88"/>
  <c r="M48" i="88"/>
  <c r="BB43" i="4" s="1"/>
  <c r="M30" i="17"/>
  <c r="V31" i="18" s="1"/>
  <c r="U31" i="18"/>
  <c r="P30" i="17"/>
  <c r="Y31" i="18" s="1"/>
  <c r="N30" i="17"/>
  <c r="W31" i="18" s="1"/>
  <c r="O30" i="17"/>
  <c r="X31" i="18" s="1"/>
  <c r="Q30" i="17"/>
  <c r="Z31" i="18" s="1"/>
  <c r="O48" i="180"/>
  <c r="O29" i="180"/>
  <c r="P30" i="215"/>
  <c r="Y31" i="216" s="1"/>
  <c r="N30" i="215"/>
  <c r="W31" i="216" s="1"/>
  <c r="U31" i="216"/>
  <c r="M30" i="215"/>
  <c r="V31" i="216" s="1"/>
  <c r="O30" i="215"/>
  <c r="X31" i="216" s="1"/>
  <c r="Q30" i="215"/>
  <c r="Z31" i="216" s="1"/>
  <c r="V32" i="4"/>
  <c r="BB32" i="4"/>
  <c r="AD32" i="4"/>
  <c r="N43" i="46"/>
  <c r="AD38" i="4" s="1"/>
  <c r="BY32" i="4"/>
  <c r="CE32" i="4"/>
  <c r="R70" i="212"/>
  <c r="R71" i="212" s="1"/>
  <c r="K31" i="13"/>
  <c r="L31" i="13" s="1"/>
  <c r="L33" i="13" s="1"/>
  <c r="J81" i="9" s="1"/>
  <c r="K21" i="13"/>
  <c r="L21" i="13" s="1"/>
  <c r="K20" i="13"/>
  <c r="L20" i="13" s="1"/>
  <c r="BU32" i="4"/>
  <c r="N48" i="152" l="1"/>
  <c r="O48" i="44"/>
  <c r="N48" i="84"/>
  <c r="N48" i="196"/>
  <c r="N48" i="70"/>
  <c r="AZ43" i="4" s="1"/>
  <c r="M48" i="84"/>
  <c r="AP43" i="4" s="1"/>
  <c r="N48" i="148"/>
  <c r="O29" i="48"/>
  <c r="AI13" i="4" s="1"/>
  <c r="O48" i="114"/>
  <c r="BR43" i="4" s="1"/>
  <c r="M29" i="154"/>
  <c r="O29" i="110"/>
  <c r="O48" i="108"/>
  <c r="BU43" i="4" s="1"/>
  <c r="O44" i="20"/>
  <c r="Q44" i="20"/>
  <c r="N44" i="20"/>
  <c r="G37" i="4"/>
  <c r="P44" i="20"/>
  <c r="R44" i="20"/>
  <c r="N62" i="187"/>
  <c r="P62" i="187"/>
  <c r="L62" i="187"/>
  <c r="N62" i="157"/>
  <c r="P62" i="157"/>
  <c r="L62" i="157"/>
  <c r="L29" i="201"/>
  <c r="N29" i="201"/>
  <c r="P29" i="201"/>
  <c r="I50" i="211"/>
  <c r="I49" i="19"/>
  <c r="I50" i="17"/>
  <c r="J46" i="45"/>
  <c r="I49" i="15"/>
  <c r="L29" i="187"/>
  <c r="P29" i="187"/>
  <c r="P27" i="187" s="1"/>
  <c r="O19" i="188" s="1"/>
  <c r="N29" i="187"/>
  <c r="L61" i="111"/>
  <c r="P61" i="111"/>
  <c r="N61" i="111"/>
  <c r="I69" i="209"/>
  <c r="I68" i="89"/>
  <c r="I69" i="207"/>
  <c r="I69" i="91"/>
  <c r="I69" i="215"/>
  <c r="I69" i="213"/>
  <c r="I68" i="181"/>
  <c r="I69" i="21"/>
  <c r="I69" i="163"/>
  <c r="I69" i="23"/>
  <c r="I69" i="103"/>
  <c r="I69" i="35"/>
  <c r="I69" i="56"/>
  <c r="L29" i="105"/>
  <c r="P29" i="105"/>
  <c r="N29" i="105"/>
  <c r="N60" i="43"/>
  <c r="L60" i="43"/>
  <c r="P60" i="43"/>
  <c r="N41" i="73"/>
  <c r="P41" i="73"/>
  <c r="L41" i="73"/>
  <c r="X62" i="209"/>
  <c r="W62" i="209"/>
  <c r="V62" i="209"/>
  <c r="U62" i="209"/>
  <c r="T62" i="209"/>
  <c r="L62" i="209"/>
  <c r="P30" i="113"/>
  <c r="N30" i="113"/>
  <c r="L30" i="113"/>
  <c r="N41" i="147"/>
  <c r="P41" i="147"/>
  <c r="L41" i="147"/>
  <c r="N39" i="149"/>
  <c r="N37" i="149" s="1"/>
  <c r="N21" i="150" s="1"/>
  <c r="P39" i="149"/>
  <c r="L39" i="149"/>
  <c r="N60" i="151"/>
  <c r="L60" i="151"/>
  <c r="P60" i="151"/>
  <c r="P39" i="113"/>
  <c r="N39" i="113"/>
  <c r="L39" i="113"/>
  <c r="L37" i="113" s="1"/>
  <c r="M21" i="114" s="1"/>
  <c r="BP17" i="4" s="1"/>
  <c r="L40" i="53"/>
  <c r="P40" i="53"/>
  <c r="N40" i="53"/>
  <c r="N62" i="191"/>
  <c r="L62" i="191"/>
  <c r="P62" i="191"/>
  <c r="R44" i="160"/>
  <c r="P44" i="160"/>
  <c r="N44" i="160"/>
  <c r="Q44" i="160"/>
  <c r="O44" i="160"/>
  <c r="BK37" i="4"/>
  <c r="L29" i="109"/>
  <c r="P29" i="109"/>
  <c r="N29" i="109"/>
  <c r="P15" i="4"/>
  <c r="L40" i="89"/>
  <c r="N40" i="89"/>
  <c r="P40" i="89"/>
  <c r="P40" i="153"/>
  <c r="L40" i="153"/>
  <c r="N40" i="153"/>
  <c r="N41" i="151"/>
  <c r="L41" i="151"/>
  <c r="P41" i="151"/>
  <c r="P40" i="105"/>
  <c r="L40" i="105"/>
  <c r="N40" i="105"/>
  <c r="P30" i="107"/>
  <c r="L30" i="107"/>
  <c r="N30" i="107"/>
  <c r="N27" i="107" s="1"/>
  <c r="N19" i="108" s="1"/>
  <c r="N61" i="201"/>
  <c r="P61" i="201"/>
  <c r="L61" i="201"/>
  <c r="N61" i="45"/>
  <c r="L61" i="45"/>
  <c r="P61" i="45"/>
  <c r="P62" i="149"/>
  <c r="L62" i="149"/>
  <c r="N62" i="149"/>
  <c r="N61" i="73"/>
  <c r="L61" i="73"/>
  <c r="P61" i="73"/>
  <c r="N60" i="187"/>
  <c r="P60" i="187"/>
  <c r="L60" i="187"/>
  <c r="L62" i="189"/>
  <c r="P62" i="189"/>
  <c r="N62" i="189"/>
  <c r="E36" i="69"/>
  <c r="E36" i="195"/>
  <c r="F39" i="23"/>
  <c r="L39" i="23" s="1"/>
  <c r="E36" i="197"/>
  <c r="E36" i="107"/>
  <c r="E36" i="105"/>
  <c r="F39" i="159"/>
  <c r="L39" i="159" s="1"/>
  <c r="E36" i="149"/>
  <c r="E36" i="73"/>
  <c r="E36" i="53"/>
  <c r="E36" i="157"/>
  <c r="E36" i="199"/>
  <c r="E36" i="109"/>
  <c r="F39" i="35"/>
  <c r="L39" i="35" s="1"/>
  <c r="E36" i="193"/>
  <c r="F39" i="31"/>
  <c r="L39" i="31" s="1"/>
  <c r="E36" i="191"/>
  <c r="E36" i="201"/>
  <c r="E36" i="43"/>
  <c r="E36" i="71"/>
  <c r="F39" i="19"/>
  <c r="L39" i="19" s="1"/>
  <c r="E36" i="89"/>
  <c r="F39" i="49"/>
  <c r="L39" i="49" s="1"/>
  <c r="F39" i="51"/>
  <c r="L39" i="51" s="1"/>
  <c r="F39" i="65"/>
  <c r="L39" i="65" s="1"/>
  <c r="F39" i="103"/>
  <c r="L39" i="103" s="1"/>
  <c r="E36" i="83"/>
  <c r="E36" i="111"/>
  <c r="F39" i="56"/>
  <c r="L39" i="56" s="1"/>
  <c r="F39" i="207"/>
  <c r="L39" i="207" s="1"/>
  <c r="F39" i="211"/>
  <c r="L39" i="211" s="1"/>
  <c r="E36" i="145"/>
  <c r="E36" i="85"/>
  <c r="F39" i="25"/>
  <c r="L39" i="25" s="1"/>
  <c r="E36" i="115"/>
  <c r="F39" i="17"/>
  <c r="L39" i="17" s="1"/>
  <c r="F39" i="91"/>
  <c r="L39" i="91" s="1"/>
  <c r="F39" i="21"/>
  <c r="L39" i="21" s="1"/>
  <c r="F39" i="15"/>
  <c r="L39" i="15" s="1"/>
  <c r="E36" i="45"/>
  <c r="E36" i="181"/>
  <c r="F39" i="213"/>
  <c r="L39" i="213" s="1"/>
  <c r="E36" i="117"/>
  <c r="F39" i="58"/>
  <c r="L39" i="58" s="1"/>
  <c r="E36" i="179"/>
  <c r="E36" i="153"/>
  <c r="E36" i="67"/>
  <c r="F39" i="215"/>
  <c r="L39" i="215" s="1"/>
  <c r="F39" i="81"/>
  <c r="L39" i="81" s="1"/>
  <c r="E36" i="77"/>
  <c r="F39" i="163"/>
  <c r="L39" i="163" s="1"/>
  <c r="E36" i="113"/>
  <c r="E36" i="189"/>
  <c r="E36" i="119"/>
  <c r="E36" i="47"/>
  <c r="F39" i="209"/>
  <c r="L39" i="209" s="1"/>
  <c r="E36" i="151"/>
  <c r="E36" i="147"/>
  <c r="E36" i="187"/>
  <c r="E36" i="87"/>
  <c r="L39" i="87"/>
  <c r="N39" i="87"/>
  <c r="N37" i="87" s="1"/>
  <c r="N21" i="88" s="1"/>
  <c r="BC17" i="4" s="1"/>
  <c r="P39" i="87"/>
  <c r="N60" i="157"/>
  <c r="L60" i="157"/>
  <c r="P60" i="157"/>
  <c r="N30" i="119"/>
  <c r="L30" i="119"/>
  <c r="P30" i="119"/>
  <c r="P61" i="179"/>
  <c r="N61" i="179"/>
  <c r="L61" i="179"/>
  <c r="J47" i="191"/>
  <c r="J47" i="73"/>
  <c r="J47" i="83"/>
  <c r="J48" i="119"/>
  <c r="J47" i="67"/>
  <c r="J47" i="109"/>
  <c r="J48" i="149"/>
  <c r="J47" i="197"/>
  <c r="J47" i="193"/>
  <c r="J47" i="179"/>
  <c r="J48" i="113"/>
  <c r="J47" i="43"/>
  <c r="J47" i="71"/>
  <c r="J47" i="53"/>
  <c r="J47" i="201"/>
  <c r="J47" i="85"/>
  <c r="I52" i="163"/>
  <c r="I52" i="91"/>
  <c r="J53" i="89"/>
  <c r="J53" i="181"/>
  <c r="I53" i="56"/>
  <c r="J54" i="181"/>
  <c r="I53" i="103"/>
  <c r="J54" i="89"/>
  <c r="I53" i="91"/>
  <c r="I53" i="35"/>
  <c r="I53" i="23"/>
  <c r="I53" i="163"/>
  <c r="J49" i="151"/>
  <c r="J46" i="191"/>
  <c r="J48" i="53"/>
  <c r="J46" i="87"/>
  <c r="I46" i="213"/>
  <c r="J46" i="77"/>
  <c r="J48" i="73"/>
  <c r="J46" i="181"/>
  <c r="J46" i="67"/>
  <c r="J46" i="105"/>
  <c r="J45" i="199"/>
  <c r="J49" i="117"/>
  <c r="J48" i="83"/>
  <c r="J46" i="197"/>
  <c r="J47" i="113"/>
  <c r="J49" i="115"/>
  <c r="J47" i="119"/>
  <c r="J46" i="187"/>
  <c r="J46" i="201"/>
  <c r="I46" i="211"/>
  <c r="J46" i="179"/>
  <c r="J47" i="149"/>
  <c r="J46" i="109"/>
  <c r="J46" i="193"/>
  <c r="J46" i="157"/>
  <c r="J46" i="107"/>
  <c r="J48" i="71"/>
  <c r="I46" i="215"/>
  <c r="J46" i="189"/>
  <c r="J46" i="145"/>
  <c r="J46" i="147"/>
  <c r="J46" i="47"/>
  <c r="J46" i="69"/>
  <c r="J46" i="85"/>
  <c r="J46" i="111"/>
  <c r="J46" i="89"/>
  <c r="J49" i="153"/>
  <c r="P40" i="83"/>
  <c r="N40" i="83"/>
  <c r="L40" i="83"/>
  <c r="N62" i="47"/>
  <c r="L62" i="47"/>
  <c r="P62" i="47"/>
  <c r="L39" i="179"/>
  <c r="N39" i="179"/>
  <c r="P39" i="179"/>
  <c r="P40" i="187"/>
  <c r="L40" i="187"/>
  <c r="N40" i="187"/>
  <c r="P61" i="83"/>
  <c r="L61" i="83"/>
  <c r="N61" i="83"/>
  <c r="L29" i="77"/>
  <c r="N29" i="77"/>
  <c r="P29" i="77"/>
  <c r="L30" i="187"/>
  <c r="N30" i="187"/>
  <c r="P30" i="187"/>
  <c r="P60" i="111"/>
  <c r="L60" i="111"/>
  <c r="N60" i="111"/>
  <c r="L62" i="89"/>
  <c r="N62" i="89"/>
  <c r="P62" i="89"/>
  <c r="I69" i="58"/>
  <c r="I69" i="31"/>
  <c r="I70" i="35"/>
  <c r="Q70" i="35" s="1"/>
  <c r="N62" i="115"/>
  <c r="P62" i="115"/>
  <c r="L62" i="115"/>
  <c r="L39" i="199"/>
  <c r="N39" i="199"/>
  <c r="P39" i="199"/>
  <c r="P41" i="195"/>
  <c r="L41" i="195"/>
  <c r="N41" i="195"/>
  <c r="L40" i="193"/>
  <c r="N40" i="193"/>
  <c r="P40" i="193"/>
  <c r="P60" i="45"/>
  <c r="N60" i="45"/>
  <c r="N58" i="45" s="1"/>
  <c r="N25" i="46" s="1"/>
  <c r="AD19" i="4" s="1"/>
  <c r="L60" i="45"/>
  <c r="N29" i="147"/>
  <c r="P29" i="147"/>
  <c r="L29" i="147"/>
  <c r="I53" i="213"/>
  <c r="L53" i="213" s="1"/>
  <c r="J46" i="53"/>
  <c r="I53" i="81"/>
  <c r="L53" i="81" s="1"/>
  <c r="I51" i="211"/>
  <c r="L51" i="211" s="1"/>
  <c r="N41" i="187"/>
  <c r="P41" i="187"/>
  <c r="L41" i="187"/>
  <c r="P41" i="199"/>
  <c r="L41" i="199"/>
  <c r="N41" i="199"/>
  <c r="P30" i="105"/>
  <c r="L30" i="105"/>
  <c r="N30" i="105"/>
  <c r="L62" i="43"/>
  <c r="N62" i="43"/>
  <c r="P62" i="43"/>
  <c r="P39" i="73"/>
  <c r="L39" i="73"/>
  <c r="N39" i="73"/>
  <c r="N37" i="73" s="1"/>
  <c r="N21" i="74" s="1"/>
  <c r="AN17" i="4" s="1"/>
  <c r="L30" i="71"/>
  <c r="N30" i="71"/>
  <c r="P30" i="71"/>
  <c r="N40" i="119"/>
  <c r="L40" i="119"/>
  <c r="P40" i="119"/>
  <c r="P39" i="117"/>
  <c r="N39" i="117"/>
  <c r="L39" i="117"/>
  <c r="P29" i="113"/>
  <c r="P27" i="113" s="1"/>
  <c r="O19" i="114" s="1"/>
  <c r="N29" i="113"/>
  <c r="L29" i="113"/>
  <c r="N39" i="147"/>
  <c r="L39" i="147"/>
  <c r="P39" i="147"/>
  <c r="N40" i="149"/>
  <c r="P40" i="149"/>
  <c r="L40" i="149"/>
  <c r="P62" i="193"/>
  <c r="N62" i="193"/>
  <c r="L62" i="193"/>
  <c r="P41" i="113"/>
  <c r="N41" i="113"/>
  <c r="L41" i="113"/>
  <c r="N39" i="53"/>
  <c r="L39" i="53"/>
  <c r="P39" i="53"/>
  <c r="L40" i="197"/>
  <c r="N40" i="197"/>
  <c r="P40" i="197"/>
  <c r="R44" i="82"/>
  <c r="N44" i="82"/>
  <c r="Q44" i="82"/>
  <c r="O44" i="82"/>
  <c r="N37" i="4"/>
  <c r="P44" i="82"/>
  <c r="P30" i="109"/>
  <c r="L30" i="109"/>
  <c r="N30" i="109"/>
  <c r="V62" i="21"/>
  <c r="U62" i="21"/>
  <c r="T62" i="21"/>
  <c r="L62" i="21"/>
  <c r="P61" i="199"/>
  <c r="L61" i="199"/>
  <c r="N61" i="199"/>
  <c r="L61" i="103"/>
  <c r="L59" i="103" s="1"/>
  <c r="M25" i="104" s="1"/>
  <c r="I19" i="4" s="1"/>
  <c r="U61" i="103"/>
  <c r="N59" i="103" s="1"/>
  <c r="O25" i="104" s="1"/>
  <c r="W61" i="103"/>
  <c r="P59" i="103" s="1"/>
  <c r="Q25" i="104" s="1"/>
  <c r="T61" i="103"/>
  <c r="M59" i="103" s="1"/>
  <c r="N25" i="104" s="1"/>
  <c r="V61" i="103"/>
  <c r="O59" i="103" s="1"/>
  <c r="P25" i="104" s="1"/>
  <c r="P61" i="53"/>
  <c r="L61" i="53"/>
  <c r="N61" i="53"/>
  <c r="P39" i="151"/>
  <c r="L39" i="151"/>
  <c r="N39" i="151"/>
  <c r="L39" i="105"/>
  <c r="N39" i="105"/>
  <c r="P39" i="105"/>
  <c r="L41" i="71"/>
  <c r="N41" i="71"/>
  <c r="N37" i="71" s="1"/>
  <c r="N21" i="72" s="1"/>
  <c r="AK17" i="4" s="1"/>
  <c r="P41" i="71"/>
  <c r="P29" i="107"/>
  <c r="P27" i="107" s="1"/>
  <c r="O19" i="108" s="1"/>
  <c r="N29" i="107"/>
  <c r="L29" i="107"/>
  <c r="L60" i="201"/>
  <c r="P60" i="201"/>
  <c r="N60" i="201"/>
  <c r="N58" i="201" s="1"/>
  <c r="N25" i="202" s="1"/>
  <c r="P40" i="115"/>
  <c r="N40" i="115"/>
  <c r="L40" i="115"/>
  <c r="U61" i="25"/>
  <c r="N59" i="25" s="1"/>
  <c r="O25" i="26" s="1"/>
  <c r="V61" i="25"/>
  <c r="O59" i="25" s="1"/>
  <c r="P25" i="26" s="1"/>
  <c r="T61" i="25"/>
  <c r="M59" i="25" s="1"/>
  <c r="N25" i="26" s="1"/>
  <c r="L61" i="25"/>
  <c r="L59" i="25" s="1"/>
  <c r="M25" i="26" s="1"/>
  <c r="P19" i="4" s="1"/>
  <c r="E35" i="89"/>
  <c r="F38" i="21"/>
  <c r="L38" i="21" s="1"/>
  <c r="F38" i="209"/>
  <c r="L38" i="209" s="1"/>
  <c r="F38" i="51"/>
  <c r="L38" i="51" s="1"/>
  <c r="F38" i="213"/>
  <c r="L38" i="213" s="1"/>
  <c r="E35" i="53"/>
  <c r="E35" i="109"/>
  <c r="F38" i="91"/>
  <c r="L38" i="91" s="1"/>
  <c r="F38" i="81"/>
  <c r="L38" i="81" s="1"/>
  <c r="F38" i="49"/>
  <c r="L38" i="49" s="1"/>
  <c r="F38" i="211"/>
  <c r="L38" i="211" s="1"/>
  <c r="E35" i="87"/>
  <c r="E35" i="69"/>
  <c r="F38" i="35"/>
  <c r="L38" i="35" s="1"/>
  <c r="E35" i="47"/>
  <c r="E35" i="111"/>
  <c r="F38" i="15"/>
  <c r="L38" i="15" s="1"/>
  <c r="E35" i="71"/>
  <c r="E35" i="73"/>
  <c r="F38" i="103"/>
  <c r="L38" i="103" s="1"/>
  <c r="F38" i="215"/>
  <c r="L38" i="215" s="1"/>
  <c r="F38" i="17"/>
  <c r="L38" i="17" s="1"/>
  <c r="F38" i="65"/>
  <c r="L38" i="65" s="1"/>
  <c r="E35" i="151"/>
  <c r="E35" i="85"/>
  <c r="E35" i="189"/>
  <c r="E35" i="45"/>
  <c r="E35" i="113"/>
  <c r="F38" i="19"/>
  <c r="L38" i="19" s="1"/>
  <c r="E35" i="119"/>
  <c r="E35" i="193"/>
  <c r="E35" i="191"/>
  <c r="E35" i="199"/>
  <c r="F38" i="163"/>
  <c r="L38" i="163" s="1"/>
  <c r="E35" i="43"/>
  <c r="E35" i="115"/>
  <c r="E35" i="157"/>
  <c r="E35" i="201"/>
  <c r="F38" i="159"/>
  <c r="L38" i="159" s="1"/>
  <c r="F38" i="207"/>
  <c r="L38" i="207" s="1"/>
  <c r="F38" i="56"/>
  <c r="L38" i="56" s="1"/>
  <c r="E35" i="181"/>
  <c r="E35" i="83"/>
  <c r="F38" i="31"/>
  <c r="L38" i="31" s="1"/>
  <c r="F38" i="58"/>
  <c r="L38" i="58" s="1"/>
  <c r="F38" i="25"/>
  <c r="L38" i="25" s="1"/>
  <c r="E35" i="117"/>
  <c r="E35" i="195"/>
  <c r="E35" i="153"/>
  <c r="E35" i="179"/>
  <c r="E35" i="149"/>
  <c r="E35" i="147"/>
  <c r="F38" i="23"/>
  <c r="L38" i="23" s="1"/>
  <c r="E35" i="197"/>
  <c r="E35" i="77"/>
  <c r="E35" i="107"/>
  <c r="E35" i="187"/>
  <c r="E35" i="105"/>
  <c r="E35" i="67"/>
  <c r="E35" i="145"/>
  <c r="N60" i="153"/>
  <c r="P60" i="153"/>
  <c r="L60" i="153"/>
  <c r="N41" i="87"/>
  <c r="L41" i="87"/>
  <c r="P41" i="87"/>
  <c r="P61" i="157"/>
  <c r="L61" i="157"/>
  <c r="N61" i="157"/>
  <c r="N29" i="119"/>
  <c r="N27" i="119" s="1"/>
  <c r="N19" i="120" s="1"/>
  <c r="L29" i="119"/>
  <c r="P29" i="119"/>
  <c r="P60" i="87"/>
  <c r="P58" i="87" s="1"/>
  <c r="O25" i="88" s="1"/>
  <c r="BD19" i="4" s="1"/>
  <c r="N60" i="87"/>
  <c r="L60" i="87"/>
  <c r="T48" i="109"/>
  <c r="W48" i="109"/>
  <c r="P48" i="109"/>
  <c r="Z48" i="109"/>
  <c r="L48" i="109"/>
  <c r="N48" i="109"/>
  <c r="I47" i="21"/>
  <c r="J51" i="199"/>
  <c r="I47" i="49"/>
  <c r="I47" i="159"/>
  <c r="I47" i="103"/>
  <c r="I47" i="51"/>
  <c r="I47" i="163"/>
  <c r="I47" i="209"/>
  <c r="I47" i="23"/>
  <c r="I47" i="91"/>
  <c r="I47" i="15"/>
  <c r="I47" i="81"/>
  <c r="I47" i="19"/>
  <c r="I47" i="31"/>
  <c r="I47" i="65"/>
  <c r="I47" i="17"/>
  <c r="I47" i="25"/>
  <c r="I47" i="207"/>
  <c r="I47" i="58"/>
  <c r="I47" i="35"/>
  <c r="I47" i="56"/>
  <c r="I48" i="81"/>
  <c r="I48" i="211"/>
  <c r="J50" i="197"/>
  <c r="I48" i="159"/>
  <c r="J50" i="149"/>
  <c r="J48" i="105"/>
  <c r="I48" i="23"/>
  <c r="J49" i="77"/>
  <c r="J49" i="179"/>
  <c r="I48" i="163"/>
  <c r="I48" i="19"/>
  <c r="I48" i="91"/>
  <c r="I48" i="213"/>
  <c r="J49" i="85"/>
  <c r="J48" i="47"/>
  <c r="I48" i="56"/>
  <c r="I48" i="103"/>
  <c r="I48" i="49"/>
  <c r="J47" i="153"/>
  <c r="J49" i="67"/>
  <c r="J49" i="73"/>
  <c r="I48" i="207"/>
  <c r="J48" i="87"/>
  <c r="J48" i="147"/>
  <c r="J49" i="89"/>
  <c r="I48" i="209"/>
  <c r="I48" i="51"/>
  <c r="J50" i="193"/>
  <c r="I48" i="65"/>
  <c r="J48" i="189"/>
  <c r="J50" i="113"/>
  <c r="I48" i="35"/>
  <c r="J49" i="53"/>
  <c r="J49" i="71"/>
  <c r="J50" i="119"/>
  <c r="I48" i="17"/>
  <c r="J49" i="191"/>
  <c r="I48" i="215"/>
  <c r="J47" i="151"/>
  <c r="J48" i="145"/>
  <c r="I48" i="15"/>
  <c r="J49" i="157"/>
  <c r="J48" i="111"/>
  <c r="I48" i="25"/>
  <c r="J47" i="115"/>
  <c r="J48" i="107"/>
  <c r="J49" i="109"/>
  <c r="J49" i="181"/>
  <c r="J48" i="187"/>
  <c r="I49" i="31"/>
  <c r="J49" i="43"/>
  <c r="J47" i="117"/>
  <c r="I48" i="21"/>
  <c r="J50" i="201"/>
  <c r="J48" i="69"/>
  <c r="J49" i="83"/>
  <c r="I52" i="103"/>
  <c r="I52" i="56"/>
  <c r="I52" i="23"/>
  <c r="P39" i="83"/>
  <c r="N39" i="83"/>
  <c r="L39" i="83"/>
  <c r="P62" i="195"/>
  <c r="N62" i="195"/>
  <c r="L62" i="195"/>
  <c r="L40" i="179"/>
  <c r="P40" i="179"/>
  <c r="N40" i="179"/>
  <c r="L60" i="83"/>
  <c r="N60" i="83"/>
  <c r="P60" i="83"/>
  <c r="F15" i="4"/>
  <c r="N29" i="193"/>
  <c r="P29" i="193"/>
  <c r="P27" i="193" s="1"/>
  <c r="O19" i="194" s="1"/>
  <c r="L29" i="193"/>
  <c r="N30" i="53"/>
  <c r="L30" i="53"/>
  <c r="P30" i="53"/>
  <c r="L62" i="111"/>
  <c r="P62" i="111"/>
  <c r="N62" i="111"/>
  <c r="L60" i="89"/>
  <c r="L58" i="89" s="1"/>
  <c r="M25" i="90" s="1"/>
  <c r="BH19" i="4" s="1"/>
  <c r="P60" i="89"/>
  <c r="N60" i="89"/>
  <c r="N61" i="115"/>
  <c r="P61" i="115"/>
  <c r="L61" i="115"/>
  <c r="N62" i="197"/>
  <c r="P62" i="197"/>
  <c r="L62" i="197"/>
  <c r="N62" i="147"/>
  <c r="P62" i="147"/>
  <c r="L62" i="147"/>
  <c r="N61" i="43"/>
  <c r="L61" i="43"/>
  <c r="P61" i="43"/>
  <c r="P29" i="47"/>
  <c r="N29" i="47"/>
  <c r="N27" i="47" s="1"/>
  <c r="N19" i="48" s="1"/>
  <c r="L29" i="47"/>
  <c r="P61" i="191"/>
  <c r="N61" i="191"/>
  <c r="L61" i="191"/>
  <c r="N60" i="149"/>
  <c r="N58" i="149" s="1"/>
  <c r="N25" i="150" s="1"/>
  <c r="L60" i="149"/>
  <c r="P60" i="149"/>
  <c r="P58" i="149" s="1"/>
  <c r="O25" i="150" s="1"/>
  <c r="AA55" i="35"/>
  <c r="L55" i="35"/>
  <c r="L39" i="181"/>
  <c r="N39" i="181"/>
  <c r="P39" i="181"/>
  <c r="N48" i="154"/>
  <c r="M48" i="150"/>
  <c r="Q30" i="23"/>
  <c r="Z31" i="24" s="1"/>
  <c r="R15" i="24" s="1"/>
  <c r="U31" i="210"/>
  <c r="U31" i="16"/>
  <c r="L30" i="191"/>
  <c r="P30" i="191"/>
  <c r="N30" i="191"/>
  <c r="N30" i="69"/>
  <c r="L30" i="69"/>
  <c r="P30" i="69"/>
  <c r="N30" i="179"/>
  <c r="P30" i="179"/>
  <c r="L30" i="179"/>
  <c r="P62" i="67"/>
  <c r="L62" i="67"/>
  <c r="N62" i="67"/>
  <c r="N60" i="145"/>
  <c r="N58" i="145" s="1"/>
  <c r="N25" i="146" s="1"/>
  <c r="L60" i="145"/>
  <c r="P60" i="145"/>
  <c r="P40" i="73"/>
  <c r="L40" i="73"/>
  <c r="N40" i="73"/>
  <c r="W61" i="215"/>
  <c r="P59" i="215" s="1"/>
  <c r="Q25" i="216" s="1"/>
  <c r="V61" i="215"/>
  <c r="O59" i="215" s="1"/>
  <c r="P25" i="216" s="1"/>
  <c r="T61" i="215"/>
  <c r="M59" i="215" s="1"/>
  <c r="N25" i="216" s="1"/>
  <c r="U61" i="215"/>
  <c r="N59" i="215" s="1"/>
  <c r="O25" i="216" s="1"/>
  <c r="L61" i="215"/>
  <c r="L59" i="215" s="1"/>
  <c r="M25" i="216" s="1"/>
  <c r="V19" i="4" s="1"/>
  <c r="L29" i="71"/>
  <c r="L27" i="71" s="1"/>
  <c r="M19" i="72" s="1"/>
  <c r="AJ15" i="4" s="1"/>
  <c r="N29" i="71"/>
  <c r="P29" i="71"/>
  <c r="L39" i="119"/>
  <c r="P39" i="119"/>
  <c r="N39" i="119"/>
  <c r="N37" i="119" s="1"/>
  <c r="N21" i="120" s="1"/>
  <c r="N15" i="4"/>
  <c r="N41" i="117"/>
  <c r="P41" i="117"/>
  <c r="L41" i="117"/>
  <c r="L30" i="85"/>
  <c r="P30" i="85"/>
  <c r="N30" i="85"/>
  <c r="N27" i="85" s="1"/>
  <c r="N19" i="86" s="1"/>
  <c r="P29" i="189"/>
  <c r="N29" i="189"/>
  <c r="L29" i="189"/>
  <c r="L41" i="149"/>
  <c r="N41" i="149"/>
  <c r="P41" i="149"/>
  <c r="L61" i="193"/>
  <c r="N61" i="193"/>
  <c r="P61" i="193"/>
  <c r="W62" i="91"/>
  <c r="U62" i="91"/>
  <c r="V62" i="91"/>
  <c r="T62" i="91"/>
  <c r="L41" i="53"/>
  <c r="N41" i="53"/>
  <c r="P41" i="53"/>
  <c r="P30" i="151"/>
  <c r="L30" i="151"/>
  <c r="N30" i="151"/>
  <c r="N39" i="85"/>
  <c r="P39" i="85"/>
  <c r="L39" i="85"/>
  <c r="P39" i="197"/>
  <c r="L39" i="197"/>
  <c r="L37" i="197" s="1"/>
  <c r="M21" i="198" s="1"/>
  <c r="N39" i="197"/>
  <c r="U37" i="4"/>
  <c r="R44" i="214"/>
  <c r="O44" i="214"/>
  <c r="P44" i="214"/>
  <c r="Q44" i="214"/>
  <c r="N44" i="214"/>
  <c r="L29" i="197"/>
  <c r="P29" i="197"/>
  <c r="N29" i="197"/>
  <c r="L29" i="45"/>
  <c r="P29" i="45"/>
  <c r="N29" i="45"/>
  <c r="U61" i="21"/>
  <c r="L61" i="21"/>
  <c r="V61" i="21"/>
  <c r="O59" i="21" s="1"/>
  <c r="P25" i="22" s="1"/>
  <c r="T61" i="21"/>
  <c r="L62" i="199"/>
  <c r="N62" i="199"/>
  <c r="P62" i="199"/>
  <c r="L60" i="53"/>
  <c r="P60" i="53"/>
  <c r="N60" i="53"/>
  <c r="N58" i="53" s="1"/>
  <c r="N25" i="54" s="1"/>
  <c r="X19" i="4" s="1"/>
  <c r="P39" i="77"/>
  <c r="L39" i="77"/>
  <c r="N39" i="77"/>
  <c r="L40" i="151"/>
  <c r="N40" i="151"/>
  <c r="P40" i="151"/>
  <c r="P39" i="107"/>
  <c r="L39" i="107"/>
  <c r="L37" i="107" s="1"/>
  <c r="M21" i="108" s="1"/>
  <c r="BS17" i="4" s="1"/>
  <c r="N39" i="107"/>
  <c r="N40" i="71"/>
  <c r="P40" i="71"/>
  <c r="L40" i="71"/>
  <c r="P29" i="117"/>
  <c r="N29" i="117"/>
  <c r="L29" i="117"/>
  <c r="L30" i="149"/>
  <c r="P30" i="149"/>
  <c r="N30" i="149"/>
  <c r="P39" i="115"/>
  <c r="N39" i="115"/>
  <c r="L39" i="115"/>
  <c r="E33" i="45"/>
  <c r="E33" i="53"/>
  <c r="F36" i="19"/>
  <c r="L36" i="19" s="1"/>
  <c r="F36" i="17"/>
  <c r="L36" i="17" s="1"/>
  <c r="E33" i="85"/>
  <c r="F36" i="49"/>
  <c r="L36" i="49" s="1"/>
  <c r="F36" i="21"/>
  <c r="L36" i="21" s="1"/>
  <c r="F36" i="65"/>
  <c r="L36" i="65" s="1"/>
  <c r="F36" i="159"/>
  <c r="L36" i="159" s="1"/>
  <c r="F36" i="15"/>
  <c r="L36" i="15" s="1"/>
  <c r="E33" i="69"/>
  <c r="F36" i="81"/>
  <c r="L36" i="81" s="1"/>
  <c r="E33" i="107"/>
  <c r="E33" i="43"/>
  <c r="F36" i="91"/>
  <c r="L36" i="91" s="1"/>
  <c r="F36" i="163"/>
  <c r="L36" i="163" s="1"/>
  <c r="E33" i="197"/>
  <c r="F36" i="31"/>
  <c r="L36" i="31" s="1"/>
  <c r="E33" i="145"/>
  <c r="E33" i="151"/>
  <c r="F36" i="56"/>
  <c r="L36" i="56" s="1"/>
  <c r="E33" i="83"/>
  <c r="E33" i="47"/>
  <c r="E33" i="195"/>
  <c r="F36" i="207"/>
  <c r="L36" i="207" s="1"/>
  <c r="E33" i="105"/>
  <c r="F36" i="23"/>
  <c r="L36" i="23" s="1"/>
  <c r="F36" i="215"/>
  <c r="L36" i="215" s="1"/>
  <c r="E33" i="179"/>
  <c r="E33" i="71"/>
  <c r="E33" i="109"/>
  <c r="E33" i="77"/>
  <c r="E33" i="87"/>
  <c r="E33" i="89"/>
  <c r="F36" i="35"/>
  <c r="L36" i="35" s="1"/>
  <c r="F36" i="211"/>
  <c r="L36" i="211" s="1"/>
  <c r="E33" i="149"/>
  <c r="E33" i="67"/>
  <c r="E33" i="117"/>
  <c r="E33" i="187"/>
  <c r="E33" i="199"/>
  <c r="E33" i="201"/>
  <c r="E33" i="113"/>
  <c r="E33" i="147"/>
  <c r="F36" i="58"/>
  <c r="L36" i="58" s="1"/>
  <c r="F36" i="51"/>
  <c r="L36" i="51" s="1"/>
  <c r="E33" i="111"/>
  <c r="E33" i="157"/>
  <c r="E33" i="153"/>
  <c r="E33" i="115"/>
  <c r="E33" i="193"/>
  <c r="E33" i="191"/>
  <c r="F36" i="209"/>
  <c r="L36" i="209" s="1"/>
  <c r="E33" i="73"/>
  <c r="F36" i="213"/>
  <c r="L36" i="213" s="1"/>
  <c r="F36" i="103"/>
  <c r="L36" i="103" s="1"/>
  <c r="F36" i="25"/>
  <c r="L36" i="25" s="1"/>
  <c r="E33" i="181"/>
  <c r="E33" i="189"/>
  <c r="E33" i="119"/>
  <c r="P61" i="153"/>
  <c r="L61" i="153"/>
  <c r="N61" i="153"/>
  <c r="N29" i="67"/>
  <c r="L29" i="67"/>
  <c r="P29" i="67"/>
  <c r="N41" i="47"/>
  <c r="L41" i="47"/>
  <c r="P41" i="47"/>
  <c r="N30" i="89"/>
  <c r="L30" i="89"/>
  <c r="P30" i="89"/>
  <c r="P61" i="87"/>
  <c r="L61" i="87"/>
  <c r="N61" i="87"/>
  <c r="P39" i="191"/>
  <c r="N39" i="191"/>
  <c r="L39" i="191"/>
  <c r="J48" i="151"/>
  <c r="J51" i="201"/>
  <c r="J50" i="71"/>
  <c r="J49" i="111"/>
  <c r="J49" i="145"/>
  <c r="J48" i="153"/>
  <c r="J49" i="147"/>
  <c r="J50" i="85"/>
  <c r="J50" i="109"/>
  <c r="J50" i="43"/>
  <c r="J50" i="157"/>
  <c r="J50" i="67"/>
  <c r="J51" i="113"/>
  <c r="J50" i="83"/>
  <c r="J49" i="87"/>
  <c r="J49" i="187"/>
  <c r="J49" i="107"/>
  <c r="J49" i="47"/>
  <c r="J48" i="117"/>
  <c r="J50" i="179"/>
  <c r="J50" i="73"/>
  <c r="J51" i="119"/>
  <c r="J49" i="189"/>
  <c r="J49" i="69"/>
  <c r="J50" i="191"/>
  <c r="J50" i="53"/>
  <c r="J48" i="115"/>
  <c r="J51" i="149"/>
  <c r="J51" i="193"/>
  <c r="J51" i="197"/>
  <c r="I46" i="159"/>
  <c r="I46" i="15"/>
  <c r="I46" i="51"/>
  <c r="I46" i="56"/>
  <c r="I46" i="103"/>
  <c r="I46" i="49"/>
  <c r="I49" i="213"/>
  <c r="J48" i="89"/>
  <c r="I49" i="215"/>
  <c r="I46" i="58"/>
  <c r="L46" i="58" s="1"/>
  <c r="I46" i="209"/>
  <c r="I49" i="211"/>
  <c r="I46" i="25"/>
  <c r="I46" i="207"/>
  <c r="I46" i="163"/>
  <c r="I46" i="91"/>
  <c r="I46" i="35"/>
  <c r="I46" i="23"/>
  <c r="I46" i="21"/>
  <c r="I46" i="81"/>
  <c r="I46" i="65"/>
  <c r="I46" i="19"/>
  <c r="I46" i="17"/>
  <c r="I46" i="31"/>
  <c r="J48" i="181"/>
  <c r="J48" i="77"/>
  <c r="N53" i="179"/>
  <c r="W53" i="179"/>
  <c r="P53" i="179"/>
  <c r="T53" i="179"/>
  <c r="Z53" i="179"/>
  <c r="L53" i="179"/>
  <c r="I51" i="51"/>
  <c r="I54" i="35"/>
  <c r="P41" i="83"/>
  <c r="L41" i="83"/>
  <c r="N41" i="83"/>
  <c r="P60" i="195"/>
  <c r="N60" i="195"/>
  <c r="N58" i="195" s="1"/>
  <c r="N25" i="196" s="1"/>
  <c r="L60" i="195"/>
  <c r="L41" i="179"/>
  <c r="P41" i="179"/>
  <c r="N41" i="179"/>
  <c r="L30" i="193"/>
  <c r="N30" i="193"/>
  <c r="P30" i="193"/>
  <c r="N29" i="53"/>
  <c r="N27" i="53" s="1"/>
  <c r="N19" i="54" s="1"/>
  <c r="L29" i="53"/>
  <c r="P29" i="53"/>
  <c r="N61" i="89"/>
  <c r="P61" i="89"/>
  <c r="L61" i="89"/>
  <c r="N60" i="115"/>
  <c r="N58" i="115" s="1"/>
  <c r="N25" i="116" s="1"/>
  <c r="CC19" i="4" s="1"/>
  <c r="L60" i="115"/>
  <c r="L58" i="115" s="1"/>
  <c r="M25" i="116" s="1"/>
  <c r="CB19" i="4" s="1"/>
  <c r="P60" i="115"/>
  <c r="P58" i="115" s="1"/>
  <c r="O25" i="116" s="1"/>
  <c r="CD19" i="4" s="1"/>
  <c r="N60" i="197"/>
  <c r="L60" i="197"/>
  <c r="P60" i="197"/>
  <c r="P29" i="145"/>
  <c r="N29" i="145"/>
  <c r="L29" i="145"/>
  <c r="P60" i="147"/>
  <c r="N60" i="147"/>
  <c r="N58" i="147" s="1"/>
  <c r="N25" i="148" s="1"/>
  <c r="L60" i="147"/>
  <c r="U61" i="81"/>
  <c r="V61" i="81"/>
  <c r="L61" i="81"/>
  <c r="T61" i="81"/>
  <c r="F37" i="159"/>
  <c r="L37" i="159" s="1"/>
  <c r="E34" i="145"/>
  <c r="E34" i="147"/>
  <c r="F37" i="209"/>
  <c r="L37" i="209" s="1"/>
  <c r="E34" i="45"/>
  <c r="E34" i="109"/>
  <c r="F37" i="58"/>
  <c r="L37" i="58" s="1"/>
  <c r="E34" i="197"/>
  <c r="E34" i="153"/>
  <c r="E34" i="149"/>
  <c r="E34" i="85"/>
  <c r="F37" i="213"/>
  <c r="L37" i="213" s="1"/>
  <c r="E34" i="157"/>
  <c r="E34" i="119"/>
  <c r="E34" i="67"/>
  <c r="F37" i="81"/>
  <c r="L37" i="81" s="1"/>
  <c r="E34" i="195"/>
  <c r="F37" i="35"/>
  <c r="L37" i="35" s="1"/>
  <c r="F37" i="23"/>
  <c r="L37" i="23" s="1"/>
  <c r="E34" i="43"/>
  <c r="F37" i="21"/>
  <c r="L37" i="21" s="1"/>
  <c r="E34" i="69"/>
  <c r="F37" i="51"/>
  <c r="L37" i="51" s="1"/>
  <c r="F37" i="15"/>
  <c r="L37" i="15" s="1"/>
  <c r="F37" i="163"/>
  <c r="L37" i="163" s="1"/>
  <c r="E34" i="151"/>
  <c r="F37" i="91"/>
  <c r="L37" i="91" s="1"/>
  <c r="F37" i="65"/>
  <c r="L37" i="65" s="1"/>
  <c r="F37" i="19"/>
  <c r="L37" i="19" s="1"/>
  <c r="F37" i="31"/>
  <c r="L37" i="31" s="1"/>
  <c r="E34" i="179"/>
  <c r="F37" i="17"/>
  <c r="L37" i="17" s="1"/>
  <c r="E34" i="187"/>
  <c r="E34" i="89"/>
  <c r="E34" i="199"/>
  <c r="E34" i="193"/>
  <c r="E34" i="115"/>
  <c r="F37" i="49"/>
  <c r="L37" i="49" s="1"/>
  <c r="E34" i="201"/>
  <c r="E34" i="113"/>
  <c r="E34" i="181"/>
  <c r="E34" i="47"/>
  <c r="E34" i="53"/>
  <c r="E34" i="107"/>
  <c r="F37" i="25"/>
  <c r="L37" i="25" s="1"/>
  <c r="E34" i="73"/>
  <c r="E34" i="87"/>
  <c r="E34" i="105"/>
  <c r="E34" i="111"/>
  <c r="E34" i="117"/>
  <c r="E34" i="191"/>
  <c r="E34" i="77"/>
  <c r="F37" i="207"/>
  <c r="L37" i="207" s="1"/>
  <c r="F37" i="211"/>
  <c r="L37" i="211" s="1"/>
  <c r="E34" i="189"/>
  <c r="E34" i="83"/>
  <c r="E34" i="71"/>
  <c r="F37" i="215"/>
  <c r="L37" i="215" s="1"/>
  <c r="F37" i="103"/>
  <c r="L37" i="103" s="1"/>
  <c r="F37" i="56"/>
  <c r="L37" i="56" s="1"/>
  <c r="P60" i="179"/>
  <c r="L60" i="179"/>
  <c r="N60" i="179"/>
  <c r="I52" i="25"/>
  <c r="I52" i="49"/>
  <c r="I52" i="81"/>
  <c r="L30" i="77"/>
  <c r="N30" i="77"/>
  <c r="N27" i="77" s="1"/>
  <c r="N19" i="78" s="1"/>
  <c r="P30" i="77"/>
  <c r="P27" i="77" s="1"/>
  <c r="O19" i="78" s="1"/>
  <c r="L39" i="195"/>
  <c r="P39" i="195"/>
  <c r="N39" i="195"/>
  <c r="O48" i="68"/>
  <c r="AU43" i="4" s="1"/>
  <c r="U31" i="24"/>
  <c r="N30" i="209"/>
  <c r="W31" i="210" s="1"/>
  <c r="O48" i="198"/>
  <c r="Q30" i="15"/>
  <c r="Z31" i="16" s="1"/>
  <c r="Z32" i="16" s="1"/>
  <c r="R17" i="16" s="1"/>
  <c r="L29" i="191"/>
  <c r="L27" i="191" s="1"/>
  <c r="M19" i="192" s="1"/>
  <c r="N29" i="191"/>
  <c r="P29" i="191"/>
  <c r="L29" i="69"/>
  <c r="P29" i="69"/>
  <c r="N29" i="69"/>
  <c r="N27" i="69" s="1"/>
  <c r="N19" i="70" s="1"/>
  <c r="N29" i="179"/>
  <c r="L29" i="179"/>
  <c r="P29" i="179"/>
  <c r="N60" i="67"/>
  <c r="P60" i="67"/>
  <c r="P58" i="67" s="1"/>
  <c r="O25" i="68" s="1"/>
  <c r="AU19" i="4" s="1"/>
  <c r="L60" i="67"/>
  <c r="L61" i="145"/>
  <c r="P61" i="145"/>
  <c r="N61" i="145"/>
  <c r="W61" i="65"/>
  <c r="T61" i="65"/>
  <c r="V61" i="65"/>
  <c r="U61" i="65"/>
  <c r="P60" i="69"/>
  <c r="N60" i="69"/>
  <c r="L60" i="69"/>
  <c r="P41" i="67"/>
  <c r="N41" i="67"/>
  <c r="L41" i="67"/>
  <c r="N41" i="119"/>
  <c r="L41" i="119"/>
  <c r="P41" i="119"/>
  <c r="N40" i="117"/>
  <c r="P40" i="117"/>
  <c r="L40" i="117"/>
  <c r="L29" i="85"/>
  <c r="L27" i="85" s="1"/>
  <c r="M19" i="86" s="1"/>
  <c r="P29" i="85"/>
  <c r="N29" i="85"/>
  <c r="P30" i="189"/>
  <c r="N30" i="189"/>
  <c r="L30" i="189"/>
  <c r="N61" i="77"/>
  <c r="P61" i="77"/>
  <c r="L61" i="77"/>
  <c r="N60" i="193"/>
  <c r="P60" i="193"/>
  <c r="L60" i="193"/>
  <c r="L63" i="91"/>
  <c r="T63" i="91"/>
  <c r="U63" i="91"/>
  <c r="V63" i="91"/>
  <c r="W63" i="91"/>
  <c r="P29" i="151"/>
  <c r="P27" i="151" s="1"/>
  <c r="O19" i="152" s="1"/>
  <c r="N29" i="151"/>
  <c r="L29" i="151"/>
  <c r="N40" i="85"/>
  <c r="L40" i="85"/>
  <c r="P40" i="85"/>
  <c r="N41" i="197"/>
  <c r="P41" i="197"/>
  <c r="L41" i="197"/>
  <c r="P44" i="24"/>
  <c r="R44" i="24"/>
  <c r="N44" i="24"/>
  <c r="O44" i="24"/>
  <c r="Q44" i="24"/>
  <c r="J37" i="4"/>
  <c r="CA37" i="4"/>
  <c r="CG37" i="4"/>
  <c r="R44" i="57"/>
  <c r="Q44" i="57"/>
  <c r="O44" i="57"/>
  <c r="P44" i="57"/>
  <c r="N44" i="57"/>
  <c r="H37" i="4"/>
  <c r="BY37" i="4"/>
  <c r="CE37" i="4"/>
  <c r="P30" i="197"/>
  <c r="L30" i="197"/>
  <c r="N30" i="197"/>
  <c r="P30" i="45"/>
  <c r="L30" i="45"/>
  <c r="N30" i="45"/>
  <c r="L39" i="111"/>
  <c r="N39" i="111"/>
  <c r="P39" i="111"/>
  <c r="N60" i="199"/>
  <c r="P60" i="199"/>
  <c r="L60" i="199"/>
  <c r="L58" i="199" s="1"/>
  <c r="M25" i="200" s="1"/>
  <c r="N60" i="109"/>
  <c r="L60" i="109"/>
  <c r="P60" i="109"/>
  <c r="P62" i="53"/>
  <c r="L62" i="53"/>
  <c r="N62" i="53"/>
  <c r="N41" i="77"/>
  <c r="L41" i="77"/>
  <c r="P41" i="77"/>
  <c r="N41" i="107"/>
  <c r="L41" i="107"/>
  <c r="P41" i="107"/>
  <c r="P39" i="71"/>
  <c r="P37" i="71" s="1"/>
  <c r="O21" i="72" s="1"/>
  <c r="AL17" i="4" s="1"/>
  <c r="L39" i="71"/>
  <c r="N39" i="71"/>
  <c r="N30" i="117"/>
  <c r="L30" i="117"/>
  <c r="P30" i="117"/>
  <c r="P29" i="149"/>
  <c r="L29" i="149"/>
  <c r="N29" i="149"/>
  <c r="P41" i="115"/>
  <c r="L41" i="115"/>
  <c r="N41" i="115"/>
  <c r="U61" i="56"/>
  <c r="N59" i="56" s="1"/>
  <c r="O25" i="57" s="1"/>
  <c r="V61" i="56"/>
  <c r="O59" i="56" s="1"/>
  <c r="P25" i="57" s="1"/>
  <c r="T61" i="56"/>
  <c r="M59" i="56" s="1"/>
  <c r="N25" i="57" s="1"/>
  <c r="L61" i="56"/>
  <c r="L59" i="56" s="1"/>
  <c r="M25" i="57" s="1"/>
  <c r="H19" i="4" s="1"/>
  <c r="N39" i="43"/>
  <c r="N37" i="43" s="1"/>
  <c r="N21" i="44" s="1"/>
  <c r="L39" i="43"/>
  <c r="P39" i="43"/>
  <c r="N29" i="153"/>
  <c r="L29" i="153"/>
  <c r="P29" i="153"/>
  <c r="P62" i="153"/>
  <c r="N62" i="153"/>
  <c r="L62" i="153"/>
  <c r="L30" i="67"/>
  <c r="N30" i="67"/>
  <c r="P30" i="67"/>
  <c r="N40" i="47"/>
  <c r="P40" i="47"/>
  <c r="L40" i="47"/>
  <c r="N29" i="89"/>
  <c r="N27" i="89" s="1"/>
  <c r="N19" i="90" s="1"/>
  <c r="BI15" i="4" s="1"/>
  <c r="P29" i="89"/>
  <c r="L29" i="89"/>
  <c r="N62" i="87"/>
  <c r="L62" i="87"/>
  <c r="P62" i="87"/>
  <c r="N40" i="191"/>
  <c r="P40" i="191"/>
  <c r="L40" i="191"/>
  <c r="J50" i="115"/>
  <c r="I47" i="215"/>
  <c r="J50" i="151"/>
  <c r="J46" i="149"/>
  <c r="J50" i="117"/>
  <c r="J45" i="45"/>
  <c r="J50" i="153"/>
  <c r="J47" i="111"/>
  <c r="J46" i="117"/>
  <c r="J47" i="181"/>
  <c r="J47" i="69"/>
  <c r="J46" i="119"/>
  <c r="J46" i="115"/>
  <c r="J46" i="151"/>
  <c r="J47" i="87"/>
  <c r="I47" i="213"/>
  <c r="I47" i="211"/>
  <c r="J47" i="107"/>
  <c r="J47" i="187"/>
  <c r="J47" i="77"/>
  <c r="J47" i="47"/>
  <c r="J46" i="113"/>
  <c r="J47" i="147"/>
  <c r="J47" i="189"/>
  <c r="J45" i="43"/>
  <c r="J47" i="145"/>
  <c r="J47" i="89"/>
  <c r="J47" i="105"/>
  <c r="J46" i="153"/>
  <c r="J51" i="179"/>
  <c r="J52" i="157"/>
  <c r="J50" i="87"/>
  <c r="J52" i="113"/>
  <c r="J51" i="43"/>
  <c r="J51" i="85"/>
  <c r="J50" i="107"/>
  <c r="J52" i="193"/>
  <c r="J51" i="71"/>
  <c r="J50" i="111"/>
  <c r="J52" i="197"/>
  <c r="J51" i="53"/>
  <c r="J52" i="201"/>
  <c r="J51" i="115"/>
  <c r="J51" i="191"/>
  <c r="J51" i="83"/>
  <c r="J52" i="119"/>
  <c r="J49" i="105"/>
  <c r="J50" i="47"/>
  <c r="J50" i="187"/>
  <c r="J51" i="73"/>
  <c r="J51" i="117"/>
  <c r="P62" i="181"/>
  <c r="N62" i="181"/>
  <c r="L62" i="181"/>
  <c r="L61" i="195"/>
  <c r="N61" i="195"/>
  <c r="P61" i="195"/>
  <c r="P39" i="145"/>
  <c r="N39" i="145"/>
  <c r="L39" i="145"/>
  <c r="P62" i="85"/>
  <c r="N62" i="85"/>
  <c r="L62" i="85"/>
  <c r="I68" i="111"/>
  <c r="I68" i="85"/>
  <c r="I68" i="47"/>
  <c r="I68" i="191"/>
  <c r="I68" i="157"/>
  <c r="I68" i="87"/>
  <c r="I68" i="71"/>
  <c r="I68" i="105"/>
  <c r="I68" i="119"/>
  <c r="I68" i="187"/>
  <c r="I68" i="113"/>
  <c r="I68" i="53"/>
  <c r="I68" i="73"/>
  <c r="I68" i="197"/>
  <c r="I68" i="107"/>
  <c r="I68" i="179"/>
  <c r="I68" i="193"/>
  <c r="L62" i="105"/>
  <c r="N62" i="105"/>
  <c r="P62" i="105"/>
  <c r="N61" i="197"/>
  <c r="L61" i="197"/>
  <c r="P61" i="197"/>
  <c r="N30" i="145"/>
  <c r="L30" i="145"/>
  <c r="P30" i="145"/>
  <c r="L61" i="147"/>
  <c r="P61" i="147"/>
  <c r="N61" i="147"/>
  <c r="P30" i="43"/>
  <c r="N30" i="43"/>
  <c r="L30" i="43"/>
  <c r="L62" i="151"/>
  <c r="N62" i="151"/>
  <c r="P62" i="151"/>
  <c r="CF37" i="4"/>
  <c r="BZ37" i="4"/>
  <c r="P41" i="153"/>
  <c r="N41" i="153"/>
  <c r="L41" i="153"/>
  <c r="L62" i="83"/>
  <c r="P62" i="83"/>
  <c r="N62" i="83"/>
  <c r="O30" i="23"/>
  <c r="X31" i="24" s="1"/>
  <c r="M30" i="23"/>
  <c r="V31" i="24" s="1"/>
  <c r="N48" i="110"/>
  <c r="BW43" i="4" s="1"/>
  <c r="P30" i="209"/>
  <c r="Y31" i="210" s="1"/>
  <c r="P30" i="83"/>
  <c r="P27" i="83" s="1"/>
  <c r="O19" i="84" s="1"/>
  <c r="N30" i="83"/>
  <c r="L30" i="83"/>
  <c r="N40" i="109"/>
  <c r="L40" i="109"/>
  <c r="P40" i="109"/>
  <c r="N62" i="145"/>
  <c r="L62" i="145"/>
  <c r="P62" i="145"/>
  <c r="L63" i="65"/>
  <c r="V63" i="65"/>
  <c r="U63" i="65"/>
  <c r="T63" i="65"/>
  <c r="W63" i="65"/>
  <c r="N62" i="69"/>
  <c r="L62" i="69"/>
  <c r="P62" i="69"/>
  <c r="P58" i="69" s="1"/>
  <c r="O25" i="70" s="1"/>
  <c r="BA19" i="4" s="1"/>
  <c r="P39" i="67"/>
  <c r="L39" i="67"/>
  <c r="N39" i="67"/>
  <c r="N30" i="195"/>
  <c r="L30" i="195"/>
  <c r="P30" i="195"/>
  <c r="V62" i="163"/>
  <c r="U62" i="163"/>
  <c r="T62" i="163"/>
  <c r="P62" i="77"/>
  <c r="L62" i="77"/>
  <c r="N62" i="77"/>
  <c r="L60" i="117"/>
  <c r="P60" i="117"/>
  <c r="N60" i="117"/>
  <c r="T61" i="91"/>
  <c r="W61" i="91"/>
  <c r="V61" i="91"/>
  <c r="U61" i="91"/>
  <c r="T62" i="207"/>
  <c r="L62" i="207"/>
  <c r="V62" i="207"/>
  <c r="W62" i="207"/>
  <c r="P59" i="207" s="1"/>
  <c r="Q25" i="208" s="1"/>
  <c r="U62" i="207"/>
  <c r="P41" i="85"/>
  <c r="L41" i="85"/>
  <c r="N41" i="85"/>
  <c r="R44" i="22"/>
  <c r="K37" i="4"/>
  <c r="O44" i="22"/>
  <c r="N44" i="22"/>
  <c r="Q44" i="22"/>
  <c r="P44" i="22"/>
  <c r="N44" i="32"/>
  <c r="S37" i="4"/>
  <c r="Q44" i="32"/>
  <c r="R44" i="32"/>
  <c r="P44" i="32"/>
  <c r="O44" i="32"/>
  <c r="R44" i="66"/>
  <c r="O44" i="66"/>
  <c r="P44" i="66"/>
  <c r="Q44" i="66"/>
  <c r="N44" i="66"/>
  <c r="P44" i="208"/>
  <c r="Q44" i="208"/>
  <c r="R44" i="208"/>
  <c r="O44" i="208"/>
  <c r="N44" i="208"/>
  <c r="L37" i="4"/>
  <c r="L41" i="111"/>
  <c r="P41" i="111"/>
  <c r="N41" i="111"/>
  <c r="L40" i="189"/>
  <c r="N40" i="189"/>
  <c r="P40" i="189"/>
  <c r="N62" i="109"/>
  <c r="P62" i="109"/>
  <c r="L62" i="109"/>
  <c r="N40" i="77"/>
  <c r="L40" i="77"/>
  <c r="P40" i="77"/>
  <c r="N40" i="201"/>
  <c r="P40" i="201"/>
  <c r="L40" i="201"/>
  <c r="N40" i="107"/>
  <c r="L40" i="107"/>
  <c r="P40" i="107"/>
  <c r="P29" i="87"/>
  <c r="L29" i="87"/>
  <c r="N29" i="87"/>
  <c r="N30" i="199"/>
  <c r="P30" i="199"/>
  <c r="L30" i="199"/>
  <c r="L41" i="45"/>
  <c r="N41" i="45"/>
  <c r="P41" i="45"/>
  <c r="L60" i="71"/>
  <c r="N60" i="71"/>
  <c r="P60" i="71"/>
  <c r="L63" i="159"/>
  <c r="V63" i="159"/>
  <c r="U63" i="159"/>
  <c r="T63" i="159"/>
  <c r="M59" i="159" s="1"/>
  <c r="N25" i="160" s="1"/>
  <c r="N41" i="43"/>
  <c r="P41" i="43"/>
  <c r="L41" i="43"/>
  <c r="W61" i="15"/>
  <c r="P59" i="15" s="1"/>
  <c r="Q25" i="16" s="1"/>
  <c r="T61" i="15"/>
  <c r="M59" i="15" s="1"/>
  <c r="N25" i="16" s="1"/>
  <c r="U61" i="15"/>
  <c r="N59" i="15" s="1"/>
  <c r="O25" i="16" s="1"/>
  <c r="V61" i="15"/>
  <c r="O59" i="15" s="1"/>
  <c r="P25" i="16" s="1"/>
  <c r="L61" i="15"/>
  <c r="L59" i="15" s="1"/>
  <c r="M25" i="16" s="1"/>
  <c r="F19" i="4" s="1"/>
  <c r="N30" i="153"/>
  <c r="P30" i="153"/>
  <c r="L30" i="153"/>
  <c r="N62" i="119"/>
  <c r="L62" i="119"/>
  <c r="P62" i="119"/>
  <c r="P61" i="107"/>
  <c r="L61" i="107"/>
  <c r="L58" i="107" s="1"/>
  <c r="M25" i="108" s="1"/>
  <c r="BS19" i="4" s="1"/>
  <c r="N61" i="107"/>
  <c r="N39" i="47"/>
  <c r="L39" i="47"/>
  <c r="L37" i="47" s="1"/>
  <c r="M21" i="48" s="1"/>
  <c r="AG17" i="4" s="1"/>
  <c r="P39" i="47"/>
  <c r="P37" i="47" s="1"/>
  <c r="O21" i="48" s="1"/>
  <c r="AI17" i="4" s="1"/>
  <c r="P29" i="181"/>
  <c r="L29" i="181"/>
  <c r="N29" i="181"/>
  <c r="L29" i="157"/>
  <c r="L27" i="157" s="1"/>
  <c r="M19" i="158" s="1"/>
  <c r="Z15" i="4" s="1"/>
  <c r="P29" i="157"/>
  <c r="N29" i="157"/>
  <c r="P41" i="191"/>
  <c r="N41" i="191"/>
  <c r="L41" i="191"/>
  <c r="I49" i="25"/>
  <c r="I49" i="49"/>
  <c r="I54" i="17"/>
  <c r="L54" i="17" s="1"/>
  <c r="J48" i="201"/>
  <c r="J53" i="71"/>
  <c r="I53" i="17"/>
  <c r="L53" i="17" s="1"/>
  <c r="I56" i="81"/>
  <c r="L56" i="81" s="1"/>
  <c r="I53" i="25"/>
  <c r="L53" i="25" s="1"/>
  <c r="J49" i="149"/>
  <c r="J48" i="67"/>
  <c r="J49" i="199"/>
  <c r="J49" i="119"/>
  <c r="J48" i="179"/>
  <c r="J48" i="157"/>
  <c r="J55" i="199"/>
  <c r="J49" i="113"/>
  <c r="J48" i="191"/>
  <c r="J48" i="85"/>
  <c r="J54" i="201"/>
  <c r="J51" i="157"/>
  <c r="J52" i="179"/>
  <c r="J47" i="195"/>
  <c r="J45" i="195"/>
  <c r="J54" i="193"/>
  <c r="J46" i="195"/>
  <c r="I53" i="215"/>
  <c r="L53" i="215" s="1"/>
  <c r="J52" i="109"/>
  <c r="I51" i="17"/>
  <c r="P50" i="199"/>
  <c r="T50" i="199"/>
  <c r="Z50" i="199"/>
  <c r="N50" i="199"/>
  <c r="L50" i="199"/>
  <c r="W50" i="199"/>
  <c r="N61" i="181"/>
  <c r="P61" i="181"/>
  <c r="L61" i="181"/>
  <c r="P41" i="145"/>
  <c r="L41" i="145"/>
  <c r="N41" i="145"/>
  <c r="L60" i="85"/>
  <c r="P60" i="85"/>
  <c r="P58" i="85" s="1"/>
  <c r="O25" i="86" s="1"/>
  <c r="AX19" i="4" s="1"/>
  <c r="N60" i="85"/>
  <c r="I68" i="115"/>
  <c r="I68" i="117"/>
  <c r="N61" i="105"/>
  <c r="P61" i="105"/>
  <c r="L61" i="105"/>
  <c r="L58" i="105" s="1"/>
  <c r="M25" i="106" s="1"/>
  <c r="BM19" i="4" s="1"/>
  <c r="N39" i="69"/>
  <c r="P39" i="69"/>
  <c r="L39" i="69"/>
  <c r="P29" i="115"/>
  <c r="L29" i="115"/>
  <c r="N29" i="115"/>
  <c r="P60" i="113"/>
  <c r="L60" i="113"/>
  <c r="L58" i="113" s="1"/>
  <c r="M25" i="114" s="1"/>
  <c r="BP19" i="4" s="1"/>
  <c r="N60" i="113"/>
  <c r="L30" i="73"/>
  <c r="N30" i="73"/>
  <c r="P30" i="73"/>
  <c r="P40" i="113"/>
  <c r="L40" i="113"/>
  <c r="N40" i="113"/>
  <c r="R44" i="92"/>
  <c r="N44" i="92"/>
  <c r="P44" i="92"/>
  <c r="O44" i="92"/>
  <c r="Q44" i="92"/>
  <c r="R44" i="216"/>
  <c r="V37" i="4"/>
  <c r="O44" i="216"/>
  <c r="N44" i="216"/>
  <c r="Q44" i="216"/>
  <c r="P44" i="216"/>
  <c r="L41" i="89"/>
  <c r="P41" i="89"/>
  <c r="N41" i="89"/>
  <c r="L41" i="105"/>
  <c r="N41" i="105"/>
  <c r="P41" i="105"/>
  <c r="P37" i="105" s="1"/>
  <c r="O21" i="106" s="1"/>
  <c r="BO17" i="4" s="1"/>
  <c r="L60" i="189"/>
  <c r="P60" i="189"/>
  <c r="N60" i="189"/>
  <c r="O30" i="209"/>
  <c r="X31" i="210" s="1"/>
  <c r="N29" i="200"/>
  <c r="O29" i="200"/>
  <c r="M29" i="146"/>
  <c r="N30" i="23"/>
  <c r="W31" i="24" s="1"/>
  <c r="W32" i="24" s="1"/>
  <c r="O17" i="24" s="1"/>
  <c r="M30" i="209"/>
  <c r="V31" i="210" s="1"/>
  <c r="L29" i="83"/>
  <c r="N29" i="83"/>
  <c r="P29" i="83"/>
  <c r="N39" i="109"/>
  <c r="P39" i="109"/>
  <c r="L39" i="109"/>
  <c r="L37" i="109" s="1"/>
  <c r="M21" i="110" s="1"/>
  <c r="BV17" i="4" s="1"/>
  <c r="W61" i="213"/>
  <c r="P59" i="213" s="1"/>
  <c r="Q25" i="214" s="1"/>
  <c r="U61" i="213"/>
  <c r="N59" i="213" s="1"/>
  <c r="O25" i="214" s="1"/>
  <c r="V61" i="213"/>
  <c r="O59" i="213" s="1"/>
  <c r="P25" i="214" s="1"/>
  <c r="L61" i="213"/>
  <c r="L59" i="213" s="1"/>
  <c r="M25" i="214" s="1"/>
  <c r="U19" i="4" s="1"/>
  <c r="T61" i="213"/>
  <c r="M59" i="213" s="1"/>
  <c r="N25" i="214" s="1"/>
  <c r="P61" i="69"/>
  <c r="N61" i="69"/>
  <c r="L61" i="69"/>
  <c r="P40" i="67"/>
  <c r="L40" i="67"/>
  <c r="N40" i="67"/>
  <c r="N29" i="195"/>
  <c r="N27" i="195" s="1"/>
  <c r="N19" i="196" s="1"/>
  <c r="P29" i="195"/>
  <c r="L29" i="195"/>
  <c r="T61" i="163"/>
  <c r="L61" i="163" s="1"/>
  <c r="V61" i="163"/>
  <c r="U61" i="163"/>
  <c r="L61" i="19"/>
  <c r="L59" i="19" s="1"/>
  <c r="M25" i="20" s="1"/>
  <c r="G19" i="4" s="1"/>
  <c r="X61" i="19"/>
  <c r="Q59" i="19" s="1"/>
  <c r="R25" i="20" s="1"/>
  <c r="T61" i="19"/>
  <c r="M59" i="19" s="1"/>
  <c r="N25" i="20" s="1"/>
  <c r="W61" i="19"/>
  <c r="P59" i="19" s="1"/>
  <c r="Q25" i="20" s="1"/>
  <c r="U61" i="19"/>
  <c r="N59" i="19" s="1"/>
  <c r="O25" i="20" s="1"/>
  <c r="V61" i="19"/>
  <c r="O59" i="19" s="1"/>
  <c r="P25" i="20" s="1"/>
  <c r="N60" i="77"/>
  <c r="L60" i="77"/>
  <c r="L58" i="77" s="1"/>
  <c r="M25" i="78" s="1"/>
  <c r="BE19" i="4" s="1"/>
  <c r="P60" i="77"/>
  <c r="P61" i="117"/>
  <c r="L61" i="117"/>
  <c r="N61" i="117"/>
  <c r="P41" i="157"/>
  <c r="L41" i="157"/>
  <c r="L37" i="157" s="1"/>
  <c r="M21" i="158" s="1"/>
  <c r="Z17" i="4" s="1"/>
  <c r="N41" i="157"/>
  <c r="V61" i="207"/>
  <c r="W61" i="207"/>
  <c r="U61" i="207"/>
  <c r="L61" i="207"/>
  <c r="T61" i="207"/>
  <c r="M59" i="207" s="1"/>
  <c r="N25" i="208" s="1"/>
  <c r="R44" i="36"/>
  <c r="N44" i="36"/>
  <c r="O44" i="36"/>
  <c r="P44" i="36"/>
  <c r="Q44" i="36"/>
  <c r="R44" i="164"/>
  <c r="N44" i="164"/>
  <c r="O44" i="164"/>
  <c r="P44" i="164"/>
  <c r="Q44" i="164"/>
  <c r="BL37" i="4"/>
  <c r="R44" i="18"/>
  <c r="E37" i="4"/>
  <c r="P44" i="18"/>
  <c r="N44" i="18"/>
  <c r="O44" i="18"/>
  <c r="Q44" i="18"/>
  <c r="N44" i="104"/>
  <c r="R44" i="104"/>
  <c r="P44" i="104"/>
  <c r="Q44" i="104"/>
  <c r="I37" i="4"/>
  <c r="O44" i="104"/>
  <c r="E15" i="4"/>
  <c r="BK15" i="4"/>
  <c r="N40" i="111"/>
  <c r="L40" i="111"/>
  <c r="P40" i="111"/>
  <c r="P41" i="189"/>
  <c r="L41" i="189"/>
  <c r="N41" i="189"/>
  <c r="L61" i="109"/>
  <c r="P61" i="109"/>
  <c r="N61" i="109"/>
  <c r="L62" i="81"/>
  <c r="L59" i="81" s="1"/>
  <c r="M25" i="82" s="1"/>
  <c r="N19" i="4" s="1"/>
  <c r="T62" i="81"/>
  <c r="M59" i="81" s="1"/>
  <c r="N25" i="82" s="1"/>
  <c r="V62" i="81"/>
  <c r="O59" i="81" s="1"/>
  <c r="P25" i="82" s="1"/>
  <c r="U62" i="81"/>
  <c r="N59" i="81" s="1"/>
  <c r="O25" i="82" s="1"/>
  <c r="N39" i="201"/>
  <c r="L39" i="201"/>
  <c r="L37" i="201" s="1"/>
  <c r="M21" i="202" s="1"/>
  <c r="P39" i="201"/>
  <c r="L30" i="87"/>
  <c r="P30" i="87"/>
  <c r="N30" i="87"/>
  <c r="N29" i="199"/>
  <c r="N27" i="199" s="1"/>
  <c r="N19" i="200" s="1"/>
  <c r="L29" i="199"/>
  <c r="P29" i="199"/>
  <c r="N39" i="45"/>
  <c r="N37" i="45" s="1"/>
  <c r="N21" i="46" s="1"/>
  <c r="AD17" i="4" s="1"/>
  <c r="P39" i="45"/>
  <c r="L39" i="45"/>
  <c r="P62" i="71"/>
  <c r="N62" i="71"/>
  <c r="L62" i="71"/>
  <c r="V61" i="159"/>
  <c r="T61" i="159"/>
  <c r="U61" i="159"/>
  <c r="P40" i="43"/>
  <c r="N40" i="43"/>
  <c r="L40" i="43"/>
  <c r="H62" i="35"/>
  <c r="H62" i="51"/>
  <c r="P61" i="119"/>
  <c r="L61" i="119"/>
  <c r="N61" i="119"/>
  <c r="N58" i="119" s="1"/>
  <c r="N25" i="120" s="1"/>
  <c r="L62" i="107"/>
  <c r="P62" i="107"/>
  <c r="N62" i="107"/>
  <c r="P30" i="181"/>
  <c r="L30" i="181"/>
  <c r="N30" i="181"/>
  <c r="N30" i="157"/>
  <c r="P30" i="157"/>
  <c r="L30" i="157"/>
  <c r="J54" i="199"/>
  <c r="I49" i="17"/>
  <c r="J48" i="193"/>
  <c r="I50" i="209"/>
  <c r="I50" i="207"/>
  <c r="I51" i="215"/>
  <c r="I51" i="213"/>
  <c r="J51" i="89"/>
  <c r="J51" i="181"/>
  <c r="I50" i="49"/>
  <c r="I50" i="21"/>
  <c r="I50" i="163"/>
  <c r="I50" i="25"/>
  <c r="I50" i="23"/>
  <c r="I50" i="81"/>
  <c r="I50" i="91"/>
  <c r="I50" i="56"/>
  <c r="I50" i="103"/>
  <c r="I50" i="35"/>
  <c r="I50" i="213"/>
  <c r="I50" i="215"/>
  <c r="I49" i="209"/>
  <c r="I49" i="207"/>
  <c r="I49" i="91"/>
  <c r="I49" i="35"/>
  <c r="I49" i="51"/>
  <c r="I49" i="103"/>
  <c r="J50" i="181"/>
  <c r="J50" i="89"/>
  <c r="I49" i="163"/>
  <c r="I49" i="21"/>
  <c r="I49" i="23"/>
  <c r="I49" i="81"/>
  <c r="I49" i="56"/>
  <c r="I48" i="58"/>
  <c r="I51" i="31"/>
  <c r="J46" i="43"/>
  <c r="I53" i="209"/>
  <c r="L53" i="209" s="1"/>
  <c r="I56" i="213"/>
  <c r="L56" i="213" s="1"/>
  <c r="I54" i="211"/>
  <c r="L54" i="211" s="1"/>
  <c r="I51" i="58"/>
  <c r="L51" i="58" s="1"/>
  <c r="I56" i="163"/>
  <c r="L56" i="163" s="1"/>
  <c r="I55" i="21"/>
  <c r="L55" i="21" s="1"/>
  <c r="I55" i="103"/>
  <c r="L55" i="103" s="1"/>
  <c r="I56" i="23"/>
  <c r="L56" i="23" s="1"/>
  <c r="J48" i="45"/>
  <c r="I56" i="15"/>
  <c r="L56" i="15" s="1"/>
  <c r="I56" i="21"/>
  <c r="L56" i="21" s="1"/>
  <c r="J54" i="43"/>
  <c r="I53" i="58"/>
  <c r="L53" i="58" s="1"/>
  <c r="J55" i="53"/>
  <c r="I52" i="51"/>
  <c r="L52" i="51" s="1"/>
  <c r="I56" i="19"/>
  <c r="L56" i="19" s="1"/>
  <c r="I53" i="49"/>
  <c r="L53" i="49" s="1"/>
  <c r="I54" i="51"/>
  <c r="L54" i="51" s="1"/>
  <c r="I55" i="213"/>
  <c r="L55" i="213" s="1"/>
  <c r="I52" i="211"/>
  <c r="L52" i="211" s="1"/>
  <c r="I52" i="207"/>
  <c r="L52" i="207" s="1"/>
  <c r="I54" i="19"/>
  <c r="L54" i="19" s="1"/>
  <c r="I54" i="31"/>
  <c r="L54" i="31" s="1"/>
  <c r="I56" i="31"/>
  <c r="L56" i="31" s="1"/>
  <c r="I53" i="51"/>
  <c r="L53" i="51" s="1"/>
  <c r="J55" i="73"/>
  <c r="I51" i="15"/>
  <c r="L51" i="15" s="1"/>
  <c r="I55" i="81"/>
  <c r="L55" i="81" s="1"/>
  <c r="J47" i="45"/>
  <c r="J54" i="73"/>
  <c r="J54" i="83"/>
  <c r="I56" i="207"/>
  <c r="L56" i="207" s="1"/>
  <c r="I52" i="15"/>
  <c r="L52" i="15" s="1"/>
  <c r="I55" i="58"/>
  <c r="L55" i="58" s="1"/>
  <c r="J54" i="157"/>
  <c r="J53" i="83"/>
  <c r="I56" i="49"/>
  <c r="L56" i="49" s="1"/>
  <c r="I55" i="215"/>
  <c r="L55" i="215" s="1"/>
  <c r="I56" i="25"/>
  <c r="L56" i="25" s="1"/>
  <c r="J49" i="201"/>
  <c r="J55" i="45"/>
  <c r="J50" i="45"/>
  <c r="J55" i="71"/>
  <c r="J52" i="45"/>
  <c r="J51" i="45"/>
  <c r="I52" i="58"/>
  <c r="L52" i="58" s="1"/>
  <c r="I53" i="15"/>
  <c r="L53" i="15" s="1"/>
  <c r="I54" i="103"/>
  <c r="L54" i="103" s="1"/>
  <c r="J53" i="45"/>
  <c r="I55" i="49"/>
  <c r="L55" i="49" s="1"/>
  <c r="I56" i="211"/>
  <c r="L56" i="211" s="1"/>
  <c r="I55" i="15"/>
  <c r="L55" i="15" s="1"/>
  <c r="J54" i="53"/>
  <c r="J48" i="197"/>
  <c r="I55" i="211"/>
  <c r="L55" i="211" s="1"/>
  <c r="I56" i="91"/>
  <c r="L56" i="91" s="1"/>
  <c r="J54" i="71"/>
  <c r="J52" i="87"/>
  <c r="I55" i="56"/>
  <c r="L55" i="56" s="1"/>
  <c r="I55" i="19"/>
  <c r="L55" i="19" s="1"/>
  <c r="I54" i="25"/>
  <c r="L54" i="25" s="1"/>
  <c r="J54" i="45"/>
  <c r="I49" i="58"/>
  <c r="L49" i="58" s="1"/>
  <c r="I56" i="215"/>
  <c r="L56" i="215" s="1"/>
  <c r="J52" i="187"/>
  <c r="I53" i="21"/>
  <c r="L53" i="21" s="1"/>
  <c r="J53" i="43"/>
  <c r="I54" i="23"/>
  <c r="L54" i="23" s="1"/>
  <c r="I48" i="31"/>
  <c r="L48" i="31" s="1"/>
  <c r="I54" i="209"/>
  <c r="L54" i="209" s="1"/>
  <c r="I53" i="211"/>
  <c r="L53" i="211" s="1"/>
  <c r="I55" i="209"/>
  <c r="L55" i="209" s="1"/>
  <c r="J52" i="83"/>
  <c r="J46" i="73"/>
  <c r="I52" i="21"/>
  <c r="L52" i="21" s="1"/>
  <c r="I55" i="31"/>
  <c r="L55" i="31" s="1"/>
  <c r="I53" i="31"/>
  <c r="L53" i="31" s="1"/>
  <c r="J55" i="157"/>
  <c r="I55" i="51"/>
  <c r="L55" i="51" s="1"/>
  <c r="J49" i="45"/>
  <c r="I54" i="21"/>
  <c r="L54" i="21" s="1"/>
  <c r="I55" i="25"/>
  <c r="L55" i="25" s="1"/>
  <c r="I56" i="51"/>
  <c r="L56" i="51" s="1"/>
  <c r="J53" i="191"/>
  <c r="J55" i="43"/>
  <c r="I55" i="17"/>
  <c r="L55" i="17" s="1"/>
  <c r="I55" i="91"/>
  <c r="L55" i="91" s="1"/>
  <c r="I53" i="207"/>
  <c r="L53" i="207" s="1"/>
  <c r="I55" i="207"/>
  <c r="L55" i="207" s="1"/>
  <c r="I56" i="209"/>
  <c r="L56" i="209" s="1"/>
  <c r="J53" i="73"/>
  <c r="I52" i="17"/>
  <c r="L52" i="17" s="1"/>
  <c r="I55" i="163"/>
  <c r="L55" i="163" s="1"/>
  <c r="I52" i="31"/>
  <c r="L52" i="31" s="1"/>
  <c r="I52" i="19"/>
  <c r="L52" i="19" s="1"/>
  <c r="J53" i="53"/>
  <c r="I56" i="56"/>
  <c r="L56" i="56" s="1"/>
  <c r="J55" i="83"/>
  <c r="I55" i="23"/>
  <c r="L55" i="23" s="1"/>
  <c r="I56" i="17"/>
  <c r="L56" i="17" s="1"/>
  <c r="I56" i="58"/>
  <c r="L56" i="58" s="1"/>
  <c r="I54" i="49"/>
  <c r="L54" i="49" s="1"/>
  <c r="I56" i="103"/>
  <c r="L56" i="103" s="1"/>
  <c r="I54" i="207"/>
  <c r="L54" i="207" s="1"/>
  <c r="I54" i="58"/>
  <c r="L54" i="58" s="1"/>
  <c r="J49" i="197"/>
  <c r="J53" i="199"/>
  <c r="J49" i="193"/>
  <c r="J48" i="199"/>
  <c r="AB52" i="35"/>
  <c r="Z52" i="35"/>
  <c r="AA52" i="35"/>
  <c r="L52" i="35"/>
  <c r="L60" i="181"/>
  <c r="L58" i="181" s="1"/>
  <c r="M25" i="182" s="1"/>
  <c r="P60" i="181"/>
  <c r="N60" i="181"/>
  <c r="P40" i="145"/>
  <c r="L40" i="145"/>
  <c r="N40" i="145"/>
  <c r="X61" i="35"/>
  <c r="Q59" i="35" s="1"/>
  <c r="R25" i="36" s="1"/>
  <c r="T61" i="35"/>
  <c r="M59" i="35" s="1"/>
  <c r="N25" i="36" s="1"/>
  <c r="V61" i="35"/>
  <c r="O59" i="35" s="1"/>
  <c r="P25" i="36" s="1"/>
  <c r="W61" i="35"/>
  <c r="L61" i="35"/>
  <c r="U61" i="35"/>
  <c r="N59" i="35" s="1"/>
  <c r="O25" i="36" s="1"/>
  <c r="P40" i="181"/>
  <c r="N40" i="181"/>
  <c r="N37" i="181" s="1"/>
  <c r="N21" i="182" s="1"/>
  <c r="L40" i="181"/>
  <c r="P60" i="105"/>
  <c r="P58" i="105" s="1"/>
  <c r="O25" i="106" s="1"/>
  <c r="BO19" i="4" s="1"/>
  <c r="N60" i="105"/>
  <c r="L60" i="105"/>
  <c r="N41" i="69"/>
  <c r="L41" i="69"/>
  <c r="P41" i="69"/>
  <c r="N30" i="115"/>
  <c r="L30" i="115"/>
  <c r="P30" i="115"/>
  <c r="L62" i="113"/>
  <c r="N62" i="113"/>
  <c r="P62" i="113"/>
  <c r="P40" i="147"/>
  <c r="N40" i="147"/>
  <c r="N37" i="147" s="1"/>
  <c r="N21" i="148" s="1"/>
  <c r="L40" i="147"/>
  <c r="N39" i="157"/>
  <c r="L39" i="157"/>
  <c r="P39" i="157"/>
  <c r="R37" i="4"/>
  <c r="N44" i="59"/>
  <c r="Q44" i="59"/>
  <c r="O44" i="59"/>
  <c r="P44" i="59"/>
  <c r="R44" i="59"/>
  <c r="P44" i="16"/>
  <c r="N44" i="16"/>
  <c r="Q44" i="16"/>
  <c r="R44" i="16"/>
  <c r="O44" i="16"/>
  <c r="F37" i="4"/>
  <c r="O37" i="4"/>
  <c r="Q44" i="50"/>
  <c r="N44" i="50"/>
  <c r="O44" i="50"/>
  <c r="P44" i="50"/>
  <c r="R44" i="50"/>
  <c r="W61" i="23"/>
  <c r="P59" i="23" s="1"/>
  <c r="Q25" i="24" s="1"/>
  <c r="T61" i="23"/>
  <c r="M59" i="23" s="1"/>
  <c r="N25" i="24" s="1"/>
  <c r="L61" i="23"/>
  <c r="L59" i="23" s="1"/>
  <c r="M25" i="24" s="1"/>
  <c r="J19" i="4" s="1"/>
  <c r="V61" i="23"/>
  <c r="O59" i="23" s="1"/>
  <c r="P25" i="24" s="1"/>
  <c r="X61" i="23"/>
  <c r="Q59" i="23" s="1"/>
  <c r="R25" i="24" s="1"/>
  <c r="U61" i="23"/>
  <c r="N59" i="23" s="1"/>
  <c r="O25" i="24" s="1"/>
  <c r="L29" i="111"/>
  <c r="N29" i="111"/>
  <c r="P29" i="111"/>
  <c r="N62" i="201"/>
  <c r="L62" i="201"/>
  <c r="P62" i="201"/>
  <c r="L60" i="73"/>
  <c r="P60" i="73"/>
  <c r="N60" i="73"/>
  <c r="P40" i="87"/>
  <c r="L40" i="87"/>
  <c r="L37" i="87" s="1"/>
  <c r="M21" i="88" s="1"/>
  <c r="BB17" i="4" s="1"/>
  <c r="N40" i="87"/>
  <c r="I52" i="215"/>
  <c r="I51" i="209"/>
  <c r="I52" i="213"/>
  <c r="I51" i="207"/>
  <c r="I51" i="21"/>
  <c r="I51" i="163"/>
  <c r="I50" i="51"/>
  <c r="I51" i="91"/>
  <c r="I51" i="56"/>
  <c r="I51" i="35"/>
  <c r="J52" i="181"/>
  <c r="I51" i="81"/>
  <c r="J52" i="89"/>
  <c r="I51" i="49"/>
  <c r="I51" i="23"/>
  <c r="I51" i="25"/>
  <c r="I51" i="103"/>
  <c r="L61" i="47"/>
  <c r="N61" i="47"/>
  <c r="P61" i="47"/>
  <c r="L39" i="193"/>
  <c r="P39" i="193"/>
  <c r="N39" i="193"/>
  <c r="N37" i="193" s="1"/>
  <c r="N21" i="194" s="1"/>
  <c r="N29" i="73"/>
  <c r="N27" i="73" s="1"/>
  <c r="N19" i="74" s="1"/>
  <c r="AN15" i="4" s="1"/>
  <c r="P29" i="73"/>
  <c r="P27" i="73" s="1"/>
  <c r="O19" i="74" s="1"/>
  <c r="AO15" i="4" s="1"/>
  <c r="L29" i="73"/>
  <c r="L27" i="73" s="1"/>
  <c r="M19" i="74" s="1"/>
  <c r="L41" i="109"/>
  <c r="P41" i="109"/>
  <c r="N41" i="109"/>
  <c r="V61" i="31"/>
  <c r="O59" i="31" s="1"/>
  <c r="P25" i="32" s="1"/>
  <c r="W61" i="31"/>
  <c r="P59" i="31" s="1"/>
  <c r="Q25" i="32" s="1"/>
  <c r="T61" i="31"/>
  <c r="M59" i="31" s="1"/>
  <c r="N25" i="32" s="1"/>
  <c r="L61" i="31"/>
  <c r="L59" i="31" s="1"/>
  <c r="M25" i="32" s="1"/>
  <c r="S19" i="4" s="1"/>
  <c r="U61" i="31"/>
  <c r="N59" i="31" s="1"/>
  <c r="O25" i="32" s="1"/>
  <c r="L59" i="58"/>
  <c r="M25" i="59" s="1"/>
  <c r="R19" i="4" s="1"/>
  <c r="X61" i="209"/>
  <c r="Q59" i="209" s="1"/>
  <c r="R25" i="210" s="1"/>
  <c r="U61" i="209"/>
  <c r="N59" i="209" s="1"/>
  <c r="O25" i="210" s="1"/>
  <c r="L61" i="209"/>
  <c r="L59" i="209" s="1"/>
  <c r="M25" i="210" s="1"/>
  <c r="M19" i="4" s="1"/>
  <c r="V61" i="209"/>
  <c r="O59" i="209" s="1"/>
  <c r="P25" i="210" s="1"/>
  <c r="T61" i="209"/>
  <c r="W61" i="209"/>
  <c r="P59" i="209" s="1"/>
  <c r="Q25" i="210" s="1"/>
  <c r="N29" i="43"/>
  <c r="N27" i="43" s="1"/>
  <c r="N19" i="44" s="1"/>
  <c r="P29" i="43"/>
  <c r="P27" i="43" s="1"/>
  <c r="O19" i="44" s="1"/>
  <c r="L29" i="43"/>
  <c r="L27" i="43" s="1"/>
  <c r="M19" i="44" s="1"/>
  <c r="N30" i="47"/>
  <c r="P30" i="47"/>
  <c r="P27" i="47" s="1"/>
  <c r="O19" i="48" s="1"/>
  <c r="AI15" i="4" s="1"/>
  <c r="L30" i="47"/>
  <c r="L27" i="47" s="1"/>
  <c r="M19" i="48" s="1"/>
  <c r="L63" i="163"/>
  <c r="U63" i="163"/>
  <c r="N59" i="163" s="1"/>
  <c r="O25" i="164" s="1"/>
  <c r="V63" i="163"/>
  <c r="T63" i="163"/>
  <c r="L61" i="151"/>
  <c r="N61" i="151"/>
  <c r="P61" i="151"/>
  <c r="N62" i="117"/>
  <c r="P62" i="117"/>
  <c r="L62" i="117"/>
  <c r="L40" i="157"/>
  <c r="N40" i="157"/>
  <c r="P40" i="157"/>
  <c r="P37" i="157" s="1"/>
  <c r="O21" i="158" s="1"/>
  <c r="AB17" i="4" s="1"/>
  <c r="P60" i="191"/>
  <c r="P58" i="191" s="1"/>
  <c r="O25" i="192" s="1"/>
  <c r="CJ19" i="4" s="1"/>
  <c r="L60" i="191"/>
  <c r="L58" i="191" s="1"/>
  <c r="M25" i="192" s="1"/>
  <c r="CH19" i="4" s="1"/>
  <c r="N60" i="191"/>
  <c r="N58" i="191" s="1"/>
  <c r="N25" i="192" s="1"/>
  <c r="CI19" i="4" s="1"/>
  <c r="T37" i="4"/>
  <c r="R44" i="212"/>
  <c r="P44" i="212"/>
  <c r="N44" i="212"/>
  <c r="O44" i="212"/>
  <c r="Q44" i="212"/>
  <c r="R44" i="26"/>
  <c r="P44" i="26"/>
  <c r="O44" i="26"/>
  <c r="P37" i="4"/>
  <c r="Q44" i="26"/>
  <c r="N44" i="26"/>
  <c r="Q37" i="4"/>
  <c r="P44" i="52"/>
  <c r="Q44" i="52"/>
  <c r="O44" i="52"/>
  <c r="R44" i="52"/>
  <c r="N44" i="52"/>
  <c r="P44" i="210"/>
  <c r="R44" i="210"/>
  <c r="Q44" i="210"/>
  <c r="N44" i="210"/>
  <c r="O44" i="210"/>
  <c r="M37" i="4"/>
  <c r="N39" i="89"/>
  <c r="L39" i="89"/>
  <c r="L37" i="89" s="1"/>
  <c r="M21" i="90" s="1"/>
  <c r="BH17" i="4" s="1"/>
  <c r="P39" i="89"/>
  <c r="P37" i="89" s="1"/>
  <c r="O21" i="90" s="1"/>
  <c r="BJ17" i="4" s="1"/>
  <c r="P39" i="189"/>
  <c r="N39" i="189"/>
  <c r="N37" i="189" s="1"/>
  <c r="N21" i="190" s="1"/>
  <c r="L39" i="189"/>
  <c r="L61" i="49"/>
  <c r="L59" i="49" s="1"/>
  <c r="M25" i="50" s="1"/>
  <c r="O19" i="4" s="1"/>
  <c r="U61" i="49"/>
  <c r="N59" i="49" s="1"/>
  <c r="O25" i="50" s="1"/>
  <c r="T61" i="49"/>
  <c r="M59" i="49" s="1"/>
  <c r="N25" i="50" s="1"/>
  <c r="P39" i="153"/>
  <c r="P37" i="153" s="1"/>
  <c r="O21" i="154" s="1"/>
  <c r="L39" i="153"/>
  <c r="L37" i="153" s="1"/>
  <c r="M21" i="154" s="1"/>
  <c r="N39" i="153"/>
  <c r="N37" i="153" s="1"/>
  <c r="N21" i="154" s="1"/>
  <c r="L41" i="201"/>
  <c r="N41" i="201"/>
  <c r="P41" i="201"/>
  <c r="N30" i="111"/>
  <c r="N27" i="111" s="1"/>
  <c r="N19" i="112" s="1"/>
  <c r="P30" i="111"/>
  <c r="L30" i="111"/>
  <c r="L27" i="111" s="1"/>
  <c r="M19" i="112" s="1"/>
  <c r="G15" i="4"/>
  <c r="N40" i="45"/>
  <c r="L40" i="45"/>
  <c r="P40" i="45"/>
  <c r="L62" i="45"/>
  <c r="P62" i="45"/>
  <c r="N62" i="45"/>
  <c r="N61" i="71"/>
  <c r="L61" i="71"/>
  <c r="P61" i="71"/>
  <c r="P62" i="73"/>
  <c r="N62" i="73"/>
  <c r="L62" i="73"/>
  <c r="L58" i="73" s="1"/>
  <c r="M25" i="74" s="1"/>
  <c r="AM19" i="4" s="1"/>
  <c r="L61" i="187"/>
  <c r="P61" i="187"/>
  <c r="N61" i="187"/>
  <c r="N58" i="187" s="1"/>
  <c r="N25" i="188" s="1"/>
  <c r="P61" i="189"/>
  <c r="L61" i="189"/>
  <c r="N61" i="189"/>
  <c r="N60" i="119"/>
  <c r="P60" i="119"/>
  <c r="L60" i="119"/>
  <c r="L58" i="119" s="1"/>
  <c r="M25" i="120" s="1"/>
  <c r="N60" i="107"/>
  <c r="N58" i="107" s="1"/>
  <c r="N25" i="108" s="1"/>
  <c r="BT19" i="4" s="1"/>
  <c r="L60" i="107"/>
  <c r="P60" i="107"/>
  <c r="N30" i="147"/>
  <c r="L30" i="147"/>
  <c r="L27" i="147" s="1"/>
  <c r="M19" i="148" s="1"/>
  <c r="P30" i="147"/>
  <c r="P27" i="147" s="1"/>
  <c r="O19" i="148" s="1"/>
  <c r="L30" i="201"/>
  <c r="P30" i="201"/>
  <c r="P27" i="201" s="1"/>
  <c r="O19" i="202" s="1"/>
  <c r="N30" i="201"/>
  <c r="N62" i="179"/>
  <c r="L62" i="179"/>
  <c r="P62" i="179"/>
  <c r="J45" i="117"/>
  <c r="J45" i="107"/>
  <c r="J45" i="149"/>
  <c r="J45" i="105"/>
  <c r="J45" i="47"/>
  <c r="J45" i="69"/>
  <c r="J45" i="181"/>
  <c r="J45" i="197"/>
  <c r="J45" i="87"/>
  <c r="J45" i="153"/>
  <c r="J45" i="189"/>
  <c r="J48" i="43"/>
  <c r="J45" i="85"/>
  <c r="J45" i="191"/>
  <c r="J45" i="115"/>
  <c r="J45" i="193"/>
  <c r="J45" i="77"/>
  <c r="J45" i="119"/>
  <c r="J46" i="199"/>
  <c r="J45" i="113"/>
  <c r="J45" i="89"/>
  <c r="J45" i="151"/>
  <c r="J45" i="201"/>
  <c r="J45" i="109"/>
  <c r="J45" i="179"/>
  <c r="J45" i="67"/>
  <c r="J45" i="187"/>
  <c r="J45" i="111"/>
  <c r="J45" i="145"/>
  <c r="J45" i="147"/>
  <c r="J52" i="117"/>
  <c r="J52" i="73"/>
  <c r="J50" i="105"/>
  <c r="J51" i="87"/>
  <c r="J52" i="71"/>
  <c r="J53" i="201"/>
  <c r="J52" i="85"/>
  <c r="J53" i="113"/>
  <c r="J51" i="187"/>
  <c r="J52" i="53"/>
  <c r="J52" i="115"/>
  <c r="J53" i="197"/>
  <c r="J51" i="47"/>
  <c r="J51" i="107"/>
  <c r="J53" i="193"/>
  <c r="J51" i="111"/>
  <c r="J52" i="191"/>
  <c r="J52" i="43"/>
  <c r="J53" i="119"/>
  <c r="J46" i="83"/>
  <c r="J51" i="109"/>
  <c r="J46" i="71"/>
  <c r="I50" i="19"/>
  <c r="J51" i="105"/>
  <c r="J45" i="73"/>
  <c r="J45" i="71"/>
  <c r="J53" i="105"/>
  <c r="J45" i="53"/>
  <c r="I54" i="81"/>
  <c r="L54" i="81" s="1"/>
  <c r="J45" i="83"/>
  <c r="I54" i="163"/>
  <c r="L54" i="163" s="1"/>
  <c r="I54" i="91"/>
  <c r="L54" i="91" s="1"/>
  <c r="J52" i="105"/>
  <c r="I51" i="19"/>
  <c r="L51" i="19" s="1"/>
  <c r="J54" i="105"/>
  <c r="J47" i="157"/>
  <c r="J47" i="199"/>
  <c r="J52" i="199"/>
  <c r="I54" i="213"/>
  <c r="L54" i="213" s="1"/>
  <c r="J53" i="157"/>
  <c r="I52" i="209"/>
  <c r="L52" i="209" s="1"/>
  <c r="I54" i="215"/>
  <c r="L54" i="215" s="1"/>
  <c r="I50" i="15"/>
  <c r="L50" i="15" s="1"/>
  <c r="I54" i="56"/>
  <c r="L54" i="56" s="1"/>
  <c r="I54" i="15"/>
  <c r="L54" i="15" s="1"/>
  <c r="L60" i="47"/>
  <c r="P60" i="47"/>
  <c r="P58" i="47" s="1"/>
  <c r="O25" i="48" s="1"/>
  <c r="AI19" i="4" s="1"/>
  <c r="N60" i="47"/>
  <c r="N58" i="47" s="1"/>
  <c r="N25" i="48" s="1"/>
  <c r="AH19" i="4" s="1"/>
  <c r="P39" i="187"/>
  <c r="L39" i="187"/>
  <c r="L37" i="187" s="1"/>
  <c r="M21" i="188" s="1"/>
  <c r="N39" i="187"/>
  <c r="N37" i="187" s="1"/>
  <c r="N21" i="188" s="1"/>
  <c r="N41" i="181"/>
  <c r="L41" i="181"/>
  <c r="P41" i="181"/>
  <c r="P37" i="181" s="1"/>
  <c r="O21" i="182" s="1"/>
  <c r="L40" i="199"/>
  <c r="N40" i="199"/>
  <c r="P40" i="199"/>
  <c r="L40" i="69"/>
  <c r="P40" i="69"/>
  <c r="N40" i="69"/>
  <c r="N40" i="195"/>
  <c r="L40" i="195"/>
  <c r="L37" i="195" s="1"/>
  <c r="M21" i="196" s="1"/>
  <c r="P40" i="195"/>
  <c r="N41" i="193"/>
  <c r="L41" i="193"/>
  <c r="P41" i="193"/>
  <c r="M48" i="116"/>
  <c r="CB43" i="4" s="1"/>
  <c r="O29" i="190"/>
  <c r="Q30" i="163"/>
  <c r="Z31" i="164" s="1"/>
  <c r="O29" i="158"/>
  <c r="AB24" i="4" s="1"/>
  <c r="U31" i="208"/>
  <c r="M29" i="182"/>
  <c r="O48" i="70"/>
  <c r="BA43" i="4" s="1"/>
  <c r="M29" i="110"/>
  <c r="BV24" i="4" s="1"/>
  <c r="O30" i="163"/>
  <c r="X31" i="164" s="1"/>
  <c r="X32" i="164" s="1"/>
  <c r="P17" i="164" s="1"/>
  <c r="M30" i="207"/>
  <c r="V31" i="208" s="1"/>
  <c r="M29" i="152"/>
  <c r="O29" i="154"/>
  <c r="Q30" i="211"/>
  <c r="Z31" i="212" s="1"/>
  <c r="M30" i="163"/>
  <c r="V31" i="164" s="1"/>
  <c r="Q30" i="207"/>
  <c r="Z31" i="208" s="1"/>
  <c r="M30" i="211"/>
  <c r="V31" i="212" s="1"/>
  <c r="N15" i="212" s="1"/>
  <c r="U31" i="164"/>
  <c r="U32" i="164" s="1"/>
  <c r="M17" i="164" s="1"/>
  <c r="N30" i="207"/>
  <c r="W31" i="208" s="1"/>
  <c r="O30" i="211"/>
  <c r="X31" i="212" s="1"/>
  <c r="N30" i="163"/>
  <c r="W31" i="164" s="1"/>
  <c r="W32" i="164" s="1"/>
  <c r="O17" i="164" s="1"/>
  <c r="M48" i="72"/>
  <c r="AJ43" i="4" s="1"/>
  <c r="P30" i="207"/>
  <c r="Y31" i="208" s="1"/>
  <c r="P30" i="211"/>
  <c r="Y31" i="212" s="1"/>
  <c r="Y32" i="212" s="1"/>
  <c r="Q17" i="212" s="1"/>
  <c r="M29" i="118"/>
  <c r="O29" i="116"/>
  <c r="M48" i="74"/>
  <c r="AM43" i="4" s="1"/>
  <c r="M48" i="106"/>
  <c r="BM43" i="4" s="1"/>
  <c r="U44" i="12"/>
  <c r="M41" i="32" s="1"/>
  <c r="M15" i="216"/>
  <c r="U32" i="216"/>
  <c r="M17" i="216" s="1"/>
  <c r="Y32" i="18"/>
  <c r="Q17" i="18" s="1"/>
  <c r="Q15" i="18"/>
  <c r="R15" i="164"/>
  <c r="Z32" i="164"/>
  <c r="R17" i="164" s="1"/>
  <c r="CE43" i="4"/>
  <c r="BY43" i="4"/>
  <c r="N15" i="52"/>
  <c r="V32" i="52"/>
  <c r="N17" i="52" s="1"/>
  <c r="BH13" i="4"/>
  <c r="BH24" i="4"/>
  <c r="O15" i="20"/>
  <c r="W32" i="20"/>
  <c r="O17" i="20" s="1"/>
  <c r="AY13" i="4"/>
  <c r="AY24" i="4"/>
  <c r="U32" i="36"/>
  <c r="M17" i="36" s="1"/>
  <c r="M15" i="36"/>
  <c r="AQ24" i="4"/>
  <c r="AQ13" i="4"/>
  <c r="AJ13" i="4"/>
  <c r="AJ24" i="4"/>
  <c r="BR13" i="4"/>
  <c r="BR24" i="4"/>
  <c r="V32" i="24"/>
  <c r="N17" i="24" s="1"/>
  <c r="N15" i="24"/>
  <c r="P15" i="208"/>
  <c r="X32" i="208"/>
  <c r="P17" i="208" s="1"/>
  <c r="M15" i="212"/>
  <c r="U32" i="212"/>
  <c r="M17" i="212" s="1"/>
  <c r="M15" i="57"/>
  <c r="U32" i="57"/>
  <c r="M17" i="57" s="1"/>
  <c r="BW13" i="4"/>
  <c r="BW24" i="4"/>
  <c r="X32" i="50"/>
  <c r="P17" i="50" s="1"/>
  <c r="P15" i="50"/>
  <c r="N15" i="104"/>
  <c r="V32" i="104"/>
  <c r="N17" i="104" s="1"/>
  <c r="W32" i="82"/>
  <c r="O17" i="82" s="1"/>
  <c r="O15" i="82"/>
  <c r="R15" i="32"/>
  <c r="Z32" i="32"/>
  <c r="R17" i="32" s="1"/>
  <c r="X32" i="210"/>
  <c r="P17" i="210" s="1"/>
  <c r="P15" i="210"/>
  <c r="BZ43" i="4"/>
  <c r="CF43" i="4"/>
  <c r="R15" i="22"/>
  <c r="Z32" i="22"/>
  <c r="R17" i="22" s="1"/>
  <c r="P15" i="16"/>
  <c r="X32" i="16"/>
  <c r="P17" i="16" s="1"/>
  <c r="Z32" i="160"/>
  <c r="R17" i="160" s="1"/>
  <c r="R15" i="160"/>
  <c r="M15" i="92"/>
  <c r="U32" i="92"/>
  <c r="M17" i="92" s="1"/>
  <c r="P15" i="59"/>
  <c r="X32" i="59"/>
  <c r="P17" i="59" s="1"/>
  <c r="BU13" i="4"/>
  <c r="BU24" i="4"/>
  <c r="M15" i="18"/>
  <c r="U32" i="18"/>
  <c r="M17" i="18" s="1"/>
  <c r="X32" i="66"/>
  <c r="P17" i="66" s="1"/>
  <c r="P15" i="66"/>
  <c r="BG13" i="4"/>
  <c r="BG24" i="4"/>
  <c r="BY24" i="4"/>
  <c r="CE13" i="4"/>
  <c r="BY13" i="4"/>
  <c r="CE24" i="4"/>
  <c r="AC13" i="4"/>
  <c r="AC24" i="4"/>
  <c r="Z44" i="12"/>
  <c r="W32" i="52"/>
  <c r="O17" i="52" s="1"/>
  <c r="O15" i="52"/>
  <c r="U32" i="20"/>
  <c r="M17" i="20" s="1"/>
  <c r="M15" i="20"/>
  <c r="V32" i="36"/>
  <c r="N17" i="36" s="1"/>
  <c r="N15" i="36"/>
  <c r="X43" i="4"/>
  <c r="C16" i="155"/>
  <c r="BI13" i="4"/>
  <c r="BI24" i="4"/>
  <c r="O15" i="212"/>
  <c r="W32" i="212"/>
  <c r="O17" i="212" s="1"/>
  <c r="Q15" i="57"/>
  <c r="Y32" i="57"/>
  <c r="Q17" i="57" s="1"/>
  <c r="R15" i="214"/>
  <c r="Z32" i="214"/>
  <c r="R17" i="214" s="1"/>
  <c r="Y32" i="50"/>
  <c r="Q17" i="50" s="1"/>
  <c r="Q15" i="50"/>
  <c r="W32" i="104"/>
  <c r="O17" i="104" s="1"/>
  <c r="O15" i="104"/>
  <c r="N15" i="82"/>
  <c r="V32" i="82"/>
  <c r="N17" i="82" s="1"/>
  <c r="Q15" i="32"/>
  <c r="Y32" i="32"/>
  <c r="Q17" i="32" s="1"/>
  <c r="M15" i="210"/>
  <c r="U32" i="210"/>
  <c r="M17" i="210" s="1"/>
  <c r="BE24" i="4"/>
  <c r="BE13" i="4"/>
  <c r="V32" i="26"/>
  <c r="N17" i="26" s="1"/>
  <c r="N15" i="26"/>
  <c r="M15" i="22"/>
  <c r="U32" i="22"/>
  <c r="M17" i="22" s="1"/>
  <c r="N15" i="16"/>
  <c r="V32" i="16"/>
  <c r="N17" i="16" s="1"/>
  <c r="N15" i="160"/>
  <c r="V32" i="160"/>
  <c r="N17" i="160" s="1"/>
  <c r="Q15" i="92"/>
  <c r="Y32" i="92"/>
  <c r="Q17" i="92" s="1"/>
  <c r="V32" i="59"/>
  <c r="N17" i="59" s="1"/>
  <c r="N15" i="59"/>
  <c r="Q15" i="216"/>
  <c r="Y32" i="216"/>
  <c r="Q17" i="216" s="1"/>
  <c r="N15" i="18"/>
  <c r="V32" i="18"/>
  <c r="N17" i="18" s="1"/>
  <c r="Y32" i="66"/>
  <c r="Q17" i="66" s="1"/>
  <c r="Q15" i="66"/>
  <c r="M42" i="164"/>
  <c r="M42" i="16"/>
  <c r="M42" i="92"/>
  <c r="M42" i="57"/>
  <c r="M42" i="208"/>
  <c r="M42" i="20"/>
  <c r="M42" i="160"/>
  <c r="M42" i="26"/>
  <c r="M42" i="36"/>
  <c r="M42" i="210"/>
  <c r="M42" i="212"/>
  <c r="M42" i="22"/>
  <c r="M42" i="104"/>
  <c r="M42" i="52"/>
  <c r="M42" i="24"/>
  <c r="M42" i="66"/>
  <c r="M42" i="82"/>
  <c r="M42" i="50"/>
  <c r="M42" i="214"/>
  <c r="M42" i="216"/>
  <c r="M42" i="18"/>
  <c r="N15" i="164"/>
  <c r="V32" i="164"/>
  <c r="N17" i="164" s="1"/>
  <c r="V44" i="12"/>
  <c r="Y32" i="52"/>
  <c r="Q17" i="52" s="1"/>
  <c r="Q15" i="52"/>
  <c r="X13" i="4"/>
  <c r="X24" i="4"/>
  <c r="Q15" i="24"/>
  <c r="Y32" i="24"/>
  <c r="Q17" i="24" s="1"/>
  <c r="CH13" i="4"/>
  <c r="CH24" i="4"/>
  <c r="R15" i="212"/>
  <c r="Z32" i="212"/>
  <c r="R17" i="212" s="1"/>
  <c r="V32" i="57"/>
  <c r="N17" i="57" s="1"/>
  <c r="N15" i="57"/>
  <c r="O15" i="214"/>
  <c r="W32" i="214"/>
  <c r="O17" i="214" s="1"/>
  <c r="CB24" i="4"/>
  <c r="CB13" i="4"/>
  <c r="M15" i="50"/>
  <c r="U32" i="50"/>
  <c r="M17" i="50" s="1"/>
  <c r="M15" i="104"/>
  <c r="U32" i="104"/>
  <c r="M17" i="104" s="1"/>
  <c r="O15" i="32"/>
  <c r="W32" i="32"/>
  <c r="O17" i="32" s="1"/>
  <c r="W32" i="210"/>
  <c r="O17" i="210" s="1"/>
  <c r="O15" i="210"/>
  <c r="R15" i="26"/>
  <c r="Z32" i="26"/>
  <c r="R17" i="26" s="1"/>
  <c r="Y32" i="22"/>
  <c r="Q17" i="22" s="1"/>
  <c r="Q15" i="22"/>
  <c r="M15" i="16"/>
  <c r="U32" i="16"/>
  <c r="M17" i="16" s="1"/>
  <c r="M15" i="160"/>
  <c r="U32" i="160"/>
  <c r="M17" i="160" s="1"/>
  <c r="P15" i="92"/>
  <c r="X32" i="92"/>
  <c r="P17" i="92" s="1"/>
  <c r="R15" i="59"/>
  <c r="Z32" i="59"/>
  <c r="R17" i="59" s="1"/>
  <c r="CD13" i="4"/>
  <c r="CD24" i="4"/>
  <c r="W32" i="216"/>
  <c r="O17" i="216" s="1"/>
  <c r="O15" i="216"/>
  <c r="R15" i="66"/>
  <c r="Z32" i="66"/>
  <c r="R17" i="66" s="1"/>
  <c r="BC13" i="4"/>
  <c r="BC24" i="4"/>
  <c r="BN13" i="4"/>
  <c r="BN24" i="4"/>
  <c r="CI13" i="4"/>
  <c r="CI24" i="4"/>
  <c r="AT24" i="4"/>
  <c r="AT13" i="4"/>
  <c r="T44" i="12"/>
  <c r="U32" i="52"/>
  <c r="M17" i="52" s="1"/>
  <c r="M15" i="52"/>
  <c r="AW13" i="4"/>
  <c r="AW24" i="4"/>
  <c r="BF13" i="4"/>
  <c r="BF24" i="4"/>
  <c r="BO13" i="4"/>
  <c r="BO24" i="4"/>
  <c r="AK13" i="4"/>
  <c r="AK24" i="4"/>
  <c r="U32" i="208"/>
  <c r="M17" i="208" s="1"/>
  <c r="M15" i="208"/>
  <c r="W13" i="4"/>
  <c r="W24" i="4"/>
  <c r="BS13" i="4"/>
  <c r="BS24" i="4"/>
  <c r="Z32" i="57"/>
  <c r="R17" i="57" s="1"/>
  <c r="R15" i="57"/>
  <c r="V32" i="214"/>
  <c r="N17" i="214" s="1"/>
  <c r="N15" i="214"/>
  <c r="O15" i="50"/>
  <c r="W32" i="50"/>
  <c r="O17" i="50" s="1"/>
  <c r="Q15" i="104"/>
  <c r="Y32" i="104"/>
  <c r="Q17" i="104" s="1"/>
  <c r="V32" i="32"/>
  <c r="N17" i="32" s="1"/>
  <c r="N15" i="32"/>
  <c r="Y32" i="210"/>
  <c r="Q17" i="210" s="1"/>
  <c r="Q15" i="210"/>
  <c r="W32" i="26"/>
  <c r="O17" i="26" s="1"/>
  <c r="O15" i="26"/>
  <c r="Z24" i="4"/>
  <c r="Z13" i="4"/>
  <c r="P15" i="22"/>
  <c r="X32" i="22"/>
  <c r="P17" i="22" s="1"/>
  <c r="R15" i="16"/>
  <c r="Q15" i="160"/>
  <c r="Y32" i="160"/>
  <c r="Q17" i="160" s="1"/>
  <c r="M15" i="59"/>
  <c r="U32" i="59"/>
  <c r="M17" i="59" s="1"/>
  <c r="L23" i="13"/>
  <c r="I81" i="9" s="1"/>
  <c r="W32" i="66"/>
  <c r="O17" i="66" s="1"/>
  <c r="O15" i="66"/>
  <c r="O15" i="164"/>
  <c r="X32" i="52"/>
  <c r="P17" i="52" s="1"/>
  <c r="P15" i="52"/>
  <c r="X32" i="20"/>
  <c r="P17" i="20" s="1"/>
  <c r="P15" i="20"/>
  <c r="O15" i="36"/>
  <c r="W32" i="36"/>
  <c r="O17" i="36" s="1"/>
  <c r="D16" i="155"/>
  <c r="AK43" i="4"/>
  <c r="AX13" i="4"/>
  <c r="AX24" i="4"/>
  <c r="N15" i="208"/>
  <c r="V32" i="208"/>
  <c r="N17" i="208" s="1"/>
  <c r="X32" i="57"/>
  <c r="P17" i="57" s="1"/>
  <c r="P15" i="57"/>
  <c r="Y32" i="214"/>
  <c r="Q17" i="214" s="1"/>
  <c r="Q15" i="214"/>
  <c r="BA24" i="4"/>
  <c r="BA13" i="4"/>
  <c r="Z32" i="50"/>
  <c r="R17" i="50" s="1"/>
  <c r="R15" i="50"/>
  <c r="AG13" i="4"/>
  <c r="AG24" i="4"/>
  <c r="Y32" i="82"/>
  <c r="Q17" i="82" s="1"/>
  <c r="Q15" i="82"/>
  <c r="CA24" i="4"/>
  <c r="CA13" i="4"/>
  <c r="CG24" i="4"/>
  <c r="CG13" i="4"/>
  <c r="V32" i="210"/>
  <c r="N17" i="210" s="1"/>
  <c r="N15" i="210"/>
  <c r="P15" i="26"/>
  <c r="X32" i="26"/>
  <c r="P17" i="26" s="1"/>
  <c r="V32" i="22"/>
  <c r="N17" i="22" s="1"/>
  <c r="N15" i="22"/>
  <c r="Y32" i="16"/>
  <c r="Q17" i="16" s="1"/>
  <c r="Q15" i="16"/>
  <c r="W32" i="160"/>
  <c r="O17" i="160" s="1"/>
  <c r="O15" i="160"/>
  <c r="AA13" i="4"/>
  <c r="AA24" i="4"/>
  <c r="W32" i="59"/>
  <c r="O17" i="59" s="1"/>
  <c r="O15" i="59"/>
  <c r="M15" i="66"/>
  <c r="U32" i="66"/>
  <c r="M17" i="66" s="1"/>
  <c r="Y24" i="4"/>
  <c r="Y13" i="4"/>
  <c r="BD24" i="4"/>
  <c r="BD13" i="4"/>
  <c r="Y32" i="164"/>
  <c r="Q17" i="164" s="1"/>
  <c r="Q15" i="164"/>
  <c r="AP24" i="4"/>
  <c r="AP13" i="4"/>
  <c r="W44" i="12"/>
  <c r="R15" i="52"/>
  <c r="Z32" i="52"/>
  <c r="R17" i="52" s="1"/>
  <c r="Z32" i="20"/>
  <c r="R17" i="20" s="1"/>
  <c r="R15" i="20"/>
  <c r="P15" i="36"/>
  <c r="X32" i="36"/>
  <c r="P17" i="36" s="1"/>
  <c r="AH24" i="4"/>
  <c r="AH13" i="4"/>
  <c r="P15" i="24"/>
  <c r="X32" i="24"/>
  <c r="P17" i="24" s="1"/>
  <c r="R15" i="208"/>
  <c r="Z32" i="208"/>
  <c r="R17" i="208" s="1"/>
  <c r="BT24" i="4"/>
  <c r="BT13" i="4"/>
  <c r="U32" i="214"/>
  <c r="M17" i="214" s="1"/>
  <c r="M15" i="214"/>
  <c r="V32" i="50"/>
  <c r="N17" i="50" s="1"/>
  <c r="N15" i="50"/>
  <c r="M15" i="82"/>
  <c r="U32" i="82"/>
  <c r="M17" i="82" s="1"/>
  <c r="CG43" i="4"/>
  <c r="CA43" i="4"/>
  <c r="AO24" i="4"/>
  <c r="AO13" i="4"/>
  <c r="Z32" i="210"/>
  <c r="R17" i="210" s="1"/>
  <c r="R15" i="210"/>
  <c r="BP24" i="4"/>
  <c r="BP13" i="4"/>
  <c r="U32" i="26"/>
  <c r="M17" i="26" s="1"/>
  <c r="M15" i="26"/>
  <c r="BX13" i="4"/>
  <c r="BX24" i="4"/>
  <c r="AE24" i="4"/>
  <c r="AE13" i="4"/>
  <c r="N15" i="92"/>
  <c r="V32" i="92"/>
  <c r="N17" i="92" s="1"/>
  <c r="AS24" i="4"/>
  <c r="AS13" i="4"/>
  <c r="R15" i="216"/>
  <c r="Z32" i="216"/>
  <c r="R17" i="216" s="1"/>
  <c r="P78" i="35"/>
  <c r="Q78" i="51"/>
  <c r="P78" i="51"/>
  <c r="O78" i="51"/>
  <c r="N78" i="51"/>
  <c r="M78" i="51"/>
  <c r="P15" i="216"/>
  <c r="X32" i="216"/>
  <c r="P17" i="216" s="1"/>
  <c r="X32" i="18"/>
  <c r="P17" i="18" s="1"/>
  <c r="P15" i="18"/>
  <c r="BB24" i="4"/>
  <c r="BB13" i="4"/>
  <c r="N15" i="66"/>
  <c r="V32" i="66"/>
  <c r="N17" i="66" s="1"/>
  <c r="M42" i="59"/>
  <c r="M42" i="32"/>
  <c r="E16" i="155"/>
  <c r="AN43" i="4"/>
  <c r="X44" i="12"/>
  <c r="CJ13" i="4"/>
  <c r="CJ24" i="4"/>
  <c r="Y32" i="20"/>
  <c r="Q17" i="20" s="1"/>
  <c r="Q15" i="20"/>
  <c r="Y32" i="36"/>
  <c r="Q17" i="36" s="1"/>
  <c r="Q15" i="36"/>
  <c r="AU13" i="4"/>
  <c r="AU24" i="4"/>
  <c r="O15" i="208"/>
  <c r="W32" i="208"/>
  <c r="O17" i="208" s="1"/>
  <c r="P15" i="212"/>
  <c r="X32" i="212"/>
  <c r="P17" i="212" s="1"/>
  <c r="AZ24" i="4"/>
  <c r="AZ13" i="4"/>
  <c r="P15" i="214"/>
  <c r="X32" i="214"/>
  <c r="P17" i="214" s="1"/>
  <c r="P15" i="104"/>
  <c r="X32" i="104"/>
  <c r="P17" i="104" s="1"/>
  <c r="R15" i="82"/>
  <c r="Z32" i="82"/>
  <c r="R17" i="82" s="1"/>
  <c r="P15" i="32"/>
  <c r="X32" i="32"/>
  <c r="P17" i="32" s="1"/>
  <c r="Q15" i="26"/>
  <c r="Y32" i="26"/>
  <c r="Q17" i="26" s="1"/>
  <c r="AL24" i="4"/>
  <c r="AL13" i="4"/>
  <c r="AD24" i="4"/>
  <c r="AD13" i="4"/>
  <c r="R15" i="92"/>
  <c r="Z32" i="92"/>
  <c r="R17" i="92" s="1"/>
  <c r="AM24" i="4"/>
  <c r="AM13" i="4"/>
  <c r="BM13" i="4"/>
  <c r="BM24" i="4"/>
  <c r="R15" i="18"/>
  <c r="Z32" i="18"/>
  <c r="R17" i="18" s="1"/>
  <c r="N15" i="216"/>
  <c r="V32" i="216"/>
  <c r="N17" i="216" s="1"/>
  <c r="O15" i="18"/>
  <c r="W32" i="18"/>
  <c r="O17" i="18" s="1"/>
  <c r="M40" i="118"/>
  <c r="N40" i="202"/>
  <c r="N40" i="196"/>
  <c r="M40" i="182"/>
  <c r="M40" i="188"/>
  <c r="N40" i="182"/>
  <c r="M40" i="90"/>
  <c r="BH35" i="4" s="1"/>
  <c r="N40" i="154"/>
  <c r="O40" i="150"/>
  <c r="M40" i="120"/>
  <c r="O40" i="190"/>
  <c r="O40" i="188"/>
  <c r="O40" i="44"/>
  <c r="N40" i="112"/>
  <c r="O40" i="192"/>
  <c r="CJ35" i="4" s="1"/>
  <c r="N40" i="198"/>
  <c r="O40" i="200"/>
  <c r="M40" i="154"/>
  <c r="M40" i="148"/>
  <c r="N40" i="194"/>
  <c r="M40" i="200"/>
  <c r="O40" i="194"/>
  <c r="N40" i="86"/>
  <c r="AW35" i="4" s="1"/>
  <c r="M40" i="86"/>
  <c r="AV35" i="4" s="1"/>
  <c r="O40" i="182"/>
  <c r="N40" i="146"/>
  <c r="M40" i="150"/>
  <c r="N40" i="148"/>
  <c r="O40" i="196"/>
  <c r="O40" i="118"/>
  <c r="M40" i="198"/>
  <c r="M40" i="202"/>
  <c r="N40" i="54"/>
  <c r="X35" i="4" s="1"/>
  <c r="M40" i="152"/>
  <c r="N40" i="152"/>
  <c r="O40" i="154"/>
  <c r="N40" i="118"/>
  <c r="M40" i="196"/>
  <c r="M40" i="112"/>
  <c r="O40" i="116"/>
  <c r="CD35" i="4" s="1"/>
  <c r="N40" i="110"/>
  <c r="BW35" i="4" s="1"/>
  <c r="O40" i="86"/>
  <c r="AX35" i="4" s="1"/>
  <c r="M40" i="194"/>
  <c r="O40" i="120"/>
  <c r="O40" i="152"/>
  <c r="N40" i="120"/>
  <c r="M40" i="44"/>
  <c r="N40" i="200"/>
  <c r="M40" i="190"/>
  <c r="O40" i="70"/>
  <c r="BA35" i="4" s="1"/>
  <c r="N40" i="180"/>
  <c r="O40" i="198"/>
  <c r="N40" i="150"/>
  <c r="N40" i="190"/>
  <c r="N40" i="44"/>
  <c r="N40" i="188"/>
  <c r="M40" i="88"/>
  <c r="BB35" i="4" s="1"/>
  <c r="O40" i="202"/>
  <c r="O40" i="180"/>
  <c r="O40" i="146"/>
  <c r="O40" i="148"/>
  <c r="M40" i="180"/>
  <c r="M40" i="146"/>
  <c r="O40" i="112"/>
  <c r="M40" i="70"/>
  <c r="AY35" i="4" s="1"/>
  <c r="N40" i="74"/>
  <c r="AN35" i="4" s="1"/>
  <c r="O40" i="88"/>
  <c r="BD35" i="4" s="1"/>
  <c r="O40" i="84"/>
  <c r="AR35" i="4" s="1"/>
  <c r="O40" i="68"/>
  <c r="AU35" i="4" s="1"/>
  <c r="N40" i="68"/>
  <c r="AT35" i="4" s="1"/>
  <c r="N40" i="78"/>
  <c r="BF35" i="4" s="1"/>
  <c r="M40" i="84"/>
  <c r="AP35" i="4" s="1"/>
  <c r="M40" i="110"/>
  <c r="BV35" i="4" s="1"/>
  <c r="N40" i="90"/>
  <c r="BI35" i="4" s="1"/>
  <c r="O40" i="78"/>
  <c r="BG35" i="4" s="1"/>
  <c r="N40" i="192"/>
  <c r="CI35" i="4" s="1"/>
  <c r="M40" i="54"/>
  <c r="W35" i="4" s="1"/>
  <c r="N40" i="72"/>
  <c r="AK35" i="4" s="1"/>
  <c r="N40" i="114"/>
  <c r="BQ35" i="4" s="1"/>
  <c r="M40" i="158"/>
  <c r="Z35" i="4" s="1"/>
  <c r="M40" i="72"/>
  <c r="AJ35" i="4" s="1"/>
  <c r="N40" i="88"/>
  <c r="BC35" i="4" s="1"/>
  <c r="M40" i="74"/>
  <c r="AM35" i="4" s="1"/>
  <c r="M40" i="116"/>
  <c r="CB35" i="4" s="1"/>
  <c r="O40" i="74"/>
  <c r="AO35" i="4" s="1"/>
  <c r="N40" i="84"/>
  <c r="AQ35" i="4" s="1"/>
  <c r="N40" i="48"/>
  <c r="AH35" i="4" s="1"/>
  <c r="M40" i="114"/>
  <c r="BP35" i="4" s="1"/>
  <c r="N40" i="158"/>
  <c r="AA35" i="4" s="1"/>
  <c r="M40" i="78"/>
  <c r="BE35" i="4" s="1"/>
  <c r="O40" i="72"/>
  <c r="AL35" i="4" s="1"/>
  <c r="M40" i="192"/>
  <c r="CH35" i="4" s="1"/>
  <c r="O40" i="54"/>
  <c r="Y35" i="4" s="1"/>
  <c r="N40" i="116"/>
  <c r="CC35" i="4" s="1"/>
  <c r="O40" i="110"/>
  <c r="BX35" i="4" s="1"/>
  <c r="M40" i="48"/>
  <c r="AG35" i="4" s="1"/>
  <c r="O40" i="108"/>
  <c r="BU35" i="4" s="1"/>
  <c r="N40" i="108"/>
  <c r="BT35" i="4" s="1"/>
  <c r="M40" i="108"/>
  <c r="BS35" i="4" s="1"/>
  <c r="M40" i="68"/>
  <c r="AS35" i="4" s="1"/>
  <c r="O40" i="48"/>
  <c r="AI35" i="4" s="1"/>
  <c r="O40" i="90"/>
  <c r="BJ35" i="4" s="1"/>
  <c r="O40" i="158"/>
  <c r="AB35" i="4" s="1"/>
  <c r="N40" i="70"/>
  <c r="AZ35" i="4" s="1"/>
  <c r="O40" i="114"/>
  <c r="BR35" i="4" s="1"/>
  <c r="AN13" i="4"/>
  <c r="AN24" i="4"/>
  <c r="AV24" i="4"/>
  <c r="AV13" i="4"/>
  <c r="V32" i="20"/>
  <c r="N17" i="20" s="1"/>
  <c r="N15" i="20"/>
  <c r="CC24" i="4"/>
  <c r="CC13" i="4"/>
  <c r="Z32" i="36"/>
  <c r="R17" i="36" s="1"/>
  <c r="R15" i="36"/>
  <c r="AQ43" i="4"/>
  <c r="F16" i="155"/>
  <c r="M15" i="24"/>
  <c r="U32" i="24"/>
  <c r="M17" i="24" s="1"/>
  <c r="Y32" i="208"/>
  <c r="Q17" i="208" s="1"/>
  <c r="Q15" i="208"/>
  <c r="O15" i="57"/>
  <c r="W32" i="57"/>
  <c r="O17" i="57" s="1"/>
  <c r="AR24" i="4"/>
  <c r="AR13" i="4"/>
  <c r="Z32" i="104"/>
  <c r="R17" i="104" s="1"/>
  <c r="R15" i="104"/>
  <c r="X32" i="82"/>
  <c r="P17" i="82" s="1"/>
  <c r="P15" i="82"/>
  <c r="M15" i="32"/>
  <c r="U32" i="32"/>
  <c r="M17" i="32" s="1"/>
  <c r="BQ13" i="4"/>
  <c r="BQ24" i="4"/>
  <c r="BJ24" i="4"/>
  <c r="BJ13" i="4"/>
  <c r="BZ13" i="4"/>
  <c r="CF24" i="4"/>
  <c r="CF13" i="4"/>
  <c r="BZ24" i="4"/>
  <c r="O15" i="22"/>
  <c r="W32" i="22"/>
  <c r="O17" i="22" s="1"/>
  <c r="O15" i="16"/>
  <c r="W32" i="16"/>
  <c r="O17" i="16" s="1"/>
  <c r="X32" i="160"/>
  <c r="P17" i="160" s="1"/>
  <c r="P15" i="160"/>
  <c r="O15" i="92"/>
  <c r="W32" i="92"/>
  <c r="O17" i="92" s="1"/>
  <c r="Q15" i="59"/>
  <c r="Y32" i="59"/>
  <c r="Q17" i="59" s="1"/>
  <c r="L24" i="17" l="1"/>
  <c r="L24" i="19"/>
  <c r="AI24" i="4"/>
  <c r="AB13" i="4"/>
  <c r="W53" i="105"/>
  <c r="T53" i="105"/>
  <c r="P53" i="105"/>
  <c r="L53" i="105"/>
  <c r="N53" i="105"/>
  <c r="Z53" i="105"/>
  <c r="N50" i="187"/>
  <c r="T50" i="187"/>
  <c r="P50" i="187"/>
  <c r="L50" i="187"/>
  <c r="W50" i="187"/>
  <c r="Z50" i="187"/>
  <c r="X15" i="4"/>
  <c r="Z46" i="17"/>
  <c r="AA46" i="17"/>
  <c r="L46" i="17"/>
  <c r="AB46" i="17"/>
  <c r="AA46" i="163"/>
  <c r="AB46" i="163"/>
  <c r="Z46" i="163"/>
  <c r="L46" i="163"/>
  <c r="AC49" i="213"/>
  <c r="L49" i="213"/>
  <c r="Z49" i="213"/>
  <c r="AB49" i="213"/>
  <c r="AA49" i="213"/>
  <c r="W51" i="193"/>
  <c r="P51" i="193"/>
  <c r="T51" i="193"/>
  <c r="N51" i="193"/>
  <c r="Z51" i="193"/>
  <c r="L51" i="193"/>
  <c r="P50" i="73"/>
  <c r="Z50" i="73"/>
  <c r="N50" i="73"/>
  <c r="L50" i="73"/>
  <c r="T50" i="73"/>
  <c r="W50" i="73"/>
  <c r="L51" i="113"/>
  <c r="T51" i="113"/>
  <c r="W51" i="113"/>
  <c r="P51" i="113"/>
  <c r="N51" i="113"/>
  <c r="Z51" i="113"/>
  <c r="Z49" i="145"/>
  <c r="W49" i="145"/>
  <c r="L49" i="145"/>
  <c r="T49" i="145"/>
  <c r="N49" i="145"/>
  <c r="P49" i="145"/>
  <c r="L33" i="189"/>
  <c r="P33" i="189"/>
  <c r="N33" i="189"/>
  <c r="P33" i="193"/>
  <c r="L33" i="193"/>
  <c r="N33" i="193"/>
  <c r="N33" i="113"/>
  <c r="L33" i="113"/>
  <c r="P33" i="113"/>
  <c r="L24" i="35"/>
  <c r="L34" i="35" s="1"/>
  <c r="L24" i="23"/>
  <c r="L34" i="23" s="1"/>
  <c r="P33" i="145"/>
  <c r="L33" i="145"/>
  <c r="N33" i="145"/>
  <c r="P33" i="69"/>
  <c r="L33" i="69"/>
  <c r="N33" i="69"/>
  <c r="L34" i="19"/>
  <c r="N24" i="19"/>
  <c r="O24" i="19"/>
  <c r="Q24" i="19"/>
  <c r="M24" i="19"/>
  <c r="P24" i="19"/>
  <c r="L27" i="197"/>
  <c r="M19" i="198" s="1"/>
  <c r="AW15" i="4"/>
  <c r="AH15" i="4"/>
  <c r="AB52" i="23"/>
  <c r="L52" i="23"/>
  <c r="AC52" i="23"/>
  <c r="AA52" i="23"/>
  <c r="AD52" i="23"/>
  <c r="Z52" i="23"/>
  <c r="Z49" i="43"/>
  <c r="P49" i="43"/>
  <c r="W49" i="43"/>
  <c r="T49" i="43"/>
  <c r="N49" i="43"/>
  <c r="L49" i="43"/>
  <c r="L48" i="111"/>
  <c r="Z48" i="111"/>
  <c r="T48" i="111"/>
  <c r="W48" i="111"/>
  <c r="P48" i="111"/>
  <c r="N48" i="111"/>
  <c r="P50" i="119"/>
  <c r="T50" i="119"/>
  <c r="W50" i="119"/>
  <c r="L50" i="119"/>
  <c r="Z50" i="119"/>
  <c r="N50" i="119"/>
  <c r="AD48" i="51"/>
  <c r="AB48" i="51"/>
  <c r="AA48" i="51"/>
  <c r="Z48" i="51"/>
  <c r="AC48" i="51"/>
  <c r="L48" i="51"/>
  <c r="Z47" i="153"/>
  <c r="W47" i="153"/>
  <c r="P47" i="153"/>
  <c r="T47" i="153"/>
  <c r="N47" i="153"/>
  <c r="L47" i="153"/>
  <c r="AB48" i="19"/>
  <c r="AA48" i="19"/>
  <c r="Z48" i="19"/>
  <c r="AC48" i="19"/>
  <c r="L48" i="19"/>
  <c r="AD48" i="19"/>
  <c r="Z50" i="197"/>
  <c r="N50" i="197"/>
  <c r="P50" i="197"/>
  <c r="W50" i="197"/>
  <c r="L50" i="197"/>
  <c r="T50" i="197"/>
  <c r="AA47" i="17"/>
  <c r="Z47" i="17"/>
  <c r="L47" i="17"/>
  <c r="AB47" i="17"/>
  <c r="AB47" i="209"/>
  <c r="Z47" i="209"/>
  <c r="L47" i="209"/>
  <c r="AC47" i="209"/>
  <c r="AD47" i="209"/>
  <c r="AA47" i="209"/>
  <c r="P35" i="187"/>
  <c r="N35" i="187"/>
  <c r="L35" i="187"/>
  <c r="L35" i="153"/>
  <c r="P35" i="153"/>
  <c r="N35" i="153"/>
  <c r="P35" i="199"/>
  <c r="N35" i="199"/>
  <c r="L35" i="199"/>
  <c r="L35" i="85"/>
  <c r="P35" i="85"/>
  <c r="N35" i="85"/>
  <c r="L35" i="89"/>
  <c r="N35" i="89"/>
  <c r="P35" i="89"/>
  <c r="P69" i="58"/>
  <c r="P67" i="58" s="1"/>
  <c r="Q23" i="59" s="1"/>
  <c r="M69" i="58"/>
  <c r="O69" i="58"/>
  <c r="O67" i="58" s="1"/>
  <c r="P23" i="59" s="1"/>
  <c r="Q69" i="58"/>
  <c r="Q67" i="58" s="1"/>
  <c r="R23" i="59" s="1"/>
  <c r="N69" i="58"/>
  <c r="N67" i="58" s="1"/>
  <c r="O23" i="59" s="1"/>
  <c r="L46" i="85"/>
  <c r="W46" i="85"/>
  <c r="Z46" i="85"/>
  <c r="N46" i="85"/>
  <c r="T46" i="85"/>
  <c r="P46" i="85"/>
  <c r="P46" i="107"/>
  <c r="T46" i="107"/>
  <c r="N46" i="107"/>
  <c r="Z46" i="107"/>
  <c r="W46" i="107"/>
  <c r="L46" i="107"/>
  <c r="T46" i="187"/>
  <c r="N46" i="187"/>
  <c r="L46" i="187"/>
  <c r="W46" i="187"/>
  <c r="Z46" i="187"/>
  <c r="P46" i="187"/>
  <c r="Z46" i="105"/>
  <c r="W46" i="105"/>
  <c r="P46" i="105"/>
  <c r="N46" i="105"/>
  <c r="T46" i="105"/>
  <c r="L46" i="105"/>
  <c r="Z46" i="191"/>
  <c r="W46" i="191"/>
  <c r="T46" i="191"/>
  <c r="N46" i="191"/>
  <c r="P46" i="191"/>
  <c r="L46" i="191"/>
  <c r="Z54" i="181"/>
  <c r="T54" i="181"/>
  <c r="L54" i="181"/>
  <c r="N54" i="181"/>
  <c r="W54" i="181"/>
  <c r="P54" i="181"/>
  <c r="Z47" i="53"/>
  <c r="P47" i="53"/>
  <c r="T47" i="53"/>
  <c r="L47" i="53"/>
  <c r="N47" i="53"/>
  <c r="W47" i="53"/>
  <c r="Z47" i="109"/>
  <c r="P47" i="109"/>
  <c r="L47" i="109"/>
  <c r="N47" i="109"/>
  <c r="T47" i="109"/>
  <c r="W47" i="109"/>
  <c r="P36" i="119"/>
  <c r="N36" i="119"/>
  <c r="L36" i="119"/>
  <c r="L36" i="153"/>
  <c r="P36" i="153"/>
  <c r="N36" i="153"/>
  <c r="N36" i="89"/>
  <c r="P36" i="89"/>
  <c r="L36" i="89"/>
  <c r="L36" i="105"/>
  <c r="P36" i="105"/>
  <c r="N36" i="105"/>
  <c r="BT15" i="4"/>
  <c r="M69" i="35"/>
  <c r="O69" i="35"/>
  <c r="O67" i="35" s="1"/>
  <c r="P23" i="36" s="1"/>
  <c r="M69" i="91"/>
  <c r="N69" i="91"/>
  <c r="N67" i="91" s="1"/>
  <c r="O23" i="92" s="1"/>
  <c r="O69" i="91"/>
  <c r="O67" i="91" s="1"/>
  <c r="P23" i="92" s="1"/>
  <c r="P69" i="91"/>
  <c r="P67" i="91" s="1"/>
  <c r="Q23" i="92" s="1"/>
  <c r="Z45" i="87"/>
  <c r="P45" i="87"/>
  <c r="W45" i="87"/>
  <c r="T45" i="87"/>
  <c r="L45" i="87"/>
  <c r="N45" i="87"/>
  <c r="Z51" i="23"/>
  <c r="L51" i="23"/>
  <c r="AC51" i="23"/>
  <c r="AA51" i="23"/>
  <c r="AD51" i="23"/>
  <c r="AB51" i="23"/>
  <c r="P46" i="73"/>
  <c r="N46" i="73"/>
  <c r="L46" i="73"/>
  <c r="T46" i="73"/>
  <c r="Z46" i="73"/>
  <c r="W46" i="73"/>
  <c r="N55" i="73"/>
  <c r="P55" i="73"/>
  <c r="L55" i="73"/>
  <c r="Z55" i="73"/>
  <c r="W55" i="73"/>
  <c r="T55" i="73"/>
  <c r="L68" i="119"/>
  <c r="L67" i="119" s="1"/>
  <c r="M23" i="120" s="1"/>
  <c r="N68" i="119"/>
  <c r="N67" i="119" s="1"/>
  <c r="N23" i="120" s="1"/>
  <c r="P68" i="119"/>
  <c r="P67" i="119" s="1"/>
  <c r="O23" i="120" s="1"/>
  <c r="N34" i="199"/>
  <c r="L34" i="199"/>
  <c r="P34" i="199"/>
  <c r="Z32" i="24"/>
  <c r="R17" i="24" s="1"/>
  <c r="R51" i="24" s="1"/>
  <c r="P37" i="199"/>
  <c r="O21" i="200" s="1"/>
  <c r="N45" i="71"/>
  <c r="P45" i="71"/>
  <c r="W45" i="71"/>
  <c r="Z45" i="71"/>
  <c r="T45" i="71"/>
  <c r="L45" i="71"/>
  <c r="W52" i="43"/>
  <c r="L52" i="43"/>
  <c r="T52" i="43"/>
  <c r="P52" i="43"/>
  <c r="N52" i="43"/>
  <c r="Z52" i="43"/>
  <c r="P52" i="53"/>
  <c r="W52" i="53"/>
  <c r="T52" i="53"/>
  <c r="L52" i="53"/>
  <c r="N52" i="53"/>
  <c r="Z52" i="53"/>
  <c r="Z52" i="73"/>
  <c r="P52" i="73"/>
  <c r="L52" i="73"/>
  <c r="N52" i="73"/>
  <c r="T52" i="73"/>
  <c r="W52" i="73"/>
  <c r="W45" i="109"/>
  <c r="L45" i="109"/>
  <c r="N45" i="109"/>
  <c r="Z45" i="109"/>
  <c r="T45" i="109"/>
  <c r="P45" i="109"/>
  <c r="P45" i="193"/>
  <c r="N45" i="193"/>
  <c r="T45" i="193"/>
  <c r="L45" i="193"/>
  <c r="Z45" i="193"/>
  <c r="W45" i="193"/>
  <c r="Z45" i="197"/>
  <c r="W45" i="197"/>
  <c r="P45" i="197"/>
  <c r="L45" i="197"/>
  <c r="N45" i="197"/>
  <c r="T45" i="197"/>
  <c r="P58" i="179"/>
  <c r="O25" i="180" s="1"/>
  <c r="L58" i="189"/>
  <c r="M25" i="190" s="1"/>
  <c r="P37" i="193"/>
  <c r="O21" i="194" s="1"/>
  <c r="L51" i="49"/>
  <c r="Z51" i="49"/>
  <c r="AA51" i="49"/>
  <c r="AA51" i="163"/>
  <c r="L51" i="163"/>
  <c r="AB51" i="163"/>
  <c r="Z51" i="163"/>
  <c r="W52" i="83"/>
  <c r="Z52" i="83"/>
  <c r="L52" i="83"/>
  <c r="P52" i="83"/>
  <c r="N52" i="83"/>
  <c r="T52" i="83"/>
  <c r="N52" i="187"/>
  <c r="T52" i="187"/>
  <c r="W52" i="187"/>
  <c r="L52" i="187"/>
  <c r="Z52" i="187"/>
  <c r="P52" i="187"/>
  <c r="N54" i="71"/>
  <c r="P54" i="71"/>
  <c r="L54" i="71"/>
  <c r="T54" i="71"/>
  <c r="Z54" i="71"/>
  <c r="W54" i="71"/>
  <c r="P53" i="45"/>
  <c r="L53" i="45"/>
  <c r="W53" i="45"/>
  <c r="T53" i="45"/>
  <c r="N53" i="45"/>
  <c r="Z53" i="45"/>
  <c r="P55" i="45"/>
  <c r="L55" i="45"/>
  <c r="W55" i="45"/>
  <c r="T55" i="45"/>
  <c r="Z55" i="45"/>
  <c r="N55" i="45"/>
  <c r="W48" i="45"/>
  <c r="T48" i="45"/>
  <c r="L48" i="45"/>
  <c r="Z48" i="45"/>
  <c r="N48" i="45"/>
  <c r="P48" i="45"/>
  <c r="AB49" i="163"/>
  <c r="AA49" i="163"/>
  <c r="L49" i="163"/>
  <c r="Z49" i="163"/>
  <c r="L49" i="209"/>
  <c r="AD49" i="209"/>
  <c r="AB49" i="209"/>
  <c r="AA49" i="209"/>
  <c r="AC49" i="209"/>
  <c r="Z49" i="209"/>
  <c r="AB50" i="23"/>
  <c r="AA50" i="23"/>
  <c r="L50" i="23"/>
  <c r="Z50" i="23"/>
  <c r="AB51" i="215"/>
  <c r="L51" i="215"/>
  <c r="AC51" i="215"/>
  <c r="Z51" i="215"/>
  <c r="AA51" i="215"/>
  <c r="L61" i="159"/>
  <c r="N37" i="201"/>
  <c r="N21" i="202" s="1"/>
  <c r="P37" i="109"/>
  <c r="O21" i="110" s="1"/>
  <c r="BX17" i="4" s="1"/>
  <c r="P58" i="113"/>
  <c r="O25" i="114" s="1"/>
  <c r="BR19" i="4" s="1"/>
  <c r="Z48" i="85"/>
  <c r="T48" i="85"/>
  <c r="P48" i="85"/>
  <c r="L48" i="85"/>
  <c r="W48" i="85"/>
  <c r="N48" i="85"/>
  <c r="P48" i="67"/>
  <c r="L48" i="67"/>
  <c r="Z48" i="67"/>
  <c r="T48" i="67"/>
  <c r="W48" i="67"/>
  <c r="N48" i="67"/>
  <c r="AA49" i="49"/>
  <c r="L49" i="49"/>
  <c r="Z49" i="49"/>
  <c r="N27" i="181"/>
  <c r="N19" i="182" s="1"/>
  <c r="N59" i="159"/>
  <c r="O25" i="160" s="1"/>
  <c r="O59" i="207"/>
  <c r="P25" i="208" s="1"/>
  <c r="P58" i="117"/>
  <c r="O25" i="118" s="1"/>
  <c r="P27" i="195"/>
  <c r="O19" i="196" s="1"/>
  <c r="N68" i="179"/>
  <c r="N67" i="179" s="1"/>
  <c r="N23" i="180" s="1"/>
  <c r="P68" i="179"/>
  <c r="P67" i="179" s="1"/>
  <c r="O23" i="180" s="1"/>
  <c r="L68" i="179"/>
  <c r="L67" i="179" s="1"/>
  <c r="M23" i="180" s="1"/>
  <c r="P68" i="105"/>
  <c r="P67" i="105" s="1"/>
  <c r="O23" i="106" s="1"/>
  <c r="BO20" i="4" s="1"/>
  <c r="L68" i="105"/>
  <c r="L67" i="105" s="1"/>
  <c r="M23" i="106" s="1"/>
  <c r="BM20" i="4" s="1"/>
  <c r="N68" i="105"/>
  <c r="N67" i="105" s="1"/>
  <c r="N23" i="106" s="1"/>
  <c r="BN20" i="4" s="1"/>
  <c r="N50" i="47"/>
  <c r="L50" i="47"/>
  <c r="P50" i="47"/>
  <c r="Z50" i="47"/>
  <c r="T50" i="47"/>
  <c r="W50" i="47"/>
  <c r="W52" i="197"/>
  <c r="P52" i="197"/>
  <c r="Z52" i="197"/>
  <c r="N52" i="197"/>
  <c r="T52" i="197"/>
  <c r="L52" i="197"/>
  <c r="L50" i="87"/>
  <c r="Z50" i="87"/>
  <c r="W50" i="87"/>
  <c r="N50" i="87"/>
  <c r="T50" i="87"/>
  <c r="P50" i="87"/>
  <c r="T47" i="189"/>
  <c r="Z47" i="189"/>
  <c r="L47" i="189"/>
  <c r="P47" i="189"/>
  <c r="N47" i="189"/>
  <c r="W47" i="189"/>
  <c r="L47" i="213"/>
  <c r="AC47" i="213"/>
  <c r="AB47" i="213"/>
  <c r="AA47" i="213"/>
  <c r="Z47" i="213"/>
  <c r="Z47" i="111"/>
  <c r="P47" i="111"/>
  <c r="W47" i="111"/>
  <c r="N47" i="111"/>
  <c r="L47" i="111"/>
  <c r="T47" i="111"/>
  <c r="L27" i="149"/>
  <c r="M19" i="150" s="1"/>
  <c r="P37" i="107"/>
  <c r="O21" i="108" s="1"/>
  <c r="BU17" i="4" s="1"/>
  <c r="N37" i="111"/>
  <c r="N21" i="112" s="1"/>
  <c r="N59" i="65"/>
  <c r="O25" i="66" s="1"/>
  <c r="AB52" i="81"/>
  <c r="AA52" i="81"/>
  <c r="L52" i="81"/>
  <c r="Z52" i="81"/>
  <c r="N34" i="117"/>
  <c r="L34" i="117"/>
  <c r="P34" i="117"/>
  <c r="L34" i="47"/>
  <c r="P34" i="47"/>
  <c r="N34" i="47"/>
  <c r="P34" i="89"/>
  <c r="L34" i="89"/>
  <c r="N34" i="89"/>
  <c r="N34" i="151"/>
  <c r="P34" i="151"/>
  <c r="L34" i="151"/>
  <c r="L34" i="149"/>
  <c r="P34" i="149"/>
  <c r="N34" i="149"/>
  <c r="N34" i="145"/>
  <c r="P34" i="145"/>
  <c r="L34" i="145"/>
  <c r="P58" i="195"/>
  <c r="O25" i="196" s="1"/>
  <c r="AD46" i="19"/>
  <c r="L46" i="19"/>
  <c r="AA46" i="19"/>
  <c r="AC46" i="19"/>
  <c r="Z46" i="19"/>
  <c r="AB46" i="19"/>
  <c r="AB46" i="207"/>
  <c r="L46" i="207"/>
  <c r="AC46" i="207"/>
  <c r="Z46" i="207"/>
  <c r="AA46" i="207"/>
  <c r="AA46" i="49"/>
  <c r="L46" i="49"/>
  <c r="Z46" i="49"/>
  <c r="N51" i="149"/>
  <c r="P51" i="149"/>
  <c r="T51" i="149"/>
  <c r="W51" i="149"/>
  <c r="L51" i="149"/>
  <c r="Z51" i="149"/>
  <c r="N50" i="179"/>
  <c r="W50" i="179"/>
  <c r="P50" i="179"/>
  <c r="Z50" i="179"/>
  <c r="T50" i="179"/>
  <c r="L50" i="179"/>
  <c r="W50" i="67"/>
  <c r="L50" i="67"/>
  <c r="Z50" i="67"/>
  <c r="P50" i="67"/>
  <c r="T50" i="67"/>
  <c r="N50" i="67"/>
  <c r="Z49" i="111"/>
  <c r="N49" i="111"/>
  <c r="W49" i="111"/>
  <c r="T49" i="111"/>
  <c r="L49" i="111"/>
  <c r="P49" i="111"/>
  <c r="P27" i="67"/>
  <c r="O19" i="68" s="1"/>
  <c r="L33" i="181"/>
  <c r="P33" i="181"/>
  <c r="N33" i="181"/>
  <c r="N33" i="115"/>
  <c r="L33" i="115"/>
  <c r="P33" i="115"/>
  <c r="N33" i="201"/>
  <c r="L33" i="201"/>
  <c r="P33" i="201"/>
  <c r="L33" i="89"/>
  <c r="N33" i="89"/>
  <c r="P33" i="89"/>
  <c r="L33" i="105"/>
  <c r="N33" i="105"/>
  <c r="P33" i="105"/>
  <c r="L24" i="31"/>
  <c r="L34" i="31" s="1"/>
  <c r="L24" i="15"/>
  <c r="L34" i="15" s="1"/>
  <c r="N33" i="53"/>
  <c r="L33" i="53"/>
  <c r="P33" i="53"/>
  <c r="L27" i="117"/>
  <c r="M19" i="118" s="1"/>
  <c r="P58" i="53"/>
  <c r="O25" i="54" s="1"/>
  <c r="Y19" i="4" s="1"/>
  <c r="P27" i="85"/>
  <c r="O19" i="86" s="1"/>
  <c r="P37" i="119"/>
  <c r="O21" i="120" s="1"/>
  <c r="N58" i="67"/>
  <c r="N25" i="68" s="1"/>
  <c r="AT19" i="4" s="1"/>
  <c r="L58" i="149"/>
  <c r="M25" i="150" s="1"/>
  <c r="N27" i="193"/>
  <c r="N19" i="194" s="1"/>
  <c r="AA52" i="56"/>
  <c r="Z52" i="56"/>
  <c r="AB52" i="56"/>
  <c r="L52" i="56"/>
  <c r="Z49" i="31"/>
  <c r="AC49" i="31"/>
  <c r="AA49" i="31"/>
  <c r="L49" i="31"/>
  <c r="AB49" i="31"/>
  <c r="P49" i="157"/>
  <c r="Z49" i="157"/>
  <c r="W49" i="157"/>
  <c r="L49" i="157"/>
  <c r="N49" i="157"/>
  <c r="T49" i="157"/>
  <c r="P49" i="71"/>
  <c r="T49" i="71"/>
  <c r="L49" i="71"/>
  <c r="W49" i="71"/>
  <c r="N49" i="71"/>
  <c r="Z49" i="71"/>
  <c r="AD48" i="209"/>
  <c r="AA48" i="209"/>
  <c r="AC48" i="209"/>
  <c r="Z48" i="209"/>
  <c r="AB48" i="209"/>
  <c r="L48" i="209"/>
  <c r="Z48" i="49"/>
  <c r="L48" i="49"/>
  <c r="AA48" i="49"/>
  <c r="Z48" i="163"/>
  <c r="L48" i="163"/>
  <c r="AA48" i="163"/>
  <c r="AB48" i="211"/>
  <c r="AA48" i="211"/>
  <c r="Z48" i="211"/>
  <c r="AC48" i="211"/>
  <c r="L48" i="211"/>
  <c r="Z47" i="65"/>
  <c r="AC47" i="65"/>
  <c r="AB47" i="65"/>
  <c r="L47" i="65"/>
  <c r="AA47" i="65"/>
  <c r="AB47" i="163"/>
  <c r="Z47" i="163"/>
  <c r="L47" i="163"/>
  <c r="AA47" i="163"/>
  <c r="L35" i="107"/>
  <c r="N35" i="107"/>
  <c r="P35" i="107"/>
  <c r="L35" i="195"/>
  <c r="P35" i="195"/>
  <c r="N35" i="195"/>
  <c r="P35" i="191"/>
  <c r="L35" i="191"/>
  <c r="N35" i="191"/>
  <c r="P35" i="151"/>
  <c r="L35" i="151"/>
  <c r="N35" i="151"/>
  <c r="N35" i="111"/>
  <c r="L35" i="111"/>
  <c r="P35" i="111"/>
  <c r="P58" i="201"/>
  <c r="O25" i="202" s="1"/>
  <c r="P37" i="197"/>
  <c r="O21" i="198" s="1"/>
  <c r="L37" i="147"/>
  <c r="M21" i="148" s="1"/>
  <c r="L37" i="73"/>
  <c r="M21" i="74" s="1"/>
  <c r="AM17" i="4" s="1"/>
  <c r="P58" i="45"/>
  <c r="O25" i="46" s="1"/>
  <c r="AE19" i="4" s="1"/>
  <c r="N37" i="199"/>
  <c r="N21" i="200" s="1"/>
  <c r="L46" i="69"/>
  <c r="W46" i="69"/>
  <c r="N46" i="69"/>
  <c r="P46" i="69"/>
  <c r="Z46" i="69"/>
  <c r="T46" i="69"/>
  <c r="Z46" i="157"/>
  <c r="N46" i="157"/>
  <c r="T46" i="157"/>
  <c r="W46" i="157"/>
  <c r="P46" i="157"/>
  <c r="L46" i="157"/>
  <c r="W47" i="119"/>
  <c r="T47" i="119"/>
  <c r="N47" i="119"/>
  <c r="L47" i="119"/>
  <c r="P47" i="119"/>
  <c r="Z47" i="119"/>
  <c r="W46" i="67"/>
  <c r="P46" i="67"/>
  <c r="T46" i="67"/>
  <c r="Z46" i="67"/>
  <c r="N46" i="67"/>
  <c r="L46" i="67"/>
  <c r="Z49" i="151"/>
  <c r="N49" i="151"/>
  <c r="P49" i="151"/>
  <c r="L49" i="151"/>
  <c r="T49" i="151"/>
  <c r="W49" i="151"/>
  <c r="Z53" i="56"/>
  <c r="AA53" i="56"/>
  <c r="AB53" i="56"/>
  <c r="L53" i="56"/>
  <c r="Z47" i="71"/>
  <c r="P47" i="71"/>
  <c r="N47" i="71"/>
  <c r="L47" i="71"/>
  <c r="W47" i="71"/>
  <c r="T47" i="71"/>
  <c r="N47" i="67"/>
  <c r="Z47" i="67"/>
  <c r="W47" i="67"/>
  <c r="L47" i="67"/>
  <c r="T47" i="67"/>
  <c r="P47" i="67"/>
  <c r="P27" i="119"/>
  <c r="O19" i="120" s="1"/>
  <c r="N36" i="189"/>
  <c r="L36" i="189"/>
  <c r="P36" i="189"/>
  <c r="L36" i="179"/>
  <c r="N36" i="179"/>
  <c r="P36" i="179"/>
  <c r="N36" i="109"/>
  <c r="P36" i="109"/>
  <c r="L36" i="109"/>
  <c r="N36" i="107"/>
  <c r="P36" i="107"/>
  <c r="L36" i="107"/>
  <c r="L27" i="107"/>
  <c r="M19" i="108" s="1"/>
  <c r="N27" i="109"/>
  <c r="N19" i="110" s="1"/>
  <c r="N37" i="113"/>
  <c r="N21" i="114" s="1"/>
  <c r="BQ17" i="4" s="1"/>
  <c r="P58" i="43"/>
  <c r="O25" i="44" s="1"/>
  <c r="O69" i="103"/>
  <c r="O67" i="103" s="1"/>
  <c r="P23" i="104" s="1"/>
  <c r="N69" i="103"/>
  <c r="N67" i="103" s="1"/>
  <c r="O23" i="104" s="1"/>
  <c r="P69" i="103"/>
  <c r="P67" i="103" s="1"/>
  <c r="Q23" i="104" s="1"/>
  <c r="Q69" i="103"/>
  <c r="Q67" i="103" s="1"/>
  <c r="R23" i="104" s="1"/>
  <c r="M69" i="103"/>
  <c r="O69" i="207"/>
  <c r="O67" i="207" s="1"/>
  <c r="P23" i="208" s="1"/>
  <c r="M69" i="207"/>
  <c r="P69" i="207"/>
  <c r="P67" i="207" s="1"/>
  <c r="Q23" i="208" s="1"/>
  <c r="Q69" i="207"/>
  <c r="Q67" i="207" s="1"/>
  <c r="R23" i="208" s="1"/>
  <c r="N69" i="207"/>
  <c r="N67" i="207" s="1"/>
  <c r="O23" i="208" s="1"/>
  <c r="L27" i="187"/>
  <c r="M19" i="188" s="1"/>
  <c r="L27" i="201"/>
  <c r="M19" i="202" s="1"/>
  <c r="N52" i="115"/>
  <c r="T52" i="115"/>
  <c r="L52" i="115"/>
  <c r="W52" i="115"/>
  <c r="Z52" i="115"/>
  <c r="P52" i="115"/>
  <c r="P55" i="83"/>
  <c r="N55" i="83"/>
  <c r="T55" i="83"/>
  <c r="Z55" i="83"/>
  <c r="L55" i="83"/>
  <c r="W55" i="83"/>
  <c r="AB51" i="213"/>
  <c r="AA51" i="213"/>
  <c r="L51" i="213"/>
  <c r="AC51" i="213"/>
  <c r="Z51" i="213"/>
  <c r="L68" i="111"/>
  <c r="L67" i="111" s="1"/>
  <c r="M23" i="112" s="1"/>
  <c r="P68" i="111"/>
  <c r="P67" i="111" s="1"/>
  <c r="O23" i="112" s="1"/>
  <c r="N68" i="111"/>
  <c r="N67" i="111" s="1"/>
  <c r="N23" i="112" s="1"/>
  <c r="L47" i="211"/>
  <c r="AB47" i="211"/>
  <c r="AC47" i="211"/>
  <c r="AA47" i="211"/>
  <c r="Z47" i="211"/>
  <c r="L34" i="53"/>
  <c r="N34" i="53"/>
  <c r="P34" i="53"/>
  <c r="Z52" i="105"/>
  <c r="W52" i="105"/>
  <c r="T52" i="105"/>
  <c r="N52" i="105"/>
  <c r="P52" i="105"/>
  <c r="L52" i="105"/>
  <c r="Z45" i="73"/>
  <c r="N45" i="73"/>
  <c r="W45" i="73"/>
  <c r="P45" i="73"/>
  <c r="T45" i="73"/>
  <c r="L45" i="73"/>
  <c r="L52" i="191"/>
  <c r="T52" i="191"/>
  <c r="P52" i="191"/>
  <c r="W52" i="191"/>
  <c r="Z52" i="191"/>
  <c r="N52" i="191"/>
  <c r="W51" i="187"/>
  <c r="Z51" i="187"/>
  <c r="P51" i="187"/>
  <c r="T51" i="187"/>
  <c r="N51" i="187"/>
  <c r="L51" i="187"/>
  <c r="W52" i="117"/>
  <c r="N52" i="117"/>
  <c r="P52" i="117"/>
  <c r="L52" i="117"/>
  <c r="Z52" i="117"/>
  <c r="T52" i="117"/>
  <c r="W45" i="201"/>
  <c r="L45" i="201"/>
  <c r="T45" i="201"/>
  <c r="P45" i="201"/>
  <c r="Z45" i="201"/>
  <c r="N45" i="201"/>
  <c r="W45" i="115"/>
  <c r="T45" i="115"/>
  <c r="L45" i="115"/>
  <c r="Z45" i="115"/>
  <c r="N45" i="115"/>
  <c r="P45" i="115"/>
  <c r="N45" i="181"/>
  <c r="L45" i="181"/>
  <c r="T45" i="181"/>
  <c r="W45" i="181"/>
  <c r="P45" i="181"/>
  <c r="Z45" i="181"/>
  <c r="L37" i="193"/>
  <c r="M21" i="194" s="1"/>
  <c r="N52" i="89"/>
  <c r="Z52" i="89"/>
  <c r="P52" i="89"/>
  <c r="T52" i="89"/>
  <c r="W52" i="89"/>
  <c r="L52" i="89"/>
  <c r="Z51" i="21"/>
  <c r="AA51" i="21"/>
  <c r="AB51" i="21"/>
  <c r="L51" i="21"/>
  <c r="N58" i="73"/>
  <c r="N25" i="74" s="1"/>
  <c r="AN19" i="4" s="1"/>
  <c r="Z53" i="53"/>
  <c r="T53" i="53"/>
  <c r="N53" i="53"/>
  <c r="P53" i="53"/>
  <c r="W53" i="53"/>
  <c r="L53" i="53"/>
  <c r="N49" i="45"/>
  <c r="W49" i="45"/>
  <c r="T49" i="45"/>
  <c r="P49" i="45"/>
  <c r="Z49" i="45"/>
  <c r="L49" i="45"/>
  <c r="L49" i="201"/>
  <c r="Z49" i="201"/>
  <c r="T49" i="201"/>
  <c r="P49" i="201"/>
  <c r="N49" i="201"/>
  <c r="W49" i="201"/>
  <c r="N46" i="43"/>
  <c r="T46" i="43"/>
  <c r="L46" i="43"/>
  <c r="W46" i="43"/>
  <c r="P46" i="43"/>
  <c r="Z46" i="43"/>
  <c r="W50" i="89"/>
  <c r="P50" i="89"/>
  <c r="Z50" i="89"/>
  <c r="N50" i="89"/>
  <c r="L50" i="89"/>
  <c r="T50" i="89"/>
  <c r="AB50" i="215"/>
  <c r="AC50" i="215"/>
  <c r="Z50" i="215"/>
  <c r="L50" i="215"/>
  <c r="AA50" i="215"/>
  <c r="L50" i="25"/>
  <c r="Z50" i="25"/>
  <c r="AB50" i="25"/>
  <c r="AA50" i="25"/>
  <c r="AC50" i="207"/>
  <c r="Z50" i="207"/>
  <c r="L50" i="207"/>
  <c r="AB50" i="207"/>
  <c r="AA50" i="207"/>
  <c r="L37" i="189"/>
  <c r="M21" i="190" s="1"/>
  <c r="N37" i="109"/>
  <c r="N21" i="110" s="1"/>
  <c r="BW17" i="4" s="1"/>
  <c r="N27" i="115"/>
  <c r="N19" i="116" s="1"/>
  <c r="L46" i="195"/>
  <c r="N46" i="195"/>
  <c r="W46" i="195"/>
  <c r="T46" i="195"/>
  <c r="Z46" i="195"/>
  <c r="P46" i="195"/>
  <c r="L48" i="191"/>
  <c r="Z48" i="191"/>
  <c r="P48" i="191"/>
  <c r="N48" i="191"/>
  <c r="T48" i="191"/>
  <c r="W48" i="191"/>
  <c r="P49" i="149"/>
  <c r="L49" i="149"/>
  <c r="Z49" i="149"/>
  <c r="T49" i="149"/>
  <c r="W49" i="149"/>
  <c r="N49" i="149"/>
  <c r="Z49" i="25"/>
  <c r="AA49" i="25"/>
  <c r="AB49" i="25"/>
  <c r="L49" i="25"/>
  <c r="L27" i="181"/>
  <c r="M19" i="182" s="1"/>
  <c r="P58" i="119"/>
  <c r="O25" i="120" s="1"/>
  <c r="O59" i="159"/>
  <c r="P25" i="160" s="1"/>
  <c r="L27" i="199"/>
  <c r="M19" i="200" s="1"/>
  <c r="L59" i="207"/>
  <c r="M25" i="208" s="1"/>
  <c r="L19" i="4" s="1"/>
  <c r="L27" i="195"/>
  <c r="M19" i="196" s="1"/>
  <c r="N68" i="107"/>
  <c r="N67" i="107" s="1"/>
  <c r="N23" i="108" s="1"/>
  <c r="BT20" i="4" s="1"/>
  <c r="L68" i="107"/>
  <c r="L67" i="107" s="1"/>
  <c r="M23" i="108" s="1"/>
  <c r="BS20" i="4" s="1"/>
  <c r="P68" i="107"/>
  <c r="P67" i="107" s="1"/>
  <c r="O23" i="108" s="1"/>
  <c r="BU20" i="4" s="1"/>
  <c r="P68" i="71"/>
  <c r="P67" i="71" s="1"/>
  <c r="O23" i="72" s="1"/>
  <c r="AL20" i="4" s="1"/>
  <c r="N68" i="71"/>
  <c r="N67" i="71" s="1"/>
  <c r="N23" i="72" s="1"/>
  <c r="AK20" i="4" s="1"/>
  <c r="L68" i="71"/>
  <c r="L67" i="71" s="1"/>
  <c r="M23" i="72" s="1"/>
  <c r="AJ20" i="4" s="1"/>
  <c r="L58" i="85"/>
  <c r="M25" i="86" s="1"/>
  <c r="AV19" i="4" s="1"/>
  <c r="N49" i="105"/>
  <c r="P49" i="105"/>
  <c r="T49" i="105"/>
  <c r="L49" i="105"/>
  <c r="W49" i="105"/>
  <c r="Z49" i="105"/>
  <c r="N50" i="111"/>
  <c r="W50" i="111"/>
  <c r="P50" i="111"/>
  <c r="Z50" i="111"/>
  <c r="L50" i="111"/>
  <c r="T50" i="111"/>
  <c r="T52" i="157"/>
  <c r="W52" i="157"/>
  <c r="L52" i="157"/>
  <c r="N52" i="157"/>
  <c r="Z52" i="157"/>
  <c r="P52" i="157"/>
  <c r="Z47" i="147"/>
  <c r="L47" i="147"/>
  <c r="T47" i="147"/>
  <c r="N47" i="147"/>
  <c r="W47" i="147"/>
  <c r="P47" i="147"/>
  <c r="L47" i="87"/>
  <c r="N47" i="87"/>
  <c r="W47" i="87"/>
  <c r="T47" i="87"/>
  <c r="Z47" i="87"/>
  <c r="P47" i="87"/>
  <c r="P50" i="153"/>
  <c r="N50" i="153"/>
  <c r="T50" i="153"/>
  <c r="Z50" i="153"/>
  <c r="W50" i="153"/>
  <c r="L50" i="153"/>
  <c r="P37" i="191"/>
  <c r="O21" i="192" s="1"/>
  <c r="CJ17" i="4" s="1"/>
  <c r="P58" i="109"/>
  <c r="O25" i="110" s="1"/>
  <c r="BX19" i="4" s="1"/>
  <c r="L37" i="111"/>
  <c r="M21" i="112" s="1"/>
  <c r="O59" i="65"/>
  <c r="P25" i="66" s="1"/>
  <c r="Z52" i="49"/>
  <c r="AA52" i="49"/>
  <c r="L52" i="49"/>
  <c r="P34" i="71"/>
  <c r="N34" i="71"/>
  <c r="L34" i="71"/>
  <c r="L34" i="111"/>
  <c r="N34" i="111"/>
  <c r="P34" i="111"/>
  <c r="L34" i="181"/>
  <c r="N34" i="181"/>
  <c r="P34" i="181"/>
  <c r="P34" i="187"/>
  <c r="L34" i="187"/>
  <c r="N34" i="187"/>
  <c r="P34" i="195"/>
  <c r="N34" i="195"/>
  <c r="L34" i="195"/>
  <c r="N34" i="153"/>
  <c r="P34" i="153"/>
  <c r="L34" i="153"/>
  <c r="L27" i="145"/>
  <c r="M19" i="146" s="1"/>
  <c r="AA46" i="65"/>
  <c r="Z46" i="65"/>
  <c r="AB46" i="65"/>
  <c r="O43" i="65" s="1"/>
  <c r="P24" i="66" s="1"/>
  <c r="AC46" i="65"/>
  <c r="L46" i="65"/>
  <c r="AA46" i="25"/>
  <c r="L46" i="25"/>
  <c r="AB46" i="25"/>
  <c r="Z46" i="25"/>
  <c r="AC46" i="103"/>
  <c r="Z46" i="103"/>
  <c r="AA46" i="103"/>
  <c r="AB46" i="103"/>
  <c r="L46" i="103"/>
  <c r="Z48" i="115"/>
  <c r="N48" i="115"/>
  <c r="W48" i="115"/>
  <c r="T48" i="115"/>
  <c r="P48" i="115"/>
  <c r="L48" i="115"/>
  <c r="P48" i="117"/>
  <c r="W48" i="117"/>
  <c r="N48" i="117"/>
  <c r="T48" i="117"/>
  <c r="L48" i="117"/>
  <c r="Z48" i="117"/>
  <c r="Z50" i="157"/>
  <c r="W50" i="157"/>
  <c r="P50" i="157"/>
  <c r="L50" i="157"/>
  <c r="T50" i="157"/>
  <c r="N50" i="157"/>
  <c r="W50" i="71"/>
  <c r="P50" i="71"/>
  <c r="T50" i="71"/>
  <c r="Z50" i="71"/>
  <c r="L50" i="71"/>
  <c r="N50" i="71"/>
  <c r="L27" i="67"/>
  <c r="M19" i="68" s="1"/>
  <c r="L24" i="25"/>
  <c r="L34" i="25" s="1"/>
  <c r="L33" i="153"/>
  <c r="N33" i="153"/>
  <c r="P33" i="153"/>
  <c r="N33" i="199"/>
  <c r="P33" i="199"/>
  <c r="L33" i="199"/>
  <c r="L33" i="87"/>
  <c r="N33" i="87"/>
  <c r="P33" i="87"/>
  <c r="L24" i="207"/>
  <c r="L34" i="207" s="1"/>
  <c r="P33" i="197"/>
  <c r="L33" i="197"/>
  <c r="N33" i="197"/>
  <c r="N33" i="45"/>
  <c r="L33" i="45"/>
  <c r="P33" i="45"/>
  <c r="N27" i="117"/>
  <c r="N19" i="118" s="1"/>
  <c r="L58" i="53"/>
  <c r="M25" i="54" s="1"/>
  <c r="W19" i="4" s="1"/>
  <c r="L37" i="85"/>
  <c r="M21" i="86" s="1"/>
  <c r="AV17" i="4" s="1"/>
  <c r="L58" i="67"/>
  <c r="M25" i="68" s="1"/>
  <c r="AS19" i="4" s="1"/>
  <c r="N27" i="191"/>
  <c r="N19" i="192" s="1"/>
  <c r="AC52" i="103"/>
  <c r="AA52" i="103"/>
  <c r="AB52" i="103"/>
  <c r="L52" i="103"/>
  <c r="Z52" i="103"/>
  <c r="W48" i="187"/>
  <c r="L48" i="187"/>
  <c r="T48" i="187"/>
  <c r="N48" i="187"/>
  <c r="P48" i="187"/>
  <c r="Z48" i="187"/>
  <c r="AC48" i="15"/>
  <c r="AB48" i="15"/>
  <c r="Z48" i="15"/>
  <c r="AA48" i="15"/>
  <c r="L48" i="15"/>
  <c r="N49" i="53"/>
  <c r="T49" i="53"/>
  <c r="L49" i="53"/>
  <c r="P49" i="53"/>
  <c r="W49" i="53"/>
  <c r="Z49" i="53"/>
  <c r="Z49" i="89"/>
  <c r="P49" i="89"/>
  <c r="W49" i="89"/>
  <c r="L49" i="89"/>
  <c r="T49" i="89"/>
  <c r="N49" i="89"/>
  <c r="AB48" i="103"/>
  <c r="AC48" i="103"/>
  <c r="Z48" i="103"/>
  <c r="AA48" i="103"/>
  <c r="L48" i="103"/>
  <c r="P49" i="179"/>
  <c r="T49" i="179"/>
  <c r="W49" i="179"/>
  <c r="L49" i="179"/>
  <c r="Z49" i="179"/>
  <c r="N49" i="179"/>
  <c r="Z48" i="81"/>
  <c r="L48" i="81"/>
  <c r="AB48" i="81"/>
  <c r="AA48" i="81"/>
  <c r="AA47" i="31"/>
  <c r="AC47" i="31"/>
  <c r="AB47" i="31"/>
  <c r="Z47" i="31"/>
  <c r="L47" i="31"/>
  <c r="Z47" i="51"/>
  <c r="AB47" i="51"/>
  <c r="AD47" i="51"/>
  <c r="AC47" i="51"/>
  <c r="L47" i="51"/>
  <c r="AA47" i="51"/>
  <c r="L58" i="153"/>
  <c r="M25" i="154" s="1"/>
  <c r="L35" i="77"/>
  <c r="N35" i="77"/>
  <c r="P35" i="77"/>
  <c r="L35" i="117"/>
  <c r="P35" i="117"/>
  <c r="N35" i="117"/>
  <c r="L24" i="159"/>
  <c r="L34" i="159" s="1"/>
  <c r="P35" i="193"/>
  <c r="N35" i="193"/>
  <c r="L35" i="193"/>
  <c r="N35" i="47"/>
  <c r="L35" i="47"/>
  <c r="P35" i="47"/>
  <c r="L35" i="109"/>
  <c r="N35" i="109"/>
  <c r="P35" i="109"/>
  <c r="L58" i="201"/>
  <c r="M25" i="202" s="1"/>
  <c r="L58" i="193"/>
  <c r="M25" i="194" s="1"/>
  <c r="P37" i="73"/>
  <c r="O21" i="74" s="1"/>
  <c r="AO17" i="4" s="1"/>
  <c r="L37" i="199"/>
  <c r="M21" i="200" s="1"/>
  <c r="T46" i="53"/>
  <c r="N46" i="53"/>
  <c r="Z46" i="53"/>
  <c r="W46" i="53"/>
  <c r="L46" i="53"/>
  <c r="P46" i="53"/>
  <c r="Z46" i="47"/>
  <c r="T46" i="47"/>
  <c r="W46" i="47"/>
  <c r="P46" i="47"/>
  <c r="N46" i="47"/>
  <c r="L46" i="47"/>
  <c r="W46" i="193"/>
  <c r="L46" i="193"/>
  <c r="P46" i="193"/>
  <c r="T46" i="193"/>
  <c r="N46" i="193"/>
  <c r="Z46" i="193"/>
  <c r="N49" i="115"/>
  <c r="T49" i="115"/>
  <c r="P49" i="115"/>
  <c r="L49" i="115"/>
  <c r="Z49" i="115"/>
  <c r="W49" i="115"/>
  <c r="L46" i="181"/>
  <c r="W46" i="181"/>
  <c r="N46" i="181"/>
  <c r="P46" i="181"/>
  <c r="T46" i="181"/>
  <c r="Z46" i="181"/>
  <c r="AB53" i="163"/>
  <c r="AA53" i="163"/>
  <c r="Z53" i="163"/>
  <c r="L53" i="163"/>
  <c r="Z53" i="181"/>
  <c r="T53" i="181"/>
  <c r="N53" i="181"/>
  <c r="W53" i="181"/>
  <c r="L53" i="181"/>
  <c r="P53" i="181"/>
  <c r="T47" i="43"/>
  <c r="N47" i="43"/>
  <c r="W47" i="43"/>
  <c r="P47" i="43"/>
  <c r="Z47" i="43"/>
  <c r="L47" i="43"/>
  <c r="P48" i="119"/>
  <c r="N48" i="119"/>
  <c r="W48" i="119"/>
  <c r="L48" i="119"/>
  <c r="T48" i="119"/>
  <c r="Z48" i="119"/>
  <c r="L27" i="119"/>
  <c r="M19" i="120" s="1"/>
  <c r="L36" i="87"/>
  <c r="P36" i="87"/>
  <c r="N36" i="87"/>
  <c r="N36" i="113"/>
  <c r="P36" i="113"/>
  <c r="L36" i="113"/>
  <c r="N36" i="111"/>
  <c r="P36" i="111"/>
  <c r="L36" i="111"/>
  <c r="P36" i="71"/>
  <c r="L36" i="71"/>
  <c r="N36" i="71"/>
  <c r="L36" i="199"/>
  <c r="P36" i="199"/>
  <c r="N36" i="199"/>
  <c r="P36" i="197"/>
  <c r="L36" i="197"/>
  <c r="N36" i="197"/>
  <c r="P58" i="187"/>
  <c r="O25" i="188" s="1"/>
  <c r="P27" i="109"/>
  <c r="O19" i="110" s="1"/>
  <c r="P37" i="113"/>
  <c r="O21" i="114" s="1"/>
  <c r="BR17" i="4" s="1"/>
  <c r="P37" i="147"/>
  <c r="O21" i="148" s="1"/>
  <c r="L58" i="43"/>
  <c r="M25" i="44" s="1"/>
  <c r="P69" i="23"/>
  <c r="P67" i="23" s="1"/>
  <c r="Q23" i="24" s="1"/>
  <c r="Q69" i="23"/>
  <c r="Q67" i="23" s="1"/>
  <c r="R23" i="24" s="1"/>
  <c r="M69" i="23"/>
  <c r="N69" i="23"/>
  <c r="N67" i="23" s="1"/>
  <c r="O23" i="24" s="1"/>
  <c r="O69" i="23"/>
  <c r="O67" i="23" s="1"/>
  <c r="P23" i="24" s="1"/>
  <c r="P68" i="89"/>
  <c r="P67" i="89" s="1"/>
  <c r="O23" i="90" s="1"/>
  <c r="BJ20" i="4" s="1"/>
  <c r="L68" i="89"/>
  <c r="L67" i="89" s="1"/>
  <c r="M23" i="90" s="1"/>
  <c r="BH20" i="4" s="1"/>
  <c r="N68" i="89"/>
  <c r="N67" i="89" s="1"/>
  <c r="N23" i="90" s="1"/>
  <c r="BI20" i="4" s="1"/>
  <c r="AB49" i="15"/>
  <c r="L49" i="15"/>
  <c r="AA49" i="15"/>
  <c r="AC49" i="15"/>
  <c r="Z49" i="15"/>
  <c r="Z53" i="119"/>
  <c r="P53" i="119"/>
  <c r="N53" i="119"/>
  <c r="W53" i="119"/>
  <c r="T53" i="119"/>
  <c r="L53" i="119"/>
  <c r="Z50" i="51"/>
  <c r="L50" i="51"/>
  <c r="AA50" i="51"/>
  <c r="AB50" i="51"/>
  <c r="AC50" i="51"/>
  <c r="AD50" i="51"/>
  <c r="P50" i="45"/>
  <c r="L50" i="45"/>
  <c r="Z50" i="45"/>
  <c r="N50" i="45"/>
  <c r="W50" i="45"/>
  <c r="T50" i="45"/>
  <c r="AB50" i="81"/>
  <c r="L50" i="81"/>
  <c r="Z50" i="81"/>
  <c r="AA50" i="81"/>
  <c r="T49" i="199"/>
  <c r="W49" i="199"/>
  <c r="N49" i="199"/>
  <c r="Z49" i="199"/>
  <c r="P49" i="199"/>
  <c r="L49" i="199"/>
  <c r="T50" i="115"/>
  <c r="N50" i="115"/>
  <c r="W50" i="115"/>
  <c r="P50" i="115"/>
  <c r="Z50" i="115"/>
  <c r="L50" i="115"/>
  <c r="N53" i="157"/>
  <c r="W53" i="157"/>
  <c r="L53" i="157"/>
  <c r="Z53" i="157"/>
  <c r="T53" i="157"/>
  <c r="P53" i="157"/>
  <c r="L51" i="105"/>
  <c r="W51" i="105"/>
  <c r="T51" i="105"/>
  <c r="N51" i="105"/>
  <c r="Z51" i="105"/>
  <c r="P51" i="105"/>
  <c r="W51" i="111"/>
  <c r="Z51" i="111"/>
  <c r="N51" i="111"/>
  <c r="P51" i="111"/>
  <c r="T51" i="111"/>
  <c r="L51" i="111"/>
  <c r="Z53" i="113"/>
  <c r="L53" i="113"/>
  <c r="W53" i="113"/>
  <c r="T53" i="113"/>
  <c r="P53" i="113"/>
  <c r="N53" i="113"/>
  <c r="L45" i="147"/>
  <c r="Z45" i="147"/>
  <c r="T45" i="147"/>
  <c r="P45" i="147"/>
  <c r="N45" i="147"/>
  <c r="W45" i="147"/>
  <c r="T45" i="151"/>
  <c r="W45" i="151"/>
  <c r="N45" i="151"/>
  <c r="L45" i="151"/>
  <c r="Z45" i="151"/>
  <c r="P45" i="151"/>
  <c r="P45" i="191"/>
  <c r="L45" i="191"/>
  <c r="N45" i="191"/>
  <c r="Z45" i="191"/>
  <c r="T45" i="191"/>
  <c r="W45" i="191"/>
  <c r="T45" i="69"/>
  <c r="N45" i="69"/>
  <c r="Z45" i="69"/>
  <c r="P45" i="69"/>
  <c r="L45" i="69"/>
  <c r="W45" i="69"/>
  <c r="L51" i="81"/>
  <c r="AA51" i="81"/>
  <c r="AB51" i="81"/>
  <c r="Z51" i="81"/>
  <c r="L51" i="207"/>
  <c r="AA51" i="207"/>
  <c r="AC51" i="207"/>
  <c r="Z51" i="207"/>
  <c r="AB51" i="207"/>
  <c r="P58" i="73"/>
  <c r="O25" i="74" s="1"/>
  <c r="AO19" i="4" s="1"/>
  <c r="Z54" i="83"/>
  <c r="W54" i="83"/>
  <c r="T54" i="83"/>
  <c r="N54" i="83"/>
  <c r="P54" i="83"/>
  <c r="L54" i="83"/>
  <c r="AA51" i="31"/>
  <c r="L51" i="31"/>
  <c r="AC51" i="31"/>
  <c r="Z51" i="31"/>
  <c r="AB51" i="31"/>
  <c r="L50" i="181"/>
  <c r="N50" i="181"/>
  <c r="P50" i="181"/>
  <c r="T50" i="181"/>
  <c r="W50" i="181"/>
  <c r="Z50" i="181"/>
  <c r="AB50" i="213"/>
  <c r="Z50" i="213"/>
  <c r="AC50" i="213"/>
  <c r="L50" i="213"/>
  <c r="AA50" i="213"/>
  <c r="AA50" i="163"/>
  <c r="Z50" i="163"/>
  <c r="L50" i="163"/>
  <c r="AA50" i="209"/>
  <c r="AC50" i="209"/>
  <c r="L50" i="209"/>
  <c r="AD50" i="209"/>
  <c r="AB50" i="209"/>
  <c r="Z50" i="209"/>
  <c r="X62" i="51"/>
  <c r="Q59" i="51" s="1"/>
  <c r="R25" i="52" s="1"/>
  <c r="L62" i="51"/>
  <c r="L59" i="51" s="1"/>
  <c r="M25" i="52" s="1"/>
  <c r="Q19" i="4" s="1"/>
  <c r="V62" i="51"/>
  <c r="O59" i="51" s="1"/>
  <c r="P25" i="52" s="1"/>
  <c r="T62" i="51"/>
  <c r="M59" i="51" s="1"/>
  <c r="N25" i="52" s="1"/>
  <c r="W62" i="51"/>
  <c r="P59" i="51" s="1"/>
  <c r="Q25" i="52" s="1"/>
  <c r="U62" i="51"/>
  <c r="N59" i="51" s="1"/>
  <c r="O25" i="52" s="1"/>
  <c r="L58" i="71"/>
  <c r="M25" i="72" s="1"/>
  <c r="AJ19" i="4" s="1"/>
  <c r="L58" i="117"/>
  <c r="M25" i="118" s="1"/>
  <c r="N37" i="89"/>
  <c r="N21" i="90" s="1"/>
  <c r="BI17" i="4" s="1"/>
  <c r="L27" i="115"/>
  <c r="M19" i="116" s="1"/>
  <c r="P68" i="117"/>
  <c r="P67" i="117" s="1"/>
  <c r="O23" i="118" s="1"/>
  <c r="N68" i="117"/>
  <c r="N67" i="117" s="1"/>
  <c r="N23" i="118" s="1"/>
  <c r="L68" i="117"/>
  <c r="L67" i="117" s="1"/>
  <c r="M23" i="118" s="1"/>
  <c r="W54" i="193"/>
  <c r="L54" i="193"/>
  <c r="T54" i="193"/>
  <c r="Z54" i="193"/>
  <c r="N54" i="193"/>
  <c r="P54" i="193"/>
  <c r="N49" i="113"/>
  <c r="P49" i="113"/>
  <c r="L49" i="113"/>
  <c r="Z49" i="113"/>
  <c r="T49" i="113"/>
  <c r="W49" i="113"/>
  <c r="P27" i="181"/>
  <c r="O19" i="182" s="1"/>
  <c r="L59" i="159"/>
  <c r="M25" i="160" s="1"/>
  <c r="BK19" i="4" s="1"/>
  <c r="P27" i="199"/>
  <c r="O19" i="200" s="1"/>
  <c r="N58" i="77"/>
  <c r="N25" i="78" s="1"/>
  <c r="BF19" i="4" s="1"/>
  <c r="N68" i="197"/>
  <c r="N67" i="197" s="1"/>
  <c r="N23" i="198" s="1"/>
  <c r="L68" i="197"/>
  <c r="L67" i="197" s="1"/>
  <c r="M23" i="198" s="1"/>
  <c r="P68" i="197"/>
  <c r="P67" i="197" s="1"/>
  <c r="O23" i="198" s="1"/>
  <c r="P68" i="87"/>
  <c r="P67" i="87" s="1"/>
  <c r="O23" i="88" s="1"/>
  <c r="BD20" i="4" s="1"/>
  <c r="L68" i="87"/>
  <c r="L67" i="87" s="1"/>
  <c r="M23" i="88" s="1"/>
  <c r="BB20" i="4" s="1"/>
  <c r="N68" i="87"/>
  <c r="N67" i="87" s="1"/>
  <c r="N23" i="88" s="1"/>
  <c r="BC20" i="4" s="1"/>
  <c r="N58" i="85"/>
  <c r="N25" i="86" s="1"/>
  <c r="AW19" i="4" s="1"/>
  <c r="P52" i="119"/>
  <c r="L52" i="119"/>
  <c r="T52" i="119"/>
  <c r="Z52" i="119"/>
  <c r="N52" i="119"/>
  <c r="W52" i="119"/>
  <c r="Z51" i="71"/>
  <c r="L51" i="71"/>
  <c r="T51" i="71"/>
  <c r="W51" i="71"/>
  <c r="P51" i="71"/>
  <c r="N51" i="71"/>
  <c r="L51" i="179"/>
  <c r="T51" i="179"/>
  <c r="N51" i="179"/>
  <c r="P51" i="179"/>
  <c r="W51" i="179"/>
  <c r="Z51" i="179"/>
  <c r="W46" i="113"/>
  <c r="P46" i="113"/>
  <c r="N46" i="113"/>
  <c r="L46" i="113"/>
  <c r="Z46" i="113"/>
  <c r="T46" i="113"/>
  <c r="T46" i="151"/>
  <c r="L46" i="151"/>
  <c r="P46" i="151"/>
  <c r="W46" i="151"/>
  <c r="N46" i="151"/>
  <c r="Z46" i="151"/>
  <c r="T45" i="45"/>
  <c r="N45" i="45"/>
  <c r="Z45" i="45"/>
  <c r="P45" i="45"/>
  <c r="W45" i="45"/>
  <c r="L45" i="45"/>
  <c r="P27" i="153"/>
  <c r="O19" i="154" s="1"/>
  <c r="L58" i="109"/>
  <c r="M25" i="110" s="1"/>
  <c r="BV19" i="4" s="1"/>
  <c r="N58" i="193"/>
  <c r="N25" i="194" s="1"/>
  <c r="M59" i="65"/>
  <c r="N25" i="66" s="1"/>
  <c r="L61" i="65"/>
  <c r="L59" i="65" s="1"/>
  <c r="M25" i="66" s="1"/>
  <c r="CH15" i="4"/>
  <c r="N37" i="195"/>
  <c r="N21" i="196" s="1"/>
  <c r="Z52" i="25"/>
  <c r="AB52" i="25"/>
  <c r="AA52" i="25"/>
  <c r="L52" i="25"/>
  <c r="P34" i="83"/>
  <c r="L34" i="83"/>
  <c r="N34" i="83"/>
  <c r="P34" i="105"/>
  <c r="N34" i="105"/>
  <c r="L34" i="105"/>
  <c r="N34" i="113"/>
  <c r="L34" i="113"/>
  <c r="P34" i="113"/>
  <c r="N24" i="17"/>
  <c r="O24" i="17"/>
  <c r="Q24" i="17"/>
  <c r="M24" i="17"/>
  <c r="P24" i="17"/>
  <c r="P34" i="197"/>
  <c r="L34" i="197"/>
  <c r="N34" i="197"/>
  <c r="N27" i="145"/>
  <c r="N19" i="146" s="1"/>
  <c r="L46" i="81"/>
  <c r="AB46" i="81"/>
  <c r="AA46" i="81"/>
  <c r="Z46" i="81"/>
  <c r="AA49" i="211"/>
  <c r="AB49" i="211"/>
  <c r="L49" i="211"/>
  <c r="Z49" i="211"/>
  <c r="AC49" i="211"/>
  <c r="Z46" i="56"/>
  <c r="L46" i="56"/>
  <c r="AB46" i="56"/>
  <c r="AA46" i="56"/>
  <c r="W50" i="53"/>
  <c r="L50" i="53"/>
  <c r="T50" i="53"/>
  <c r="P50" i="53"/>
  <c r="Z50" i="53"/>
  <c r="N50" i="53"/>
  <c r="L49" i="47"/>
  <c r="Z49" i="47"/>
  <c r="P49" i="47"/>
  <c r="N49" i="47"/>
  <c r="T49" i="47"/>
  <c r="W49" i="47"/>
  <c r="N50" i="43"/>
  <c r="L50" i="43"/>
  <c r="P50" i="43"/>
  <c r="W50" i="43"/>
  <c r="T50" i="43"/>
  <c r="Z50" i="43"/>
  <c r="T51" i="201"/>
  <c r="L51" i="201"/>
  <c r="Z51" i="201"/>
  <c r="N51" i="201"/>
  <c r="W51" i="201"/>
  <c r="P51" i="201"/>
  <c r="P27" i="89"/>
  <c r="O19" i="90" s="1"/>
  <c r="N27" i="67"/>
  <c r="N19" i="68" s="1"/>
  <c r="L24" i="103"/>
  <c r="L34" i="103" s="1"/>
  <c r="P33" i="157"/>
  <c r="N33" i="157"/>
  <c r="L33" i="157"/>
  <c r="L33" i="187"/>
  <c r="P33" i="187"/>
  <c r="N33" i="187"/>
  <c r="L33" i="77"/>
  <c r="P33" i="77"/>
  <c r="N33" i="77"/>
  <c r="N33" i="195"/>
  <c r="P33" i="195"/>
  <c r="L33" i="195"/>
  <c r="L24" i="163"/>
  <c r="L34" i="163" s="1"/>
  <c r="L24" i="65"/>
  <c r="L34" i="65" s="1"/>
  <c r="L37" i="115"/>
  <c r="M21" i="116" s="1"/>
  <c r="CB17" i="4" s="1"/>
  <c r="P27" i="117"/>
  <c r="O19" i="118" s="1"/>
  <c r="P58" i="199"/>
  <c r="O25" i="200" s="1"/>
  <c r="N27" i="45"/>
  <c r="N19" i="46" s="1"/>
  <c r="P37" i="85"/>
  <c r="O21" i="86" s="1"/>
  <c r="AX17" i="4" s="1"/>
  <c r="L62" i="91"/>
  <c r="P27" i="191"/>
  <c r="O19" i="192" s="1"/>
  <c r="W49" i="83"/>
  <c r="L49" i="83"/>
  <c r="T49" i="83"/>
  <c r="P49" i="83"/>
  <c r="Z49" i="83"/>
  <c r="N49" i="83"/>
  <c r="L49" i="181"/>
  <c r="P49" i="181"/>
  <c r="T49" i="181"/>
  <c r="N49" i="181"/>
  <c r="Z49" i="181"/>
  <c r="W49" i="181"/>
  <c r="T48" i="145"/>
  <c r="P48" i="145"/>
  <c r="Z48" i="145"/>
  <c r="W48" i="145"/>
  <c r="N48" i="145"/>
  <c r="L48" i="145"/>
  <c r="AD48" i="35"/>
  <c r="Z48" i="35"/>
  <c r="AB48" i="35"/>
  <c r="AA48" i="35"/>
  <c r="AC48" i="35"/>
  <c r="L48" i="35"/>
  <c r="N48" i="147"/>
  <c r="W48" i="147"/>
  <c r="P48" i="147"/>
  <c r="L48" i="147"/>
  <c r="Z48" i="147"/>
  <c r="T48" i="147"/>
  <c r="AB48" i="56"/>
  <c r="AA48" i="56"/>
  <c r="Z48" i="56"/>
  <c r="L48" i="56"/>
  <c r="L49" i="77"/>
  <c r="T49" i="77"/>
  <c r="W49" i="77"/>
  <c r="P49" i="77"/>
  <c r="N49" i="77"/>
  <c r="Z49" i="77"/>
  <c r="AB47" i="56"/>
  <c r="Z47" i="56"/>
  <c r="L47" i="56"/>
  <c r="AA47" i="56"/>
  <c r="L47" i="19"/>
  <c r="AD47" i="19"/>
  <c r="Z47" i="19"/>
  <c r="AC47" i="19"/>
  <c r="AB47" i="19"/>
  <c r="AA47" i="19"/>
  <c r="AC47" i="103"/>
  <c r="L47" i="103"/>
  <c r="AA47" i="103"/>
  <c r="Z47" i="103"/>
  <c r="AB47" i="103"/>
  <c r="P58" i="153"/>
  <c r="O25" i="154" s="1"/>
  <c r="N35" i="197"/>
  <c r="L35" i="197"/>
  <c r="P35" i="197"/>
  <c r="L35" i="201"/>
  <c r="P35" i="201"/>
  <c r="N35" i="201"/>
  <c r="P35" i="119"/>
  <c r="L35" i="119"/>
  <c r="N35" i="119"/>
  <c r="P35" i="53"/>
  <c r="L35" i="53"/>
  <c r="N35" i="53"/>
  <c r="N37" i="105"/>
  <c r="N21" i="106" s="1"/>
  <c r="BN17" i="4" s="1"/>
  <c r="L59" i="21"/>
  <c r="M25" i="22" s="1"/>
  <c r="K19" i="4" s="1"/>
  <c r="L37" i="119"/>
  <c r="M21" i="120" s="1"/>
  <c r="T46" i="147"/>
  <c r="W46" i="147"/>
  <c r="P46" i="147"/>
  <c r="N46" i="147"/>
  <c r="Z46" i="147"/>
  <c r="L46" i="147"/>
  <c r="W46" i="109"/>
  <c r="L46" i="109"/>
  <c r="P46" i="109"/>
  <c r="T46" i="109"/>
  <c r="N46" i="109"/>
  <c r="Z46" i="109"/>
  <c r="T47" i="113"/>
  <c r="L47" i="113"/>
  <c r="W47" i="113"/>
  <c r="Z47" i="113"/>
  <c r="N47" i="113"/>
  <c r="P47" i="113"/>
  <c r="P48" i="73"/>
  <c r="L48" i="73"/>
  <c r="W48" i="73"/>
  <c r="N48" i="73"/>
  <c r="Z48" i="73"/>
  <c r="T48" i="73"/>
  <c r="AD53" i="23"/>
  <c r="AA53" i="23"/>
  <c r="AB53" i="23"/>
  <c r="L53" i="23"/>
  <c r="AC53" i="23"/>
  <c r="Z53" i="23"/>
  <c r="T53" i="89"/>
  <c r="L53" i="89"/>
  <c r="P53" i="89"/>
  <c r="N53" i="89"/>
  <c r="Z53" i="89"/>
  <c r="W53" i="89"/>
  <c r="Z48" i="113"/>
  <c r="N48" i="113"/>
  <c r="W48" i="113"/>
  <c r="T48" i="113"/>
  <c r="P48" i="113"/>
  <c r="L48" i="113"/>
  <c r="T47" i="83"/>
  <c r="N47" i="83"/>
  <c r="P47" i="83"/>
  <c r="W47" i="83"/>
  <c r="L47" i="83"/>
  <c r="Z47" i="83"/>
  <c r="L36" i="187"/>
  <c r="N36" i="187"/>
  <c r="P36" i="187"/>
  <c r="N36" i="117"/>
  <c r="L36" i="117"/>
  <c r="P36" i="117"/>
  <c r="P36" i="115"/>
  <c r="N36" i="115"/>
  <c r="L36" i="115"/>
  <c r="N36" i="83"/>
  <c r="P36" i="83"/>
  <c r="L36" i="83"/>
  <c r="L36" i="43"/>
  <c r="P36" i="43"/>
  <c r="N36" i="43"/>
  <c r="P36" i="157"/>
  <c r="N36" i="157"/>
  <c r="L36" i="157"/>
  <c r="L27" i="109"/>
  <c r="M19" i="110" s="1"/>
  <c r="P58" i="151"/>
  <c r="O25" i="152" s="1"/>
  <c r="N58" i="43"/>
  <c r="N25" i="44" s="1"/>
  <c r="M69" i="163"/>
  <c r="O69" i="163"/>
  <c r="O67" i="163" s="1"/>
  <c r="P23" i="164" s="1"/>
  <c r="N69" i="163"/>
  <c r="N67" i="163" s="1"/>
  <c r="O23" i="164" s="1"/>
  <c r="Q69" i="209"/>
  <c r="Q67" i="209" s="1"/>
  <c r="R23" i="210" s="1"/>
  <c r="N69" i="209"/>
  <c r="N67" i="209" s="1"/>
  <c r="O23" i="210" s="1"/>
  <c r="O69" i="209"/>
  <c r="O67" i="209" s="1"/>
  <c r="P23" i="210" s="1"/>
  <c r="M69" i="209"/>
  <c r="P69" i="209"/>
  <c r="P67" i="209" s="1"/>
  <c r="Q23" i="210" s="1"/>
  <c r="N46" i="45"/>
  <c r="L46" i="45"/>
  <c r="P46" i="45"/>
  <c r="Z46" i="45"/>
  <c r="W46" i="45"/>
  <c r="T46" i="45"/>
  <c r="T54" i="105"/>
  <c r="N54" i="105"/>
  <c r="P54" i="105"/>
  <c r="Z54" i="105"/>
  <c r="L54" i="105"/>
  <c r="W54" i="105"/>
  <c r="T45" i="117"/>
  <c r="N45" i="117"/>
  <c r="Z45" i="117"/>
  <c r="W45" i="117"/>
  <c r="L45" i="117"/>
  <c r="P45" i="117"/>
  <c r="AG15" i="4"/>
  <c r="N58" i="117"/>
  <c r="N25" i="118" s="1"/>
  <c r="N52" i="113"/>
  <c r="W52" i="113"/>
  <c r="L52" i="113"/>
  <c r="T52" i="113"/>
  <c r="Z52" i="113"/>
  <c r="P52" i="113"/>
  <c r="N34" i="147"/>
  <c r="P34" i="147"/>
  <c r="L34" i="147"/>
  <c r="L27" i="69"/>
  <c r="M19" i="70" s="1"/>
  <c r="AC50" i="19"/>
  <c r="Z50" i="19"/>
  <c r="L50" i="19"/>
  <c r="AB50" i="19"/>
  <c r="AA50" i="19"/>
  <c r="P53" i="193"/>
  <c r="L53" i="193"/>
  <c r="T53" i="193"/>
  <c r="Z53" i="193"/>
  <c r="W53" i="193"/>
  <c r="N53" i="193"/>
  <c r="W52" i="85"/>
  <c r="Z52" i="85"/>
  <c r="L52" i="85"/>
  <c r="T52" i="85"/>
  <c r="P52" i="85"/>
  <c r="N52" i="85"/>
  <c r="L45" i="145"/>
  <c r="W45" i="145"/>
  <c r="Z45" i="145"/>
  <c r="T45" i="145"/>
  <c r="N45" i="145"/>
  <c r="P45" i="145"/>
  <c r="Z45" i="89"/>
  <c r="P45" i="89"/>
  <c r="L45" i="89"/>
  <c r="W45" i="89"/>
  <c r="T45" i="89"/>
  <c r="N45" i="89"/>
  <c r="Z45" i="85"/>
  <c r="T45" i="85"/>
  <c r="W45" i="85"/>
  <c r="N45" i="85"/>
  <c r="L45" i="85"/>
  <c r="P45" i="85"/>
  <c r="W45" i="47"/>
  <c r="N45" i="47"/>
  <c r="Z45" i="47"/>
  <c r="L45" i="47"/>
  <c r="P45" i="47"/>
  <c r="T45" i="47"/>
  <c r="N27" i="201"/>
  <c r="N19" i="202" s="1"/>
  <c r="BY15" i="4"/>
  <c r="CE15" i="4"/>
  <c r="M59" i="163"/>
  <c r="N25" i="164" s="1"/>
  <c r="Z52" i="181"/>
  <c r="T52" i="181"/>
  <c r="N52" i="181"/>
  <c r="W52" i="181"/>
  <c r="L52" i="181"/>
  <c r="P52" i="181"/>
  <c r="AB52" i="213"/>
  <c r="AA52" i="213"/>
  <c r="AC52" i="213"/>
  <c r="Z52" i="213"/>
  <c r="L52" i="213"/>
  <c r="W55" i="157"/>
  <c r="N55" i="157"/>
  <c r="Z55" i="157"/>
  <c r="T55" i="157"/>
  <c r="L55" i="157"/>
  <c r="P55" i="157"/>
  <c r="P54" i="45"/>
  <c r="N54" i="45"/>
  <c r="L54" i="45"/>
  <c r="Z54" i="45"/>
  <c r="T54" i="45"/>
  <c r="W54" i="45"/>
  <c r="W48" i="197"/>
  <c r="Z48" i="197"/>
  <c r="T48" i="197"/>
  <c r="L48" i="197"/>
  <c r="P48" i="197"/>
  <c r="N48" i="197"/>
  <c r="T54" i="73"/>
  <c r="N54" i="73"/>
  <c r="P54" i="73"/>
  <c r="Z54" i="73"/>
  <c r="W54" i="73"/>
  <c r="L54" i="73"/>
  <c r="P55" i="53"/>
  <c r="L55" i="53"/>
  <c r="W55" i="53"/>
  <c r="Z55" i="53"/>
  <c r="N55" i="53"/>
  <c r="T55" i="53"/>
  <c r="L48" i="58"/>
  <c r="AA48" i="58"/>
  <c r="Z48" i="58"/>
  <c r="AC49" i="103"/>
  <c r="Z49" i="103"/>
  <c r="AB49" i="103"/>
  <c r="AA49" i="103"/>
  <c r="L49" i="103"/>
  <c r="AA50" i="35"/>
  <c r="Z50" i="35"/>
  <c r="AB50" i="35"/>
  <c r="L50" i="35"/>
  <c r="AB50" i="21"/>
  <c r="L50" i="21"/>
  <c r="AA50" i="21"/>
  <c r="Z50" i="21"/>
  <c r="N48" i="193"/>
  <c r="T48" i="193"/>
  <c r="W48" i="193"/>
  <c r="P48" i="193"/>
  <c r="L48" i="193"/>
  <c r="Z48" i="193"/>
  <c r="W62" i="35"/>
  <c r="P59" i="35" s="1"/>
  <c r="Q25" i="36" s="1"/>
  <c r="L62" i="35"/>
  <c r="L59" i="35" s="1"/>
  <c r="M25" i="36" s="1"/>
  <c r="P27" i="115"/>
  <c r="O19" i="116" s="1"/>
  <c r="P68" i="115"/>
  <c r="P67" i="115" s="1"/>
  <c r="O23" i="116" s="1"/>
  <c r="CD20" i="4" s="1"/>
  <c r="N68" i="115"/>
  <c r="N67" i="115" s="1"/>
  <c r="N23" i="116" s="1"/>
  <c r="CC20" i="4" s="1"/>
  <c r="L68" i="115"/>
  <c r="L67" i="115" s="1"/>
  <c r="M23" i="116" s="1"/>
  <c r="CB20" i="4" s="1"/>
  <c r="P45" i="195"/>
  <c r="T45" i="195"/>
  <c r="N45" i="195"/>
  <c r="Z45" i="195"/>
  <c r="L45" i="195"/>
  <c r="W45" i="195"/>
  <c r="P55" i="199"/>
  <c r="T55" i="199"/>
  <c r="L55" i="199"/>
  <c r="Z55" i="199"/>
  <c r="W55" i="199"/>
  <c r="N55" i="199"/>
  <c r="P58" i="71"/>
  <c r="O25" i="72" s="1"/>
  <c r="AL19" i="4" s="1"/>
  <c r="P37" i="189"/>
  <c r="O21" i="190" s="1"/>
  <c r="L68" i="73"/>
  <c r="L67" i="73" s="1"/>
  <c r="M23" i="74" s="1"/>
  <c r="AM20" i="4" s="1"/>
  <c r="P68" i="73"/>
  <c r="P67" i="73" s="1"/>
  <c r="O23" i="74" s="1"/>
  <c r="AO20" i="4" s="1"/>
  <c r="N68" i="73"/>
  <c r="N67" i="73" s="1"/>
  <c r="N23" i="74" s="1"/>
  <c r="AN20" i="4" s="1"/>
  <c r="P68" i="157"/>
  <c r="P67" i="157" s="1"/>
  <c r="O23" i="158" s="1"/>
  <c r="AB20" i="4" s="1"/>
  <c r="N68" i="157"/>
  <c r="N67" i="157" s="1"/>
  <c r="N23" i="158" s="1"/>
  <c r="L68" i="157"/>
  <c r="L67" i="157" s="1"/>
  <c r="M23" i="158" s="1"/>
  <c r="Z20" i="4" s="1"/>
  <c r="N58" i="181"/>
  <c r="N25" i="182" s="1"/>
  <c r="T51" i="83"/>
  <c r="P51" i="83"/>
  <c r="N51" i="83"/>
  <c r="W51" i="83"/>
  <c r="L51" i="83"/>
  <c r="Z51" i="83"/>
  <c r="P52" i="193"/>
  <c r="W52" i="193"/>
  <c r="L52" i="193"/>
  <c r="N52" i="193"/>
  <c r="Z52" i="193"/>
  <c r="T52" i="193"/>
  <c r="N46" i="153"/>
  <c r="W46" i="153"/>
  <c r="T46" i="153"/>
  <c r="L46" i="153"/>
  <c r="Z46" i="153"/>
  <c r="P46" i="153"/>
  <c r="N47" i="47"/>
  <c r="T47" i="47"/>
  <c r="L47" i="47"/>
  <c r="W47" i="47"/>
  <c r="Z47" i="47"/>
  <c r="P47" i="47"/>
  <c r="P46" i="115"/>
  <c r="T46" i="115"/>
  <c r="L46" i="115"/>
  <c r="W46" i="115"/>
  <c r="Z46" i="115"/>
  <c r="N46" i="115"/>
  <c r="W50" i="117"/>
  <c r="P50" i="117"/>
  <c r="L50" i="117"/>
  <c r="Z50" i="117"/>
  <c r="T50" i="117"/>
  <c r="N50" i="117"/>
  <c r="L27" i="153"/>
  <c r="M19" i="154" s="1"/>
  <c r="P37" i="77"/>
  <c r="O21" i="78" s="1"/>
  <c r="BG17" i="4" s="1"/>
  <c r="N58" i="109"/>
  <c r="N25" i="110" s="1"/>
  <c r="BW19" i="4" s="1"/>
  <c r="P59" i="91"/>
  <c r="Q25" i="92" s="1"/>
  <c r="AV15" i="4"/>
  <c r="P59" i="65"/>
  <c r="Q25" i="66" s="1"/>
  <c r="P37" i="195"/>
  <c r="O21" i="196" s="1"/>
  <c r="N58" i="179"/>
  <c r="N25" i="180" s="1"/>
  <c r="L34" i="189"/>
  <c r="P34" i="189"/>
  <c r="N34" i="189"/>
  <c r="P34" i="87"/>
  <c r="L34" i="87"/>
  <c r="N34" i="87"/>
  <c r="L34" i="201"/>
  <c r="N34" i="201"/>
  <c r="P34" i="201"/>
  <c r="L34" i="179"/>
  <c r="P34" i="179"/>
  <c r="N34" i="179"/>
  <c r="N34" i="67"/>
  <c r="L34" i="67"/>
  <c r="P34" i="67"/>
  <c r="P27" i="145"/>
  <c r="O19" i="146" s="1"/>
  <c r="AA46" i="21"/>
  <c r="AB46" i="21"/>
  <c r="Z46" i="21"/>
  <c r="L46" i="21"/>
  <c r="Z46" i="209"/>
  <c r="AC46" i="209"/>
  <c r="AA46" i="209"/>
  <c r="AB46" i="209"/>
  <c r="AD46" i="209"/>
  <c r="L46" i="209"/>
  <c r="AA46" i="51"/>
  <c r="AC46" i="51"/>
  <c r="Z46" i="51"/>
  <c r="AB46" i="51"/>
  <c r="L46" i="51"/>
  <c r="AD46" i="51"/>
  <c r="N50" i="191"/>
  <c r="W50" i="191"/>
  <c r="P50" i="191"/>
  <c r="Z50" i="191"/>
  <c r="T50" i="191"/>
  <c r="L50" i="191"/>
  <c r="N49" i="107"/>
  <c r="T49" i="107"/>
  <c r="W49" i="107"/>
  <c r="Z49" i="107"/>
  <c r="P49" i="107"/>
  <c r="L49" i="107"/>
  <c r="W50" i="109"/>
  <c r="P50" i="109"/>
  <c r="Z50" i="109"/>
  <c r="L50" i="109"/>
  <c r="T50" i="109"/>
  <c r="N50" i="109"/>
  <c r="Z48" i="151"/>
  <c r="W48" i="151"/>
  <c r="T48" i="151"/>
  <c r="L48" i="151"/>
  <c r="N48" i="151"/>
  <c r="P48" i="151"/>
  <c r="L27" i="89"/>
  <c r="M19" i="90" s="1"/>
  <c r="N58" i="153"/>
  <c r="N25" i="154" s="1"/>
  <c r="L24" i="213"/>
  <c r="L34" i="213" s="1"/>
  <c r="L33" i="111"/>
  <c r="P33" i="111"/>
  <c r="N33" i="111"/>
  <c r="N33" i="117"/>
  <c r="L33" i="117"/>
  <c r="P33" i="117"/>
  <c r="L33" i="109"/>
  <c r="N33" i="109"/>
  <c r="P33" i="109"/>
  <c r="P33" i="47"/>
  <c r="N33" i="47"/>
  <c r="L33" i="47"/>
  <c r="L24" i="91"/>
  <c r="L34" i="91" s="1"/>
  <c r="L24" i="21"/>
  <c r="L34" i="21" s="1"/>
  <c r="N37" i="115"/>
  <c r="N21" i="116" s="1"/>
  <c r="CC17" i="4" s="1"/>
  <c r="L37" i="71"/>
  <c r="M21" i="72" s="1"/>
  <c r="AJ17" i="4" s="1"/>
  <c r="N58" i="199"/>
  <c r="N25" i="200" s="1"/>
  <c r="P27" i="45"/>
  <c r="O19" i="46" s="1"/>
  <c r="N37" i="85"/>
  <c r="N21" i="86" s="1"/>
  <c r="AW17" i="4" s="1"/>
  <c r="P37" i="117"/>
  <c r="O21" i="118" s="1"/>
  <c r="L27" i="179"/>
  <c r="M19" i="180" s="1"/>
  <c r="P27" i="53"/>
  <c r="O19" i="54" s="1"/>
  <c r="Y15" i="4" s="1"/>
  <c r="P58" i="83"/>
  <c r="O25" i="84" s="1"/>
  <c r="AR19" i="4" s="1"/>
  <c r="L48" i="69"/>
  <c r="Z48" i="69"/>
  <c r="P48" i="69"/>
  <c r="W48" i="69"/>
  <c r="N48" i="69"/>
  <c r="T48" i="69"/>
  <c r="N49" i="109"/>
  <c r="Z49" i="109"/>
  <c r="L49" i="109"/>
  <c r="P49" i="109"/>
  <c r="W49" i="109"/>
  <c r="T49" i="109"/>
  <c r="T47" i="151"/>
  <c r="Z47" i="151"/>
  <c r="W47" i="151"/>
  <c r="N47" i="151"/>
  <c r="L47" i="151"/>
  <c r="P47" i="151"/>
  <c r="L50" i="113"/>
  <c r="P50" i="113"/>
  <c r="N50" i="113"/>
  <c r="T50" i="113"/>
  <c r="W50" i="113"/>
  <c r="Z50" i="113"/>
  <c r="P48" i="87"/>
  <c r="Z48" i="87"/>
  <c r="W48" i="87"/>
  <c r="T48" i="87"/>
  <c r="N48" i="87"/>
  <c r="L48" i="87"/>
  <c r="W48" i="47"/>
  <c r="P48" i="47"/>
  <c r="T48" i="47"/>
  <c r="Z48" i="47"/>
  <c r="N48" i="47"/>
  <c r="L48" i="47"/>
  <c r="L48" i="23"/>
  <c r="AB48" i="23"/>
  <c r="AA48" i="23"/>
  <c r="Z48" i="23"/>
  <c r="AD47" i="35"/>
  <c r="AC47" i="35"/>
  <c r="Z47" i="35"/>
  <c r="L47" i="35"/>
  <c r="AA47" i="35"/>
  <c r="AB47" i="35"/>
  <c r="Z47" i="81"/>
  <c r="AB47" i="81"/>
  <c r="AA47" i="81"/>
  <c r="L47" i="81"/>
  <c r="L47" i="159"/>
  <c r="AA47" i="159"/>
  <c r="Z47" i="159"/>
  <c r="AB47" i="159"/>
  <c r="P35" i="157"/>
  <c r="L35" i="157"/>
  <c r="N35" i="157"/>
  <c r="P35" i="69"/>
  <c r="L35" i="69"/>
  <c r="N35" i="69"/>
  <c r="M59" i="21"/>
  <c r="N25" i="22" s="1"/>
  <c r="P37" i="53"/>
  <c r="O21" i="54" s="1"/>
  <c r="Y17" i="4" s="1"/>
  <c r="L27" i="77"/>
  <c r="M19" i="78" s="1"/>
  <c r="P37" i="179"/>
  <c r="O21" i="180" s="1"/>
  <c r="P46" i="145"/>
  <c r="N46" i="145"/>
  <c r="T46" i="145"/>
  <c r="W46" i="145"/>
  <c r="L46" i="145"/>
  <c r="Z46" i="145"/>
  <c r="N47" i="149"/>
  <c r="P47" i="149"/>
  <c r="Z47" i="149"/>
  <c r="W47" i="149"/>
  <c r="L47" i="149"/>
  <c r="T47" i="149"/>
  <c r="T46" i="197"/>
  <c r="L46" i="197"/>
  <c r="Z46" i="197"/>
  <c r="W46" i="197"/>
  <c r="N46" i="197"/>
  <c r="P46" i="197"/>
  <c r="N46" i="77"/>
  <c r="W46" i="77"/>
  <c r="T46" i="77"/>
  <c r="Z46" i="77"/>
  <c r="P46" i="77"/>
  <c r="L46" i="77"/>
  <c r="AB53" i="35"/>
  <c r="Z53" i="35"/>
  <c r="L53" i="35"/>
  <c r="AB52" i="91"/>
  <c r="Z52" i="91"/>
  <c r="AC52" i="91"/>
  <c r="L52" i="91"/>
  <c r="AA52" i="91"/>
  <c r="W47" i="179"/>
  <c r="N47" i="179"/>
  <c r="T47" i="179"/>
  <c r="L47" i="179"/>
  <c r="P47" i="179"/>
  <c r="Z47" i="179"/>
  <c r="N47" i="73"/>
  <c r="T47" i="73"/>
  <c r="Z47" i="73"/>
  <c r="W47" i="73"/>
  <c r="L47" i="73"/>
  <c r="P47" i="73"/>
  <c r="P58" i="157"/>
  <c r="O25" i="158" s="1"/>
  <c r="AB19" i="4" s="1"/>
  <c r="N36" i="147"/>
  <c r="L36" i="147"/>
  <c r="P36" i="147"/>
  <c r="N36" i="77"/>
  <c r="P36" i="77"/>
  <c r="L36" i="77"/>
  <c r="P36" i="201"/>
  <c r="L36" i="201"/>
  <c r="N36" i="201"/>
  <c r="N36" i="53"/>
  <c r="L36" i="53"/>
  <c r="P36" i="53"/>
  <c r="L36" i="195"/>
  <c r="P36" i="195"/>
  <c r="N36" i="195"/>
  <c r="L37" i="105"/>
  <c r="M21" i="106" s="1"/>
  <c r="BM17" i="4" s="1"/>
  <c r="L58" i="151"/>
  <c r="M25" i="152" s="1"/>
  <c r="L27" i="113"/>
  <c r="M19" i="114" s="1"/>
  <c r="N27" i="105"/>
  <c r="N19" i="106" s="1"/>
  <c r="O69" i="21"/>
  <c r="O67" i="21" s="1"/>
  <c r="P23" i="22" s="1"/>
  <c r="M69" i="21"/>
  <c r="Q69" i="21"/>
  <c r="Q67" i="21" s="1"/>
  <c r="R23" i="22" s="1"/>
  <c r="N69" i="21"/>
  <c r="N67" i="21" s="1"/>
  <c r="O23" i="22" s="1"/>
  <c r="P69" i="21"/>
  <c r="P67" i="21" s="1"/>
  <c r="Q23" i="22" s="1"/>
  <c r="N58" i="111"/>
  <c r="N25" i="112" s="1"/>
  <c r="AB50" i="17"/>
  <c r="Z50" i="17"/>
  <c r="AA50" i="17"/>
  <c r="L50" i="17"/>
  <c r="P45" i="77"/>
  <c r="L45" i="77"/>
  <c r="N45" i="77"/>
  <c r="W45" i="77"/>
  <c r="Z45" i="77"/>
  <c r="T45" i="77"/>
  <c r="P52" i="87"/>
  <c r="T52" i="87"/>
  <c r="N52" i="87"/>
  <c r="W52" i="87"/>
  <c r="L52" i="87"/>
  <c r="Z52" i="87"/>
  <c r="L49" i="207"/>
  <c r="AB49" i="207"/>
  <c r="Z49" i="207"/>
  <c r="AC49" i="207"/>
  <c r="AA49" i="207"/>
  <c r="N52" i="109"/>
  <c r="P52" i="109"/>
  <c r="Z52" i="109"/>
  <c r="W52" i="109"/>
  <c r="L52" i="109"/>
  <c r="T52" i="109"/>
  <c r="AR15" i="4"/>
  <c r="L51" i="53"/>
  <c r="T51" i="53"/>
  <c r="P51" i="53"/>
  <c r="Z51" i="53"/>
  <c r="W51" i="53"/>
  <c r="N51" i="53"/>
  <c r="L58" i="47"/>
  <c r="M25" i="48" s="1"/>
  <c r="AG19" i="4" s="1"/>
  <c r="Z52" i="199"/>
  <c r="T52" i="199"/>
  <c r="W52" i="199"/>
  <c r="P52" i="199"/>
  <c r="N52" i="199"/>
  <c r="L52" i="199"/>
  <c r="L45" i="83"/>
  <c r="T45" i="83"/>
  <c r="P45" i="83"/>
  <c r="N45" i="83"/>
  <c r="Z45" i="83"/>
  <c r="W45" i="83"/>
  <c r="T46" i="71"/>
  <c r="P46" i="71"/>
  <c r="L46" i="71"/>
  <c r="W46" i="71"/>
  <c r="Z46" i="71"/>
  <c r="N46" i="71"/>
  <c r="N51" i="107"/>
  <c r="Z51" i="107"/>
  <c r="T51" i="107"/>
  <c r="L51" i="107"/>
  <c r="P51" i="107"/>
  <c r="W51" i="107"/>
  <c r="Z53" i="201"/>
  <c r="T53" i="201"/>
  <c r="N53" i="201"/>
  <c r="P53" i="201"/>
  <c r="W53" i="201"/>
  <c r="L53" i="201"/>
  <c r="L45" i="111"/>
  <c r="N45" i="111"/>
  <c r="P45" i="111"/>
  <c r="W45" i="111"/>
  <c r="T45" i="111"/>
  <c r="Z45" i="111"/>
  <c r="Z45" i="113"/>
  <c r="P42" i="113" s="1"/>
  <c r="O24" i="114" s="1"/>
  <c r="BR18" i="4" s="1"/>
  <c r="W45" i="113"/>
  <c r="N42" i="113" s="1"/>
  <c r="N24" i="114" s="1"/>
  <c r="BQ18" i="4" s="1"/>
  <c r="T45" i="113"/>
  <c r="L42" i="113" s="1"/>
  <c r="M24" i="114" s="1"/>
  <c r="BP18" i="4" s="1"/>
  <c r="L45" i="113"/>
  <c r="N45" i="113"/>
  <c r="P45" i="113"/>
  <c r="W48" i="43"/>
  <c r="Z48" i="43"/>
  <c r="T48" i="43"/>
  <c r="N48" i="43"/>
  <c r="L48" i="43"/>
  <c r="P48" i="43"/>
  <c r="L45" i="105"/>
  <c r="P45" i="105"/>
  <c r="W45" i="105"/>
  <c r="T45" i="105"/>
  <c r="N45" i="105"/>
  <c r="Z45" i="105"/>
  <c r="P27" i="111"/>
  <c r="O19" i="112" s="1"/>
  <c r="O59" i="163"/>
  <c r="P25" i="164" s="1"/>
  <c r="AM15" i="4"/>
  <c r="AB51" i="35"/>
  <c r="L51" i="35"/>
  <c r="AA51" i="35"/>
  <c r="Z51" i="35"/>
  <c r="Z51" i="209"/>
  <c r="AB51" i="209"/>
  <c r="AA51" i="209"/>
  <c r="L51" i="209"/>
  <c r="AC51" i="209"/>
  <c r="AD51" i="209"/>
  <c r="N37" i="157"/>
  <c r="N21" i="158" s="1"/>
  <c r="AA17" i="4" s="1"/>
  <c r="W48" i="199"/>
  <c r="Z48" i="199"/>
  <c r="L48" i="199"/>
  <c r="N48" i="199"/>
  <c r="P48" i="199"/>
  <c r="T48" i="199"/>
  <c r="N55" i="43"/>
  <c r="W55" i="43"/>
  <c r="P55" i="43"/>
  <c r="L55" i="43"/>
  <c r="Z55" i="43"/>
  <c r="T55" i="43"/>
  <c r="P54" i="53"/>
  <c r="W54" i="53"/>
  <c r="N54" i="53"/>
  <c r="L54" i="53"/>
  <c r="T54" i="53"/>
  <c r="Z54" i="53"/>
  <c r="W51" i="45"/>
  <c r="L51" i="45"/>
  <c r="N51" i="45"/>
  <c r="T51" i="45"/>
  <c r="Z51" i="45"/>
  <c r="P51" i="45"/>
  <c r="Z47" i="45"/>
  <c r="T47" i="45"/>
  <c r="P47" i="45"/>
  <c r="W47" i="45"/>
  <c r="L47" i="45"/>
  <c r="N47" i="45"/>
  <c r="AB49" i="56"/>
  <c r="Z49" i="56"/>
  <c r="AA49" i="56"/>
  <c r="L49" i="56"/>
  <c r="AA49" i="51"/>
  <c r="AB49" i="51"/>
  <c r="L49" i="51"/>
  <c r="AD49" i="51"/>
  <c r="Z49" i="51"/>
  <c r="AC49" i="51"/>
  <c r="AC50" i="103"/>
  <c r="L50" i="103"/>
  <c r="AA50" i="103"/>
  <c r="Z50" i="103"/>
  <c r="AB50" i="103"/>
  <c r="AA50" i="49"/>
  <c r="L50" i="49"/>
  <c r="Z50" i="49"/>
  <c r="L49" i="17"/>
  <c r="Z49" i="17"/>
  <c r="N58" i="189"/>
  <c r="N25" i="190" s="1"/>
  <c r="L37" i="69"/>
  <c r="M21" i="70" s="1"/>
  <c r="AY17" i="4" s="1"/>
  <c r="P47" i="195"/>
  <c r="Z47" i="195"/>
  <c r="L47" i="195"/>
  <c r="N47" i="195"/>
  <c r="W47" i="195"/>
  <c r="T47" i="195"/>
  <c r="N48" i="157"/>
  <c r="Z48" i="157"/>
  <c r="L48" i="157"/>
  <c r="T48" i="157"/>
  <c r="W48" i="157"/>
  <c r="P48" i="157"/>
  <c r="N58" i="71"/>
  <c r="N25" i="72" s="1"/>
  <c r="AK19" i="4" s="1"/>
  <c r="N27" i="87"/>
  <c r="N19" i="88" s="1"/>
  <c r="N37" i="67"/>
  <c r="N21" i="68" s="1"/>
  <c r="AT17" i="4" s="1"/>
  <c r="L68" i="53"/>
  <c r="L67" i="53" s="1"/>
  <c r="M23" i="54" s="1"/>
  <c r="W20" i="4" s="1"/>
  <c r="N68" i="53"/>
  <c r="N67" i="53" s="1"/>
  <c r="N23" i="54" s="1"/>
  <c r="X20" i="4" s="1"/>
  <c r="P68" i="53"/>
  <c r="P67" i="53" s="1"/>
  <c r="O23" i="54" s="1"/>
  <c r="P68" i="191"/>
  <c r="P67" i="191" s="1"/>
  <c r="O23" i="192" s="1"/>
  <c r="CJ20" i="4" s="1"/>
  <c r="L68" i="191"/>
  <c r="L67" i="191" s="1"/>
  <c r="M23" i="192" s="1"/>
  <c r="CH20" i="4" s="1"/>
  <c r="N68" i="191"/>
  <c r="N67" i="191" s="1"/>
  <c r="N23" i="192" s="1"/>
  <c r="CI20" i="4" s="1"/>
  <c r="L37" i="145"/>
  <c r="M21" i="146" s="1"/>
  <c r="N51" i="191"/>
  <c r="Z51" i="191"/>
  <c r="W51" i="191"/>
  <c r="L51" i="191"/>
  <c r="T51" i="191"/>
  <c r="P51" i="191"/>
  <c r="N50" i="107"/>
  <c r="T50" i="107"/>
  <c r="Z50" i="107"/>
  <c r="W50" i="107"/>
  <c r="P50" i="107"/>
  <c r="L50" i="107"/>
  <c r="N47" i="105"/>
  <c r="Z47" i="105"/>
  <c r="P47" i="105"/>
  <c r="W47" i="105"/>
  <c r="T47" i="105"/>
  <c r="L47" i="105"/>
  <c r="N47" i="77"/>
  <c r="L47" i="77"/>
  <c r="T47" i="77"/>
  <c r="W47" i="77"/>
  <c r="P47" i="77"/>
  <c r="Z47" i="77"/>
  <c r="L46" i="119"/>
  <c r="P46" i="119"/>
  <c r="N46" i="119"/>
  <c r="W46" i="119"/>
  <c r="T46" i="119"/>
  <c r="Z46" i="119"/>
  <c r="N46" i="149"/>
  <c r="W46" i="149"/>
  <c r="Z46" i="149"/>
  <c r="T46" i="149"/>
  <c r="P46" i="149"/>
  <c r="L46" i="149"/>
  <c r="N27" i="153"/>
  <c r="N19" i="154" s="1"/>
  <c r="O59" i="91"/>
  <c r="P25" i="92" s="1"/>
  <c r="P58" i="77"/>
  <c r="O25" i="78" s="1"/>
  <c r="BG19" i="4" s="1"/>
  <c r="P37" i="67"/>
  <c r="O21" i="68" s="1"/>
  <c r="AU17" i="4" s="1"/>
  <c r="L58" i="179"/>
  <c r="M25" i="180" s="1"/>
  <c r="L34" i="73"/>
  <c r="N34" i="73"/>
  <c r="P34" i="73"/>
  <c r="L34" i="69"/>
  <c r="P34" i="69"/>
  <c r="N34" i="69"/>
  <c r="P34" i="119"/>
  <c r="N34" i="119"/>
  <c r="L34" i="119"/>
  <c r="P34" i="109"/>
  <c r="N34" i="109"/>
  <c r="L34" i="109"/>
  <c r="P58" i="197"/>
  <c r="O25" i="198" s="1"/>
  <c r="AC54" i="35"/>
  <c r="L54" i="35"/>
  <c r="W48" i="77"/>
  <c r="T48" i="77"/>
  <c r="N48" i="77"/>
  <c r="P48" i="77"/>
  <c r="L48" i="77"/>
  <c r="Z48" i="77"/>
  <c r="AB46" i="23"/>
  <c r="L46" i="23"/>
  <c r="AA46" i="23"/>
  <c r="Z46" i="23"/>
  <c r="AD46" i="23"/>
  <c r="AC46" i="23"/>
  <c r="Z46" i="15"/>
  <c r="AC46" i="15"/>
  <c r="L46" i="15"/>
  <c r="AA46" i="15"/>
  <c r="AB46" i="15"/>
  <c r="P49" i="69"/>
  <c r="T49" i="69"/>
  <c r="Z49" i="69"/>
  <c r="W49" i="69"/>
  <c r="L49" i="69"/>
  <c r="N49" i="69"/>
  <c r="N49" i="187"/>
  <c r="L49" i="187"/>
  <c r="W49" i="187"/>
  <c r="P49" i="187"/>
  <c r="Z49" i="187"/>
  <c r="T49" i="187"/>
  <c r="T50" i="85"/>
  <c r="N50" i="85"/>
  <c r="P50" i="85"/>
  <c r="Z50" i="85"/>
  <c r="W50" i="85"/>
  <c r="L50" i="85"/>
  <c r="L37" i="191"/>
  <c r="M21" i="192" s="1"/>
  <c r="CH17" i="4" s="1"/>
  <c r="L33" i="73"/>
  <c r="N33" i="73"/>
  <c r="P33" i="73"/>
  <c r="L24" i="51"/>
  <c r="L34" i="51" s="1"/>
  <c r="L33" i="67"/>
  <c r="P33" i="67"/>
  <c r="N33" i="67"/>
  <c r="N33" i="71"/>
  <c r="L33" i="71"/>
  <c r="P33" i="71"/>
  <c r="P33" i="83"/>
  <c r="N33" i="83"/>
  <c r="L33" i="83"/>
  <c r="N33" i="43"/>
  <c r="P33" i="43"/>
  <c r="L33" i="43"/>
  <c r="L24" i="49"/>
  <c r="L34" i="49" s="1"/>
  <c r="P37" i="115"/>
  <c r="O21" i="116" s="1"/>
  <c r="CD17" i="4" s="1"/>
  <c r="N37" i="77"/>
  <c r="N21" i="78" s="1"/>
  <c r="BF17" i="4" s="1"/>
  <c r="L27" i="45"/>
  <c r="M19" i="46" s="1"/>
  <c r="N27" i="151"/>
  <c r="N19" i="152" s="1"/>
  <c r="L27" i="189"/>
  <c r="M19" i="190" s="1"/>
  <c r="P27" i="179"/>
  <c r="O19" i="180" s="1"/>
  <c r="L37" i="181"/>
  <c r="M21" i="182" s="1"/>
  <c r="L27" i="53"/>
  <c r="M19" i="54" s="1"/>
  <c r="N58" i="83"/>
  <c r="N25" i="84" s="1"/>
  <c r="AQ19" i="4" s="1"/>
  <c r="L37" i="83"/>
  <c r="M21" i="84" s="1"/>
  <c r="AP17" i="4" s="1"/>
  <c r="N50" i="201"/>
  <c r="Z50" i="201"/>
  <c r="L50" i="201"/>
  <c r="P50" i="201"/>
  <c r="T50" i="201"/>
  <c r="W50" i="201"/>
  <c r="N48" i="107"/>
  <c r="L48" i="107"/>
  <c r="W48" i="107"/>
  <c r="P48" i="107"/>
  <c r="T48" i="107"/>
  <c r="Z48" i="107"/>
  <c r="AA48" i="215"/>
  <c r="AB48" i="215"/>
  <c r="AC48" i="215"/>
  <c r="L48" i="215"/>
  <c r="Z48" i="215"/>
  <c r="N48" i="189"/>
  <c r="Z48" i="189"/>
  <c r="L48" i="189"/>
  <c r="W48" i="189"/>
  <c r="T48" i="189"/>
  <c r="P48" i="189"/>
  <c r="Z48" i="207"/>
  <c r="AA48" i="207"/>
  <c r="L48" i="207"/>
  <c r="AC48" i="207"/>
  <c r="AB48" i="207"/>
  <c r="L49" i="85"/>
  <c r="Z49" i="85"/>
  <c r="T49" i="85"/>
  <c r="P49" i="85"/>
  <c r="W49" i="85"/>
  <c r="N49" i="85"/>
  <c r="W48" i="105"/>
  <c r="P48" i="105"/>
  <c r="L48" i="105"/>
  <c r="N48" i="105"/>
  <c r="T48" i="105"/>
  <c r="Z48" i="105"/>
  <c r="AA47" i="58"/>
  <c r="N43" i="58" s="1"/>
  <c r="O24" i="59" s="1"/>
  <c r="Z47" i="58"/>
  <c r="M43" i="58" s="1"/>
  <c r="L47" i="58"/>
  <c r="AC47" i="15"/>
  <c r="AA47" i="15"/>
  <c r="AB47" i="15"/>
  <c r="Z47" i="15"/>
  <c r="L47" i="15"/>
  <c r="L47" i="49"/>
  <c r="AA47" i="49"/>
  <c r="Z47" i="49"/>
  <c r="N35" i="145"/>
  <c r="L35" i="145"/>
  <c r="P35" i="145"/>
  <c r="L35" i="147"/>
  <c r="N35" i="147"/>
  <c r="P35" i="147"/>
  <c r="N35" i="115"/>
  <c r="P35" i="115"/>
  <c r="L35" i="115"/>
  <c r="N35" i="113"/>
  <c r="P35" i="113"/>
  <c r="L35" i="113"/>
  <c r="P35" i="87"/>
  <c r="N35" i="87"/>
  <c r="L35" i="87"/>
  <c r="N37" i="151"/>
  <c r="N21" i="152" s="1"/>
  <c r="N59" i="21"/>
  <c r="O25" i="22" s="1"/>
  <c r="L37" i="53"/>
  <c r="M21" i="54" s="1"/>
  <c r="W17" i="4" s="1"/>
  <c r="BR15" i="4"/>
  <c r="P27" i="71"/>
  <c r="O19" i="72" s="1"/>
  <c r="L58" i="111"/>
  <c r="M25" i="112" s="1"/>
  <c r="N37" i="179"/>
  <c r="N21" i="180" s="1"/>
  <c r="N49" i="153"/>
  <c r="W49" i="153"/>
  <c r="L49" i="153"/>
  <c r="P49" i="153"/>
  <c r="Z49" i="153"/>
  <c r="T49" i="153"/>
  <c r="P46" i="189"/>
  <c r="T46" i="189"/>
  <c r="L46" i="189"/>
  <c r="N46" i="189"/>
  <c r="Z46" i="189"/>
  <c r="W46" i="189"/>
  <c r="L46" i="179"/>
  <c r="N46" i="179"/>
  <c r="Z46" i="179"/>
  <c r="T46" i="179"/>
  <c r="W46" i="179"/>
  <c r="P46" i="179"/>
  <c r="N48" i="83"/>
  <c r="L48" i="83"/>
  <c r="W48" i="83"/>
  <c r="P48" i="83"/>
  <c r="T48" i="83"/>
  <c r="Z48" i="83"/>
  <c r="L46" i="213"/>
  <c r="Z46" i="213"/>
  <c r="AC46" i="213"/>
  <c r="AB46" i="213"/>
  <c r="AA46" i="213"/>
  <c r="Z53" i="91"/>
  <c r="L53" i="91"/>
  <c r="AB53" i="91"/>
  <c r="AA53" i="91"/>
  <c r="AC53" i="91"/>
  <c r="Z52" i="163"/>
  <c r="L52" i="163"/>
  <c r="AA52" i="163"/>
  <c r="AB52" i="163"/>
  <c r="L47" i="193"/>
  <c r="P47" i="193"/>
  <c r="Z47" i="193"/>
  <c r="W47" i="193"/>
  <c r="N47" i="193"/>
  <c r="T47" i="193"/>
  <c r="Z47" i="191"/>
  <c r="N47" i="191"/>
  <c r="L47" i="191"/>
  <c r="P47" i="191"/>
  <c r="W47" i="191"/>
  <c r="T47" i="191"/>
  <c r="L58" i="157"/>
  <c r="M25" i="158" s="1"/>
  <c r="Z19" i="4" s="1"/>
  <c r="N36" i="151"/>
  <c r="P36" i="151"/>
  <c r="L36" i="151"/>
  <c r="L36" i="181"/>
  <c r="N36" i="181"/>
  <c r="P36" i="181"/>
  <c r="P36" i="85"/>
  <c r="L36" i="85"/>
  <c r="N36" i="85"/>
  <c r="P36" i="191"/>
  <c r="L36" i="191"/>
  <c r="N36" i="191"/>
  <c r="L36" i="73"/>
  <c r="P36" i="73"/>
  <c r="N36" i="73"/>
  <c r="L36" i="69"/>
  <c r="P36" i="69"/>
  <c r="N36" i="69"/>
  <c r="N37" i="53"/>
  <c r="N21" i="54" s="1"/>
  <c r="X17" i="4" s="1"/>
  <c r="N58" i="151"/>
  <c r="N25" i="152" s="1"/>
  <c r="N27" i="113"/>
  <c r="N19" i="114" s="1"/>
  <c r="P27" i="105"/>
  <c r="O19" i="106" s="1"/>
  <c r="P68" i="181"/>
  <c r="P67" i="181" s="1"/>
  <c r="O23" i="182" s="1"/>
  <c r="N68" i="181"/>
  <c r="N67" i="181" s="1"/>
  <c r="N23" i="182" s="1"/>
  <c r="L68" i="181"/>
  <c r="L67" i="181" s="1"/>
  <c r="M23" i="182" s="1"/>
  <c r="P58" i="111"/>
  <c r="O25" i="112" s="1"/>
  <c r="L49" i="19"/>
  <c r="AD49" i="19"/>
  <c r="AC49" i="19"/>
  <c r="AB49" i="19"/>
  <c r="AA49" i="19"/>
  <c r="Z49" i="19"/>
  <c r="L58" i="187"/>
  <c r="M25" i="188" s="1"/>
  <c r="Z45" i="179"/>
  <c r="N45" i="179"/>
  <c r="T45" i="179"/>
  <c r="P45" i="179"/>
  <c r="L45" i="179"/>
  <c r="W45" i="179"/>
  <c r="Z54" i="201"/>
  <c r="P54" i="201"/>
  <c r="L54" i="201"/>
  <c r="N54" i="201"/>
  <c r="T54" i="201"/>
  <c r="W54" i="201"/>
  <c r="N68" i="193"/>
  <c r="N67" i="193" s="1"/>
  <c r="N23" i="194" s="1"/>
  <c r="L68" i="193"/>
  <c r="L67" i="193" s="1"/>
  <c r="M23" i="194" s="1"/>
  <c r="P68" i="193"/>
  <c r="P67" i="193" s="1"/>
  <c r="O23" i="194" s="1"/>
  <c r="W46" i="117"/>
  <c r="P46" i="117"/>
  <c r="L46" i="117"/>
  <c r="N46" i="117"/>
  <c r="Z46" i="117"/>
  <c r="T46" i="117"/>
  <c r="N34" i="191"/>
  <c r="P34" i="191"/>
  <c r="L34" i="191"/>
  <c r="O15" i="24"/>
  <c r="L47" i="199"/>
  <c r="Z47" i="199"/>
  <c r="P47" i="199"/>
  <c r="W47" i="199"/>
  <c r="N47" i="199"/>
  <c r="T47" i="199"/>
  <c r="W51" i="109"/>
  <c r="P51" i="109"/>
  <c r="Z51" i="109"/>
  <c r="L51" i="109"/>
  <c r="T51" i="109"/>
  <c r="N51" i="109"/>
  <c r="L51" i="47"/>
  <c r="P51" i="47"/>
  <c r="Z51" i="47"/>
  <c r="T51" i="47"/>
  <c r="W51" i="47"/>
  <c r="N51" i="47"/>
  <c r="T52" i="71"/>
  <c r="W52" i="71"/>
  <c r="P52" i="71"/>
  <c r="Z52" i="71"/>
  <c r="L52" i="71"/>
  <c r="N52" i="71"/>
  <c r="W45" i="187"/>
  <c r="T45" i="187"/>
  <c r="L45" i="187"/>
  <c r="N45" i="187"/>
  <c r="Z45" i="187"/>
  <c r="P45" i="187"/>
  <c r="L46" i="199"/>
  <c r="P46" i="199"/>
  <c r="W46" i="199"/>
  <c r="N46" i="199"/>
  <c r="T46" i="199"/>
  <c r="Z46" i="199"/>
  <c r="P45" i="189"/>
  <c r="Z45" i="189"/>
  <c r="L45" i="189"/>
  <c r="T45" i="189"/>
  <c r="W45" i="189"/>
  <c r="N45" i="189"/>
  <c r="W45" i="149"/>
  <c r="T45" i="149"/>
  <c r="L45" i="149"/>
  <c r="Z45" i="149"/>
  <c r="N45" i="149"/>
  <c r="P45" i="149"/>
  <c r="BZ15" i="4"/>
  <c r="CF15" i="4"/>
  <c r="AC51" i="103"/>
  <c r="L51" i="103"/>
  <c r="Z51" i="103"/>
  <c r="AA51" i="103"/>
  <c r="AB51" i="103"/>
  <c r="AB51" i="56"/>
  <c r="AA51" i="56"/>
  <c r="L51" i="56"/>
  <c r="Z51" i="56"/>
  <c r="AC52" i="215"/>
  <c r="AB52" i="215"/>
  <c r="AA52" i="215"/>
  <c r="L52" i="215"/>
  <c r="Z52" i="215"/>
  <c r="N49" i="193"/>
  <c r="P49" i="193"/>
  <c r="W49" i="193"/>
  <c r="T49" i="193"/>
  <c r="L49" i="193"/>
  <c r="Z49" i="193"/>
  <c r="T53" i="191"/>
  <c r="P53" i="191"/>
  <c r="W53" i="191"/>
  <c r="Z53" i="191"/>
  <c r="N53" i="191"/>
  <c r="L53" i="191"/>
  <c r="W52" i="45"/>
  <c r="P52" i="45"/>
  <c r="T52" i="45"/>
  <c r="N52" i="45"/>
  <c r="Z52" i="45"/>
  <c r="L52" i="45"/>
  <c r="T53" i="83"/>
  <c r="N53" i="83"/>
  <c r="P53" i="83"/>
  <c r="W53" i="83"/>
  <c r="L53" i="83"/>
  <c r="Z53" i="83"/>
  <c r="W54" i="43"/>
  <c r="L54" i="43"/>
  <c r="T54" i="43"/>
  <c r="Z54" i="43"/>
  <c r="P54" i="43"/>
  <c r="N54" i="43"/>
  <c r="AA49" i="81"/>
  <c r="L49" i="81"/>
  <c r="AB49" i="81"/>
  <c r="Z49" i="81"/>
  <c r="AA49" i="35"/>
  <c r="Z49" i="35"/>
  <c r="AB49" i="35"/>
  <c r="L49" i="35"/>
  <c r="AB50" i="56"/>
  <c r="L50" i="56"/>
  <c r="Z50" i="56"/>
  <c r="AA50" i="56"/>
  <c r="Z51" i="181"/>
  <c r="T51" i="181"/>
  <c r="L51" i="181"/>
  <c r="N51" i="181"/>
  <c r="W51" i="181"/>
  <c r="P51" i="181"/>
  <c r="W54" i="199"/>
  <c r="L54" i="199"/>
  <c r="Z54" i="199"/>
  <c r="P54" i="199"/>
  <c r="T54" i="199"/>
  <c r="N54" i="199"/>
  <c r="P58" i="107"/>
  <c r="O25" i="108" s="1"/>
  <c r="BU19" i="4" s="1"/>
  <c r="L37" i="45"/>
  <c r="M21" i="46" s="1"/>
  <c r="AC17" i="4" s="1"/>
  <c r="P58" i="189"/>
  <c r="O25" i="190" s="1"/>
  <c r="P37" i="69"/>
  <c r="O21" i="70" s="1"/>
  <c r="BA17" i="4" s="1"/>
  <c r="L52" i="179"/>
  <c r="T52" i="179"/>
  <c r="Z52" i="179"/>
  <c r="P52" i="179"/>
  <c r="W52" i="179"/>
  <c r="N52" i="179"/>
  <c r="P48" i="179"/>
  <c r="T48" i="179"/>
  <c r="Z48" i="179"/>
  <c r="N48" i="179"/>
  <c r="W48" i="179"/>
  <c r="L48" i="179"/>
  <c r="W53" i="71"/>
  <c r="N53" i="71"/>
  <c r="P53" i="71"/>
  <c r="L53" i="71"/>
  <c r="T53" i="71"/>
  <c r="Z53" i="71"/>
  <c r="N27" i="157"/>
  <c r="N19" i="158" s="1"/>
  <c r="AA15" i="4" s="1"/>
  <c r="N37" i="47"/>
  <c r="N21" i="48" s="1"/>
  <c r="AH17" i="4" s="1"/>
  <c r="L27" i="87"/>
  <c r="M19" i="88" s="1"/>
  <c r="L62" i="163"/>
  <c r="L37" i="67"/>
  <c r="M21" i="68" s="1"/>
  <c r="AS17" i="4" s="1"/>
  <c r="L27" i="83"/>
  <c r="M19" i="84" s="1"/>
  <c r="N58" i="105"/>
  <c r="N25" i="106" s="1"/>
  <c r="BN19" i="4" s="1"/>
  <c r="P68" i="113"/>
  <c r="P67" i="113" s="1"/>
  <c r="O23" i="114" s="1"/>
  <c r="BR20" i="4" s="1"/>
  <c r="L68" i="113"/>
  <c r="L67" i="113" s="1"/>
  <c r="M23" i="114" s="1"/>
  <c r="BP20" i="4" s="1"/>
  <c r="N68" i="113"/>
  <c r="N67" i="113" s="1"/>
  <c r="N23" i="114" s="1"/>
  <c r="BQ20" i="4" s="1"/>
  <c r="L68" i="47"/>
  <c r="L67" i="47" s="1"/>
  <c r="M23" i="48" s="1"/>
  <c r="AG20" i="4" s="1"/>
  <c r="N68" i="47"/>
  <c r="N67" i="47" s="1"/>
  <c r="N23" i="48" s="1"/>
  <c r="AH20" i="4" s="1"/>
  <c r="P68" i="47"/>
  <c r="P67" i="47" s="1"/>
  <c r="O23" i="48" s="1"/>
  <c r="N37" i="145"/>
  <c r="N21" i="146" s="1"/>
  <c r="Z51" i="117"/>
  <c r="P51" i="117"/>
  <c r="N51" i="117"/>
  <c r="T51" i="117"/>
  <c r="W51" i="117"/>
  <c r="L51" i="117"/>
  <c r="L51" i="115"/>
  <c r="T51" i="115"/>
  <c r="P51" i="115"/>
  <c r="N51" i="115"/>
  <c r="W51" i="115"/>
  <c r="Z51" i="115"/>
  <c r="W51" i="85"/>
  <c r="P51" i="85"/>
  <c r="L51" i="85"/>
  <c r="T51" i="85"/>
  <c r="N51" i="85"/>
  <c r="Z51" i="85"/>
  <c r="L47" i="89"/>
  <c r="P47" i="89"/>
  <c r="W47" i="89"/>
  <c r="T47" i="89"/>
  <c r="Z47" i="89"/>
  <c r="N47" i="89"/>
  <c r="Z47" i="187"/>
  <c r="P47" i="187"/>
  <c r="L47" i="187"/>
  <c r="N47" i="187"/>
  <c r="T47" i="187"/>
  <c r="W47" i="187"/>
  <c r="Z47" i="69"/>
  <c r="T47" i="69"/>
  <c r="N47" i="69"/>
  <c r="W47" i="69"/>
  <c r="P47" i="69"/>
  <c r="L47" i="69"/>
  <c r="W50" i="151"/>
  <c r="P50" i="151"/>
  <c r="L50" i="151"/>
  <c r="Z50" i="151"/>
  <c r="T50" i="151"/>
  <c r="N50" i="151"/>
  <c r="P37" i="43"/>
  <c r="O21" i="44" s="1"/>
  <c r="N59" i="91"/>
  <c r="O25" i="92" s="1"/>
  <c r="L58" i="69"/>
  <c r="M25" i="70" s="1"/>
  <c r="AY19" i="4" s="1"/>
  <c r="AZ15" i="4"/>
  <c r="BG15" i="4"/>
  <c r="L34" i="115"/>
  <c r="N34" i="115"/>
  <c r="P34" i="115"/>
  <c r="N34" i="157"/>
  <c r="L34" i="157"/>
  <c r="P34" i="157"/>
  <c r="N34" i="45"/>
  <c r="L34" i="45"/>
  <c r="P34" i="45"/>
  <c r="L58" i="197"/>
  <c r="M25" i="198" s="1"/>
  <c r="Z51" i="51"/>
  <c r="AD51" i="51"/>
  <c r="L51" i="51"/>
  <c r="AA51" i="51"/>
  <c r="AC51" i="51"/>
  <c r="AB51" i="51"/>
  <c r="L48" i="181"/>
  <c r="N48" i="181"/>
  <c r="T48" i="181"/>
  <c r="P48" i="181"/>
  <c r="W48" i="181"/>
  <c r="Z48" i="181"/>
  <c r="AA46" i="35"/>
  <c r="N43" i="35" s="1"/>
  <c r="O24" i="36" s="1"/>
  <c r="L46" i="35"/>
  <c r="AB46" i="35"/>
  <c r="O43" i="35" s="1"/>
  <c r="P24" i="36" s="1"/>
  <c r="AD46" i="35"/>
  <c r="Q43" i="35" s="1"/>
  <c r="R24" i="36" s="1"/>
  <c r="Z46" i="35"/>
  <c r="M43" i="35" s="1"/>
  <c r="AC46" i="35"/>
  <c r="P43" i="35" s="1"/>
  <c r="Q24" i="36" s="1"/>
  <c r="AB49" i="215"/>
  <c r="Z49" i="215"/>
  <c r="AA49" i="215"/>
  <c r="AC49" i="215"/>
  <c r="L49" i="215"/>
  <c r="AA46" i="159"/>
  <c r="L46" i="159"/>
  <c r="Z46" i="159"/>
  <c r="AB46" i="159"/>
  <c r="O43" i="159" s="1"/>
  <c r="P24" i="160" s="1"/>
  <c r="N49" i="189"/>
  <c r="L49" i="189"/>
  <c r="Z49" i="189"/>
  <c r="T49" i="189"/>
  <c r="P49" i="189"/>
  <c r="W49" i="189"/>
  <c r="T49" i="87"/>
  <c r="P49" i="87"/>
  <c r="N49" i="87"/>
  <c r="L49" i="87"/>
  <c r="Z49" i="87"/>
  <c r="W49" i="87"/>
  <c r="Z49" i="147"/>
  <c r="W49" i="147"/>
  <c r="P49" i="147"/>
  <c r="N49" i="147"/>
  <c r="L49" i="147"/>
  <c r="T49" i="147"/>
  <c r="N37" i="191"/>
  <c r="N21" i="192" s="1"/>
  <c r="CI17" i="4" s="1"/>
  <c r="L24" i="209"/>
  <c r="L24" i="58"/>
  <c r="L34" i="58" s="1"/>
  <c r="L33" i="149"/>
  <c r="P33" i="149"/>
  <c r="N33" i="149"/>
  <c r="L33" i="179"/>
  <c r="N33" i="179"/>
  <c r="P33" i="179"/>
  <c r="L24" i="56"/>
  <c r="L34" i="56" s="1"/>
  <c r="L33" i="107"/>
  <c r="N33" i="107"/>
  <c r="P33" i="107"/>
  <c r="L33" i="85"/>
  <c r="P33" i="85"/>
  <c r="N33" i="85"/>
  <c r="N27" i="149"/>
  <c r="N19" i="150" s="1"/>
  <c r="L37" i="77"/>
  <c r="M21" i="78" s="1"/>
  <c r="BE17" i="4" s="1"/>
  <c r="N27" i="197"/>
  <c r="N19" i="198" s="1"/>
  <c r="L27" i="151"/>
  <c r="M19" i="152" s="1"/>
  <c r="N27" i="189"/>
  <c r="N19" i="190" s="1"/>
  <c r="P58" i="145"/>
  <c r="O25" i="146" s="1"/>
  <c r="N27" i="179"/>
  <c r="N19" i="180" s="1"/>
  <c r="P58" i="147"/>
  <c r="O25" i="148" s="1"/>
  <c r="N58" i="89"/>
  <c r="N25" i="90" s="1"/>
  <c r="BI19" i="4" s="1"/>
  <c r="N37" i="83"/>
  <c r="N21" i="84" s="1"/>
  <c r="AQ17" i="4" s="1"/>
  <c r="Z48" i="21"/>
  <c r="L48" i="21"/>
  <c r="AA48" i="21"/>
  <c r="AB48" i="21"/>
  <c r="N47" i="115"/>
  <c r="W47" i="115"/>
  <c r="L47" i="115"/>
  <c r="P47" i="115"/>
  <c r="T47" i="115"/>
  <c r="Z47" i="115"/>
  <c r="L49" i="191"/>
  <c r="Z49" i="191"/>
  <c r="T49" i="191"/>
  <c r="N49" i="191"/>
  <c r="W49" i="191"/>
  <c r="P49" i="191"/>
  <c r="AA48" i="65"/>
  <c r="L48" i="65"/>
  <c r="Z48" i="65"/>
  <c r="T49" i="73"/>
  <c r="Z49" i="73"/>
  <c r="P49" i="73"/>
  <c r="W49" i="73"/>
  <c r="N49" i="73"/>
  <c r="L49" i="73"/>
  <c r="Z48" i="213"/>
  <c r="L48" i="213"/>
  <c r="AC48" i="213"/>
  <c r="AB48" i="213"/>
  <c r="AA48" i="213"/>
  <c r="Z50" i="149"/>
  <c r="P50" i="149"/>
  <c r="W50" i="149"/>
  <c r="N50" i="149"/>
  <c r="L50" i="149"/>
  <c r="T50" i="149"/>
  <c r="Z47" i="207"/>
  <c r="L47" i="207"/>
  <c r="AB47" i="207"/>
  <c r="AC47" i="207"/>
  <c r="AA47" i="207"/>
  <c r="AB47" i="91"/>
  <c r="Z47" i="91"/>
  <c r="AA47" i="91"/>
  <c r="AC47" i="91"/>
  <c r="L47" i="91"/>
  <c r="P51" i="199"/>
  <c r="Z51" i="199"/>
  <c r="T51" i="199"/>
  <c r="W51" i="199"/>
  <c r="N51" i="199"/>
  <c r="L51" i="199"/>
  <c r="L58" i="87"/>
  <c r="M25" i="88" s="1"/>
  <c r="BB19" i="4" s="1"/>
  <c r="N35" i="67"/>
  <c r="P35" i="67"/>
  <c r="L35" i="67"/>
  <c r="P35" i="149"/>
  <c r="N35" i="149"/>
  <c r="L35" i="149"/>
  <c r="P35" i="83"/>
  <c r="N35" i="83"/>
  <c r="L35" i="83"/>
  <c r="N35" i="43"/>
  <c r="P35" i="43"/>
  <c r="L35" i="43"/>
  <c r="P35" i="45"/>
  <c r="L35" i="45"/>
  <c r="N35" i="45"/>
  <c r="N35" i="73"/>
  <c r="P35" i="73"/>
  <c r="L35" i="73"/>
  <c r="BU15" i="4"/>
  <c r="L37" i="151"/>
  <c r="M21" i="152" s="1"/>
  <c r="L37" i="117"/>
  <c r="M21" i="118" s="1"/>
  <c r="N27" i="71"/>
  <c r="N19" i="72" s="1"/>
  <c r="P37" i="187"/>
  <c r="O21" i="188" s="1"/>
  <c r="N27" i="147"/>
  <c r="N19" i="148" s="1"/>
  <c r="L70" i="35"/>
  <c r="Q67" i="35"/>
  <c r="R23" i="36" s="1"/>
  <c r="L58" i="83"/>
  <c r="M25" i="84" s="1"/>
  <c r="AP19" i="4" s="1"/>
  <c r="L37" i="179"/>
  <c r="M21" i="180" s="1"/>
  <c r="T46" i="89"/>
  <c r="P46" i="89"/>
  <c r="W46" i="89"/>
  <c r="N46" i="89"/>
  <c r="Z46" i="89"/>
  <c r="L46" i="89"/>
  <c r="AC46" i="215"/>
  <c r="AB46" i="215"/>
  <c r="Z46" i="215"/>
  <c r="L46" i="215"/>
  <c r="AA46" i="215"/>
  <c r="AC46" i="211"/>
  <c r="Z46" i="211"/>
  <c r="M43" i="211" s="1"/>
  <c r="L46" i="211"/>
  <c r="AB46" i="211"/>
  <c r="AA46" i="211"/>
  <c r="P49" i="117"/>
  <c r="W49" i="117"/>
  <c r="N49" i="117"/>
  <c r="L49" i="117"/>
  <c r="Z49" i="117"/>
  <c r="T49" i="117"/>
  <c r="W46" i="87"/>
  <c r="T46" i="87"/>
  <c r="Z46" i="87"/>
  <c r="L46" i="87"/>
  <c r="P46" i="87"/>
  <c r="N46" i="87"/>
  <c r="P54" i="89"/>
  <c r="N54" i="89"/>
  <c r="W54" i="89"/>
  <c r="Z54" i="89"/>
  <c r="T54" i="89"/>
  <c r="L54" i="89"/>
  <c r="T47" i="85"/>
  <c r="P47" i="85"/>
  <c r="Z47" i="85"/>
  <c r="W47" i="85"/>
  <c r="N47" i="85"/>
  <c r="L47" i="85"/>
  <c r="Z47" i="197"/>
  <c r="T47" i="197"/>
  <c r="P47" i="197"/>
  <c r="N47" i="197"/>
  <c r="W47" i="197"/>
  <c r="L47" i="197"/>
  <c r="N58" i="157"/>
  <c r="N25" i="158" s="1"/>
  <c r="AA19" i="4" s="1"/>
  <c r="N36" i="45"/>
  <c r="L36" i="45"/>
  <c r="P36" i="45"/>
  <c r="P17" i="45" s="1"/>
  <c r="P31" i="45" s="1"/>
  <c r="O20" i="46" s="1"/>
  <c r="AE16" i="4" s="1"/>
  <c r="P36" i="145"/>
  <c r="N36" i="145"/>
  <c r="L36" i="145"/>
  <c r="L36" i="149"/>
  <c r="P36" i="149"/>
  <c r="N36" i="149"/>
  <c r="P37" i="151"/>
  <c r="O21" i="152" s="1"/>
  <c r="L37" i="149"/>
  <c r="M21" i="150" s="1"/>
  <c r="L27" i="105"/>
  <c r="M19" i="106" s="1"/>
  <c r="P69" i="213"/>
  <c r="P67" i="213" s="1"/>
  <c r="Q23" i="214" s="1"/>
  <c r="M69" i="213"/>
  <c r="N69" i="213"/>
  <c r="N67" i="213" s="1"/>
  <c r="O23" i="214" s="1"/>
  <c r="O69" i="213"/>
  <c r="O67" i="213" s="1"/>
  <c r="P23" i="214" s="1"/>
  <c r="Q69" i="213"/>
  <c r="Q67" i="213" s="1"/>
  <c r="R23" i="214" s="1"/>
  <c r="L50" i="211"/>
  <c r="AB50" i="211"/>
  <c r="Z50" i="211"/>
  <c r="AC50" i="211"/>
  <c r="AA50" i="211"/>
  <c r="N50" i="105"/>
  <c r="Z50" i="105"/>
  <c r="T50" i="105"/>
  <c r="L50" i="105"/>
  <c r="P50" i="105"/>
  <c r="W50" i="105"/>
  <c r="W49" i="197"/>
  <c r="T49" i="197"/>
  <c r="P49" i="197"/>
  <c r="Z49" i="197"/>
  <c r="N49" i="197"/>
  <c r="L49" i="197"/>
  <c r="Z49" i="21"/>
  <c r="L49" i="21"/>
  <c r="AB49" i="21"/>
  <c r="AA49" i="21"/>
  <c r="L59" i="163"/>
  <c r="M25" i="164" s="1"/>
  <c r="BL19" i="4" s="1"/>
  <c r="L45" i="43"/>
  <c r="N45" i="43"/>
  <c r="Z45" i="43"/>
  <c r="W45" i="43"/>
  <c r="P45" i="43"/>
  <c r="T45" i="43"/>
  <c r="P37" i="111"/>
  <c r="O21" i="112" s="1"/>
  <c r="L34" i="85"/>
  <c r="P34" i="85"/>
  <c r="N34" i="85"/>
  <c r="P47" i="157"/>
  <c r="N47" i="157"/>
  <c r="W47" i="157"/>
  <c r="Z47" i="157"/>
  <c r="L47" i="157"/>
  <c r="T47" i="157"/>
  <c r="L45" i="53"/>
  <c r="W45" i="53"/>
  <c r="Z45" i="53"/>
  <c r="P45" i="53"/>
  <c r="N45" i="53"/>
  <c r="T45" i="53"/>
  <c r="W46" i="83"/>
  <c r="T46" i="83"/>
  <c r="P46" i="83"/>
  <c r="N46" i="83"/>
  <c r="L46" i="83"/>
  <c r="Z46" i="83"/>
  <c r="W53" i="197"/>
  <c r="L53" i="197"/>
  <c r="Z53" i="197"/>
  <c r="P53" i="197"/>
  <c r="T53" i="197"/>
  <c r="N53" i="197"/>
  <c r="L51" i="87"/>
  <c r="N51" i="87"/>
  <c r="P51" i="87"/>
  <c r="W51" i="87"/>
  <c r="T51" i="87"/>
  <c r="Z51" i="87"/>
  <c r="Z45" i="67"/>
  <c r="L45" i="67"/>
  <c r="P45" i="67"/>
  <c r="W45" i="67"/>
  <c r="N45" i="67"/>
  <c r="T45" i="67"/>
  <c r="P45" i="119"/>
  <c r="T45" i="119"/>
  <c r="W45" i="119"/>
  <c r="Z45" i="119"/>
  <c r="L45" i="119"/>
  <c r="N45" i="119"/>
  <c r="P45" i="153"/>
  <c r="W45" i="153"/>
  <c r="Z45" i="153"/>
  <c r="N45" i="153"/>
  <c r="T45" i="153"/>
  <c r="L45" i="153"/>
  <c r="N45" i="107"/>
  <c r="Z45" i="107"/>
  <c r="T45" i="107"/>
  <c r="L45" i="107"/>
  <c r="P45" i="107"/>
  <c r="W45" i="107"/>
  <c r="M59" i="209"/>
  <c r="N25" i="210" s="1"/>
  <c r="Z51" i="25"/>
  <c r="AB51" i="25"/>
  <c r="AA51" i="25"/>
  <c r="L51" i="25"/>
  <c r="Z51" i="91"/>
  <c r="AB51" i="91"/>
  <c r="L51" i="91"/>
  <c r="AC51" i="91"/>
  <c r="AA51" i="91"/>
  <c r="T53" i="199"/>
  <c r="L53" i="199"/>
  <c r="W53" i="199"/>
  <c r="P53" i="199"/>
  <c r="Z53" i="199"/>
  <c r="N53" i="199"/>
  <c r="Z53" i="73"/>
  <c r="T53" i="73"/>
  <c r="L53" i="73"/>
  <c r="W53" i="73"/>
  <c r="P53" i="73"/>
  <c r="N53" i="73"/>
  <c r="P53" i="43"/>
  <c r="W53" i="43"/>
  <c r="Z53" i="43"/>
  <c r="T53" i="43"/>
  <c r="N53" i="43"/>
  <c r="L53" i="43"/>
  <c r="Z55" i="71"/>
  <c r="W55" i="71"/>
  <c r="L55" i="71"/>
  <c r="N55" i="71"/>
  <c r="T55" i="71"/>
  <c r="P55" i="71"/>
  <c r="Z54" i="157"/>
  <c r="W54" i="157"/>
  <c r="T54" i="157"/>
  <c r="N54" i="157"/>
  <c r="P54" i="157"/>
  <c r="L54" i="157"/>
  <c r="Z49" i="23"/>
  <c r="AB49" i="23"/>
  <c r="AC49" i="23"/>
  <c r="AD49" i="23"/>
  <c r="AA49" i="23"/>
  <c r="L49" i="23"/>
  <c r="AB49" i="91"/>
  <c r="Z49" i="91"/>
  <c r="AC49" i="91"/>
  <c r="AA49" i="91"/>
  <c r="L49" i="91"/>
  <c r="L50" i="91"/>
  <c r="Z50" i="91"/>
  <c r="AA50" i="91"/>
  <c r="P51" i="89"/>
  <c r="L51" i="89"/>
  <c r="Z51" i="89"/>
  <c r="N51" i="89"/>
  <c r="T51" i="89"/>
  <c r="W51" i="89"/>
  <c r="P37" i="45"/>
  <c r="O21" i="46" s="1"/>
  <c r="AE17" i="4" s="1"/>
  <c r="P37" i="201"/>
  <c r="O21" i="202" s="1"/>
  <c r="N58" i="113"/>
  <c r="N25" i="114" s="1"/>
  <c r="BQ19" i="4" s="1"/>
  <c r="N37" i="69"/>
  <c r="N21" i="70" s="1"/>
  <c r="AZ17" i="4" s="1"/>
  <c r="P58" i="181"/>
  <c r="O25" i="182" s="1"/>
  <c r="L51" i="17"/>
  <c r="Z51" i="17"/>
  <c r="L51" i="157"/>
  <c r="W51" i="157"/>
  <c r="T51" i="157"/>
  <c r="N51" i="157"/>
  <c r="P51" i="157"/>
  <c r="Z51" i="157"/>
  <c r="T49" i="119"/>
  <c r="Z49" i="119"/>
  <c r="W49" i="119"/>
  <c r="N49" i="119"/>
  <c r="P49" i="119"/>
  <c r="L49" i="119"/>
  <c r="L48" i="201"/>
  <c r="T48" i="201"/>
  <c r="W48" i="201"/>
  <c r="N48" i="201"/>
  <c r="Z48" i="201"/>
  <c r="P48" i="201"/>
  <c r="P27" i="157"/>
  <c r="O19" i="158" s="1"/>
  <c r="P27" i="87"/>
  <c r="O19" i="88" s="1"/>
  <c r="N59" i="207"/>
  <c r="O25" i="208" s="1"/>
  <c r="L61" i="91"/>
  <c r="L59" i="91" s="1"/>
  <c r="M25" i="92" s="1"/>
  <c r="N27" i="83"/>
  <c r="N19" i="84" s="1"/>
  <c r="P68" i="187"/>
  <c r="P67" i="187" s="1"/>
  <c r="O23" i="188" s="1"/>
  <c r="L68" i="187"/>
  <c r="L67" i="187" s="1"/>
  <c r="M23" i="188" s="1"/>
  <c r="N68" i="187"/>
  <c r="N67" i="187" s="1"/>
  <c r="N23" i="188" s="1"/>
  <c r="N68" i="85"/>
  <c r="N67" i="85" s="1"/>
  <c r="N23" i="86" s="1"/>
  <c r="AW20" i="4" s="1"/>
  <c r="P68" i="85"/>
  <c r="P67" i="85" s="1"/>
  <c r="O23" i="86" s="1"/>
  <c r="AX20" i="4" s="1"/>
  <c r="L68" i="85"/>
  <c r="L67" i="85" s="1"/>
  <c r="M23" i="86" s="1"/>
  <c r="AV20" i="4" s="1"/>
  <c r="P37" i="145"/>
  <c r="O21" i="146" s="1"/>
  <c r="N51" i="73"/>
  <c r="L51" i="73"/>
  <c r="W51" i="73"/>
  <c r="P51" i="73"/>
  <c r="T51" i="73"/>
  <c r="Z51" i="73"/>
  <c r="N52" i="201"/>
  <c r="Z52" i="201"/>
  <c r="P52" i="201"/>
  <c r="W52" i="201"/>
  <c r="L52" i="201"/>
  <c r="T52" i="201"/>
  <c r="Z51" i="43"/>
  <c r="L51" i="43"/>
  <c r="P51" i="43"/>
  <c r="W51" i="43"/>
  <c r="N51" i="43"/>
  <c r="T51" i="43"/>
  <c r="Z47" i="145"/>
  <c r="T47" i="145"/>
  <c r="P47" i="145"/>
  <c r="N47" i="145"/>
  <c r="W47" i="145"/>
  <c r="L47" i="145"/>
  <c r="Z47" i="107"/>
  <c r="P47" i="107"/>
  <c r="T47" i="107"/>
  <c r="W47" i="107"/>
  <c r="L47" i="107"/>
  <c r="N47" i="107"/>
  <c r="P47" i="181"/>
  <c r="T47" i="181"/>
  <c r="L47" i="181"/>
  <c r="Z47" i="181"/>
  <c r="N47" i="181"/>
  <c r="W47" i="181"/>
  <c r="L47" i="215"/>
  <c r="AC47" i="215"/>
  <c r="AB47" i="215"/>
  <c r="Z47" i="215"/>
  <c r="AA47" i="215"/>
  <c r="L37" i="43"/>
  <c r="M21" i="44" s="1"/>
  <c r="M59" i="91"/>
  <c r="N25" i="92" s="1"/>
  <c r="N58" i="69"/>
  <c r="N25" i="70" s="1"/>
  <c r="AZ19" i="4" s="1"/>
  <c r="BF15" i="4"/>
  <c r="L34" i="77"/>
  <c r="N34" i="77"/>
  <c r="P34" i="77"/>
  <c r="L34" i="107"/>
  <c r="P34" i="107"/>
  <c r="N34" i="107"/>
  <c r="L34" i="193"/>
  <c r="P34" i="193"/>
  <c r="N34" i="193"/>
  <c r="L34" i="43"/>
  <c r="P34" i="43"/>
  <c r="N34" i="43"/>
  <c r="L58" i="147"/>
  <c r="M25" i="148" s="1"/>
  <c r="N58" i="197"/>
  <c r="N25" i="198" s="1"/>
  <c r="L58" i="195"/>
  <c r="M25" i="196" s="1"/>
  <c r="AA46" i="31"/>
  <c r="N43" i="31" s="1"/>
  <c r="O24" i="32" s="1"/>
  <c r="AB46" i="31"/>
  <c r="O43" i="31" s="1"/>
  <c r="P24" i="32" s="1"/>
  <c r="Z46" i="31"/>
  <c r="M43" i="31" s="1"/>
  <c r="L46" i="31"/>
  <c r="AC46" i="31"/>
  <c r="P43" i="31" s="1"/>
  <c r="Q24" i="32" s="1"/>
  <c r="Z46" i="91"/>
  <c r="AA46" i="91"/>
  <c r="AB46" i="91"/>
  <c r="O43" i="91" s="1"/>
  <c r="P24" i="92" s="1"/>
  <c r="L46" i="91"/>
  <c r="AC46" i="91"/>
  <c r="P43" i="91" s="1"/>
  <c r="Q24" i="92" s="1"/>
  <c r="Z48" i="89"/>
  <c r="L48" i="89"/>
  <c r="P48" i="89"/>
  <c r="T48" i="89"/>
  <c r="N48" i="89"/>
  <c r="W48" i="89"/>
  <c r="N51" i="197"/>
  <c r="T51" i="197"/>
  <c r="W51" i="197"/>
  <c r="P51" i="197"/>
  <c r="Z51" i="197"/>
  <c r="L51" i="197"/>
  <c r="T51" i="119"/>
  <c r="N51" i="119"/>
  <c r="P51" i="119"/>
  <c r="Z51" i="119"/>
  <c r="W51" i="119"/>
  <c r="L51" i="119"/>
  <c r="N50" i="83"/>
  <c r="Z50" i="83"/>
  <c r="W50" i="83"/>
  <c r="L50" i="83"/>
  <c r="P50" i="83"/>
  <c r="T50" i="83"/>
  <c r="Z48" i="153"/>
  <c r="T48" i="153"/>
  <c r="L48" i="153"/>
  <c r="N48" i="153"/>
  <c r="W48" i="153"/>
  <c r="P48" i="153"/>
  <c r="N33" i="119"/>
  <c r="L33" i="119"/>
  <c r="P33" i="119"/>
  <c r="L33" i="191"/>
  <c r="P33" i="191"/>
  <c r="N33" i="191"/>
  <c r="N33" i="147"/>
  <c r="L33" i="147"/>
  <c r="P33" i="147"/>
  <c r="L24" i="211"/>
  <c r="L24" i="215"/>
  <c r="L34" i="215" s="1"/>
  <c r="P33" i="151"/>
  <c r="N33" i="151"/>
  <c r="L33" i="151"/>
  <c r="L24" i="81"/>
  <c r="L34" i="81" s="1"/>
  <c r="L34" i="17"/>
  <c r="P27" i="149"/>
  <c r="O19" i="150" s="1"/>
  <c r="N37" i="107"/>
  <c r="N21" i="108" s="1"/>
  <c r="BT17" i="4" s="1"/>
  <c r="P27" i="197"/>
  <c r="O19" i="198" s="1"/>
  <c r="N37" i="197"/>
  <c r="N21" i="198" s="1"/>
  <c r="P58" i="193"/>
  <c r="O25" i="194" s="1"/>
  <c r="P27" i="189"/>
  <c r="O19" i="190" s="1"/>
  <c r="L58" i="145"/>
  <c r="M25" i="146" s="1"/>
  <c r="P27" i="69"/>
  <c r="O19" i="70" s="1"/>
  <c r="P58" i="89"/>
  <c r="O25" i="90" s="1"/>
  <c r="BJ19" i="4" s="1"/>
  <c r="L27" i="193"/>
  <c r="M19" i="194" s="1"/>
  <c r="P37" i="83"/>
  <c r="O21" i="84" s="1"/>
  <c r="AR17" i="4" s="1"/>
  <c r="P47" i="117"/>
  <c r="T47" i="117"/>
  <c r="W47" i="117"/>
  <c r="N47" i="117"/>
  <c r="L47" i="117"/>
  <c r="Z47" i="117"/>
  <c r="Z48" i="25"/>
  <c r="AA48" i="25"/>
  <c r="L48" i="25"/>
  <c r="AB48" i="25"/>
  <c r="Z48" i="17"/>
  <c r="L48" i="17"/>
  <c r="AA48" i="17"/>
  <c r="AB48" i="17"/>
  <c r="W50" i="193"/>
  <c r="T50" i="193"/>
  <c r="P50" i="193"/>
  <c r="L50" i="193"/>
  <c r="N50" i="193"/>
  <c r="Z50" i="193"/>
  <c r="W49" i="67"/>
  <c r="P49" i="67"/>
  <c r="L49" i="67"/>
  <c r="Z49" i="67"/>
  <c r="T49" i="67"/>
  <c r="N49" i="67"/>
  <c r="Z48" i="91"/>
  <c r="AA48" i="91"/>
  <c r="L48" i="91"/>
  <c r="AA48" i="159"/>
  <c r="L48" i="159"/>
  <c r="Z48" i="159"/>
  <c r="L47" i="25"/>
  <c r="Z47" i="25"/>
  <c r="AA47" i="25"/>
  <c r="AB47" i="25"/>
  <c r="AA47" i="23"/>
  <c r="L47" i="23"/>
  <c r="AD47" i="23"/>
  <c r="Z47" i="23"/>
  <c r="AB47" i="23"/>
  <c r="AC47" i="23"/>
  <c r="Z47" i="21"/>
  <c r="AA47" i="21"/>
  <c r="L47" i="21"/>
  <c r="AB47" i="21"/>
  <c r="N58" i="87"/>
  <c r="N25" i="88" s="1"/>
  <c r="BC19" i="4" s="1"/>
  <c r="P35" i="105"/>
  <c r="L35" i="105"/>
  <c r="N35" i="105"/>
  <c r="L35" i="179"/>
  <c r="N35" i="179"/>
  <c r="P35" i="179"/>
  <c r="P35" i="181"/>
  <c r="L35" i="181"/>
  <c r="N35" i="181"/>
  <c r="L35" i="189"/>
  <c r="N35" i="189"/>
  <c r="P35" i="189"/>
  <c r="P35" i="71"/>
  <c r="N35" i="71"/>
  <c r="L35" i="71"/>
  <c r="N37" i="117"/>
  <c r="N21" i="118" s="1"/>
  <c r="L58" i="45"/>
  <c r="M25" i="46" s="1"/>
  <c r="AC19" i="4" s="1"/>
  <c r="Q69" i="31"/>
  <c r="Q67" i="31" s="1"/>
  <c r="R23" i="32" s="1"/>
  <c r="O69" i="31"/>
  <c r="O67" i="31" s="1"/>
  <c r="P23" i="32" s="1"/>
  <c r="N69" i="31"/>
  <c r="N67" i="31" s="1"/>
  <c r="O23" i="32" s="1"/>
  <c r="M69" i="31"/>
  <c r="P69" i="31"/>
  <c r="P67" i="31" s="1"/>
  <c r="Q23" i="32" s="1"/>
  <c r="Z46" i="111"/>
  <c r="N46" i="111"/>
  <c r="P46" i="111"/>
  <c r="T46" i="111"/>
  <c r="L46" i="111"/>
  <c r="W46" i="111"/>
  <c r="P48" i="71"/>
  <c r="T48" i="71"/>
  <c r="N48" i="71"/>
  <c r="L48" i="71"/>
  <c r="Z48" i="71"/>
  <c r="W48" i="71"/>
  <c r="T46" i="201"/>
  <c r="W46" i="201"/>
  <c r="Z46" i="201"/>
  <c r="L46" i="201"/>
  <c r="N46" i="201"/>
  <c r="P46" i="201"/>
  <c r="T45" i="199"/>
  <c r="L42" i="199" s="1"/>
  <c r="M24" i="200" s="1"/>
  <c r="Z45" i="199"/>
  <c r="P42" i="199" s="1"/>
  <c r="O24" i="200" s="1"/>
  <c r="N45" i="199"/>
  <c r="W45" i="199"/>
  <c r="N42" i="199" s="1"/>
  <c r="N24" i="200" s="1"/>
  <c r="L45" i="199"/>
  <c r="P45" i="199"/>
  <c r="T48" i="53"/>
  <c r="P48" i="53"/>
  <c r="L48" i="53"/>
  <c r="W48" i="53"/>
  <c r="N48" i="53"/>
  <c r="Z48" i="53"/>
  <c r="AC53" i="103"/>
  <c r="Z53" i="103"/>
  <c r="AB53" i="103"/>
  <c r="L53" i="103"/>
  <c r="AA53" i="103"/>
  <c r="L47" i="201"/>
  <c r="N47" i="201"/>
  <c r="W47" i="201"/>
  <c r="T47" i="201"/>
  <c r="P47" i="201"/>
  <c r="Z47" i="201"/>
  <c r="W48" i="149"/>
  <c r="N48" i="149"/>
  <c r="P48" i="149"/>
  <c r="L48" i="149"/>
  <c r="Z48" i="149"/>
  <c r="T48" i="149"/>
  <c r="P37" i="87"/>
  <c r="O21" i="88" s="1"/>
  <c r="BD17" i="4" s="1"/>
  <c r="N36" i="47"/>
  <c r="P36" i="47"/>
  <c r="L36" i="47"/>
  <c r="P36" i="67"/>
  <c r="N36" i="67"/>
  <c r="L36" i="67"/>
  <c r="P36" i="193"/>
  <c r="N36" i="193"/>
  <c r="L36" i="193"/>
  <c r="P37" i="149"/>
  <c r="O21" i="150" s="1"/>
  <c r="N69" i="56"/>
  <c r="N67" i="56" s="1"/>
  <c r="O23" i="57" s="1"/>
  <c r="M69" i="56"/>
  <c r="O69" i="56"/>
  <c r="O67" i="56" s="1"/>
  <c r="P23" i="57" s="1"/>
  <c r="P69" i="56"/>
  <c r="P67" i="56" s="1"/>
  <c r="Q23" i="57" s="1"/>
  <c r="Q69" i="56"/>
  <c r="Q67" i="56" s="1"/>
  <c r="R23" i="57" s="1"/>
  <c r="P69" i="215"/>
  <c r="P67" i="215" s="1"/>
  <c r="Q23" i="216" s="1"/>
  <c r="N69" i="215"/>
  <c r="N67" i="215" s="1"/>
  <c r="O23" i="216" s="1"/>
  <c r="O69" i="215"/>
  <c r="O67" i="215" s="1"/>
  <c r="P23" i="216" s="1"/>
  <c r="Q69" i="215"/>
  <c r="Q67" i="215" s="1"/>
  <c r="R23" i="216" s="1"/>
  <c r="M69" i="215"/>
  <c r="N27" i="187"/>
  <c r="N19" i="188" s="1"/>
  <c r="BV13" i="4"/>
  <c r="V32" i="212"/>
  <c r="N17" i="212" s="1"/>
  <c r="Q15" i="212"/>
  <c r="P15" i="164"/>
  <c r="M15" i="164"/>
  <c r="M41" i="59"/>
  <c r="Q51" i="212"/>
  <c r="Q30" i="212"/>
  <c r="Q30" i="59"/>
  <c r="Q51" i="59"/>
  <c r="CG35" i="4"/>
  <c r="CA35" i="4"/>
  <c r="R30" i="82"/>
  <c r="R51" i="82"/>
  <c r="O79" i="51"/>
  <c r="P38" i="52"/>
  <c r="P40" i="52" s="1"/>
  <c r="R51" i="208"/>
  <c r="R30" i="208"/>
  <c r="M51" i="66"/>
  <c r="M30" i="66"/>
  <c r="P51" i="22"/>
  <c r="P30" i="22"/>
  <c r="Q51" i="104"/>
  <c r="Q30" i="104"/>
  <c r="M30" i="52"/>
  <c r="Q24" i="4" s="1"/>
  <c r="M51" i="52"/>
  <c r="Q43" i="4" s="1"/>
  <c r="M41" i="18"/>
  <c r="M41" i="164"/>
  <c r="M41" i="92"/>
  <c r="M41" i="104"/>
  <c r="M41" i="160"/>
  <c r="M41" i="66"/>
  <c r="M41" i="52"/>
  <c r="M41" i="20"/>
  <c r="M41" i="26"/>
  <c r="M41" i="36"/>
  <c r="M41" i="50"/>
  <c r="M41" i="24"/>
  <c r="M41" i="16"/>
  <c r="M41" i="57"/>
  <c r="M30" i="164"/>
  <c r="BL24" i="4" s="1"/>
  <c r="M51" i="164"/>
  <c r="BL43" i="4" s="1"/>
  <c r="P30" i="92"/>
  <c r="P51" i="92"/>
  <c r="O30" i="210"/>
  <c r="O51" i="210"/>
  <c r="Q30" i="24"/>
  <c r="Q51" i="24"/>
  <c r="M39" i="84"/>
  <c r="O39" i="54"/>
  <c r="M39" i="72"/>
  <c r="N39" i="44"/>
  <c r="O39" i="72"/>
  <c r="M39" i="158"/>
  <c r="O39" i="84"/>
  <c r="M39" i="74"/>
  <c r="M39" i="202"/>
  <c r="M39" i="54"/>
  <c r="N39" i="74"/>
  <c r="N39" i="202"/>
  <c r="N39" i="192"/>
  <c r="N39" i="54"/>
  <c r="O39" i="158"/>
  <c r="O39" i="44"/>
  <c r="N39" i="72"/>
  <c r="O39" i="74"/>
  <c r="M39" i="192"/>
  <c r="O39" i="202"/>
  <c r="N39" i="158"/>
  <c r="N39" i="84"/>
  <c r="O39" i="192"/>
  <c r="M39" i="44"/>
  <c r="M39" i="198"/>
  <c r="N39" i="198"/>
  <c r="O39" i="198"/>
  <c r="N39" i="180"/>
  <c r="M39" i="180"/>
  <c r="O39" i="180"/>
  <c r="N39" i="86"/>
  <c r="N39" i="112"/>
  <c r="N39" i="116"/>
  <c r="M39" i="108"/>
  <c r="N39" i="68"/>
  <c r="M39" i="68"/>
  <c r="M39" i="110"/>
  <c r="N39" i="108"/>
  <c r="M39" i="112"/>
  <c r="O39" i="196"/>
  <c r="O39" i="150"/>
  <c r="N39" i="120"/>
  <c r="O39" i="112"/>
  <c r="N39" i="150"/>
  <c r="N39" i="118"/>
  <c r="M39" i="86"/>
  <c r="O39" i="152"/>
  <c r="M39" i="120"/>
  <c r="N39" i="196"/>
  <c r="O39" i="68"/>
  <c r="O39" i="108"/>
  <c r="O39" i="194"/>
  <c r="O39" i="114"/>
  <c r="M39" i="154"/>
  <c r="M39" i="194"/>
  <c r="N39" i="200"/>
  <c r="M39" i="116"/>
  <c r="O39" i="86"/>
  <c r="M39" i="152"/>
  <c r="N39" i="146"/>
  <c r="O39" i="110"/>
  <c r="N39" i="148"/>
  <c r="O39" i="146"/>
  <c r="M39" i="200"/>
  <c r="N39" i="114"/>
  <c r="O39" i="148"/>
  <c r="O39" i="200"/>
  <c r="M39" i="150"/>
  <c r="O39" i="120"/>
  <c r="M39" i="196"/>
  <c r="M39" i="118"/>
  <c r="N39" i="110"/>
  <c r="O39" i="116"/>
  <c r="N39" i="152"/>
  <c r="M39" i="148"/>
  <c r="O39" i="118"/>
  <c r="N39" i="194"/>
  <c r="M39" i="114"/>
  <c r="N39" i="154"/>
  <c r="M39" i="146"/>
  <c r="O39" i="154"/>
  <c r="P42" i="50"/>
  <c r="R42" i="50"/>
  <c r="Q42" i="50"/>
  <c r="O35" i="4"/>
  <c r="O42" i="50"/>
  <c r="N42" i="50"/>
  <c r="P42" i="210"/>
  <c r="P45" i="210" s="1"/>
  <c r="M35" i="4"/>
  <c r="O42" i="210"/>
  <c r="O45" i="210" s="1"/>
  <c r="N42" i="210"/>
  <c r="N45" i="210" s="1"/>
  <c r="Q42" i="210"/>
  <c r="Q45" i="210" s="1"/>
  <c r="R42" i="210"/>
  <c r="R45" i="210" s="1"/>
  <c r="M45" i="210"/>
  <c r="M38" i="4" s="1"/>
  <c r="R42" i="16"/>
  <c r="N42" i="16"/>
  <c r="P42" i="16"/>
  <c r="F35" i="4"/>
  <c r="Q42" i="16"/>
  <c r="O42" i="16"/>
  <c r="Q30" i="216"/>
  <c r="Q51" i="216"/>
  <c r="N30" i="36"/>
  <c r="N51" i="36"/>
  <c r="P51" i="16"/>
  <c r="P30" i="16"/>
  <c r="R51" i="32"/>
  <c r="R30" i="32"/>
  <c r="P30" i="50"/>
  <c r="P51" i="50"/>
  <c r="M30" i="36"/>
  <c r="M51" i="36"/>
  <c r="N51" i="52"/>
  <c r="N30" i="52"/>
  <c r="M30" i="216"/>
  <c r="V24" i="4" s="1"/>
  <c r="M51" i="216"/>
  <c r="V43" i="4" s="1"/>
  <c r="M51" i="32"/>
  <c r="S43" i="4" s="1"/>
  <c r="M30" i="32"/>
  <c r="S24" i="4" s="1"/>
  <c r="R30" i="104"/>
  <c r="R51" i="104"/>
  <c r="M51" i="24"/>
  <c r="J43" i="4" s="1"/>
  <c r="M30" i="24"/>
  <c r="J24" i="4" s="1"/>
  <c r="BY35" i="4"/>
  <c r="CE35" i="4"/>
  <c r="P30" i="18"/>
  <c r="P51" i="18"/>
  <c r="Q38" i="52"/>
  <c r="Q40" i="52" s="1"/>
  <c r="P79" i="51"/>
  <c r="N51" i="210"/>
  <c r="N30" i="210"/>
  <c r="P30" i="57"/>
  <c r="P51" i="57"/>
  <c r="O30" i="216"/>
  <c r="O51" i="216"/>
  <c r="O30" i="32"/>
  <c r="O51" i="32"/>
  <c r="O51" i="214"/>
  <c r="O30" i="214"/>
  <c r="Q42" i="82"/>
  <c r="Q45" i="82" s="1"/>
  <c r="R42" i="82"/>
  <c r="R45" i="82" s="1"/>
  <c r="N35" i="4"/>
  <c r="O42" i="82"/>
  <c r="O45" i="82" s="1"/>
  <c r="P42" i="82"/>
  <c r="P45" i="82" s="1"/>
  <c r="N42" i="82"/>
  <c r="N45" i="82" s="1"/>
  <c r="M45" i="82"/>
  <c r="R42" i="36"/>
  <c r="P42" i="36"/>
  <c r="N42" i="36"/>
  <c r="O42" i="36"/>
  <c r="Q42" i="36"/>
  <c r="O42" i="164"/>
  <c r="Q42" i="164"/>
  <c r="R42" i="164"/>
  <c r="BL35" i="4"/>
  <c r="N42" i="164"/>
  <c r="P42" i="164"/>
  <c r="Q51" i="92"/>
  <c r="Q30" i="92"/>
  <c r="O30" i="212"/>
  <c r="O51" i="212"/>
  <c r="M30" i="212"/>
  <c r="M51" i="212"/>
  <c r="T43" i="4" s="1"/>
  <c r="N51" i="24"/>
  <c r="N30" i="24"/>
  <c r="P51" i="160"/>
  <c r="P30" i="160"/>
  <c r="R30" i="24"/>
  <c r="CF35" i="4"/>
  <c r="BZ35" i="4"/>
  <c r="P30" i="104"/>
  <c r="P51" i="104"/>
  <c r="O42" i="32"/>
  <c r="R42" i="32"/>
  <c r="N42" i="32"/>
  <c r="P42" i="32"/>
  <c r="Q42" i="32"/>
  <c r="S35" i="4"/>
  <c r="P30" i="216"/>
  <c r="P51" i="216"/>
  <c r="R38" i="52"/>
  <c r="R40" i="52" s="1"/>
  <c r="Q79" i="51"/>
  <c r="M30" i="82"/>
  <c r="M51" i="82"/>
  <c r="N43" i="4" s="1"/>
  <c r="P30" i="36"/>
  <c r="P51" i="36"/>
  <c r="M39" i="188"/>
  <c r="O39" i="188"/>
  <c r="N39" i="88"/>
  <c r="N39" i="188"/>
  <c r="O39" i="88"/>
  <c r="M39" i="88"/>
  <c r="M39" i="70"/>
  <c r="O39" i="70"/>
  <c r="N39" i="48"/>
  <c r="O39" i="190"/>
  <c r="N39" i="190"/>
  <c r="N39" i="70"/>
  <c r="O39" i="48"/>
  <c r="M39" i="48"/>
  <c r="M39" i="190"/>
  <c r="N51" i="208"/>
  <c r="N30" i="208"/>
  <c r="P51" i="20"/>
  <c r="P30" i="20"/>
  <c r="O51" i="50"/>
  <c r="O30" i="50"/>
  <c r="M30" i="160"/>
  <c r="M51" i="160"/>
  <c r="BK43" i="4" s="1"/>
  <c r="Q30" i="22"/>
  <c r="Q51" i="22"/>
  <c r="R42" i="66"/>
  <c r="O42" i="66"/>
  <c r="P42" i="66"/>
  <c r="Q42" i="66"/>
  <c r="N42" i="66"/>
  <c r="Q42" i="26"/>
  <c r="N42" i="26"/>
  <c r="R42" i="26"/>
  <c r="O42" i="26"/>
  <c r="P35" i="4"/>
  <c r="P42" i="26"/>
  <c r="O30" i="104"/>
  <c r="O51" i="104"/>
  <c r="O51" i="24"/>
  <c r="O30" i="24"/>
  <c r="M30" i="20"/>
  <c r="M51" i="20"/>
  <c r="G43" i="4" s="1"/>
  <c r="M39" i="90"/>
  <c r="O39" i="78"/>
  <c r="N39" i="78"/>
  <c r="N39" i="90"/>
  <c r="M39" i="78"/>
  <c r="M39" i="182"/>
  <c r="O39" i="90"/>
  <c r="N39" i="182"/>
  <c r="O39" i="182"/>
  <c r="O30" i="92"/>
  <c r="O51" i="92"/>
  <c r="O30" i="57"/>
  <c r="O51" i="57"/>
  <c r="O51" i="16"/>
  <c r="O30" i="16"/>
  <c r="N30" i="20"/>
  <c r="N51" i="20"/>
  <c r="R30" i="18"/>
  <c r="R51" i="18"/>
  <c r="P30" i="212"/>
  <c r="P51" i="212"/>
  <c r="Q30" i="36"/>
  <c r="Q51" i="36"/>
  <c r="Q42" i="59"/>
  <c r="R35" i="4"/>
  <c r="N42" i="59"/>
  <c r="P42" i="59"/>
  <c r="R42" i="59"/>
  <c r="O42" i="59"/>
  <c r="Q38" i="36"/>
  <c r="Q40" i="36" s="1"/>
  <c r="P79" i="35"/>
  <c r="M30" i="214"/>
  <c r="U24" i="4" s="1"/>
  <c r="M51" i="214"/>
  <c r="U43" i="4" s="1"/>
  <c r="Q51" i="16"/>
  <c r="Q30" i="16"/>
  <c r="R30" i="50"/>
  <c r="R51" i="50"/>
  <c r="M51" i="59"/>
  <c r="R43" i="4" s="1"/>
  <c r="M30" i="59"/>
  <c r="R24" i="4" s="1"/>
  <c r="N30" i="214"/>
  <c r="N51" i="214"/>
  <c r="M51" i="208"/>
  <c r="L43" i="4" s="1"/>
  <c r="M30" i="208"/>
  <c r="L24" i="4" s="1"/>
  <c r="R51" i="26"/>
  <c r="R30" i="26"/>
  <c r="M30" i="104"/>
  <c r="I24" i="4" s="1"/>
  <c r="M51" i="104"/>
  <c r="I43" i="4" s="1"/>
  <c r="N30" i="164"/>
  <c r="N51" i="164"/>
  <c r="J35" i="4"/>
  <c r="Q42" i="24"/>
  <c r="R42" i="24"/>
  <c r="P42" i="24"/>
  <c r="O42" i="24"/>
  <c r="N42" i="24"/>
  <c r="N42" i="160"/>
  <c r="BK35" i="4"/>
  <c r="P42" i="160"/>
  <c r="R42" i="160"/>
  <c r="Q42" i="160"/>
  <c r="O42" i="160"/>
  <c r="N51" i="160"/>
  <c r="N30" i="160"/>
  <c r="N51" i="26"/>
  <c r="N30" i="26"/>
  <c r="M30" i="210"/>
  <c r="M24" i="4" s="1"/>
  <c r="M51" i="210"/>
  <c r="M43" i="4" s="1"/>
  <c r="R51" i="22"/>
  <c r="R30" i="22"/>
  <c r="O30" i="82"/>
  <c r="O51" i="82"/>
  <c r="P30" i="208"/>
  <c r="P51" i="208"/>
  <c r="O51" i="18"/>
  <c r="O30" i="18"/>
  <c r="R34" i="4"/>
  <c r="N41" i="59"/>
  <c r="Q41" i="59"/>
  <c r="O41" i="59"/>
  <c r="R41" i="59"/>
  <c r="P41" i="59"/>
  <c r="M45" i="59"/>
  <c r="R38" i="4" s="1"/>
  <c r="N51" i="66"/>
  <c r="N30" i="66"/>
  <c r="R51" i="216"/>
  <c r="R30" i="216"/>
  <c r="Q51" i="164"/>
  <c r="Q30" i="164"/>
  <c r="P30" i="52"/>
  <c r="P51" i="52"/>
  <c r="O51" i="66"/>
  <c r="O30" i="66"/>
  <c r="N30" i="57"/>
  <c r="N51" i="57"/>
  <c r="O42" i="52"/>
  <c r="Q42" i="52"/>
  <c r="N42" i="52"/>
  <c r="P42" i="52"/>
  <c r="Q35" i="4"/>
  <c r="R42" i="52"/>
  <c r="N42" i="20"/>
  <c r="P42" i="20"/>
  <c r="R42" i="20"/>
  <c r="G35" i="4"/>
  <c r="O42" i="20"/>
  <c r="Q42" i="20"/>
  <c r="Q30" i="50"/>
  <c r="Q51" i="50"/>
  <c r="O30" i="52"/>
  <c r="O51" i="52"/>
  <c r="M51" i="92"/>
  <c r="M30" i="92"/>
  <c r="N51" i="104"/>
  <c r="N30" i="104"/>
  <c r="O51" i="20"/>
  <c r="O30" i="20"/>
  <c r="O51" i="208"/>
  <c r="O30" i="208"/>
  <c r="Q51" i="20"/>
  <c r="Q30" i="20"/>
  <c r="S34" i="4"/>
  <c r="N41" i="32"/>
  <c r="N45" i="32" s="1"/>
  <c r="O41" i="32"/>
  <c r="P41" i="32"/>
  <c r="R41" i="32"/>
  <c r="Q41" i="32"/>
  <c r="M45" i="32"/>
  <c r="S38" i="4" s="1"/>
  <c r="M30" i="26"/>
  <c r="M51" i="26"/>
  <c r="P43" i="4" s="1"/>
  <c r="R51" i="210"/>
  <c r="R30" i="210"/>
  <c r="N30" i="50"/>
  <c r="N51" i="50"/>
  <c r="P51" i="24"/>
  <c r="P30" i="24"/>
  <c r="R51" i="20"/>
  <c r="R30" i="20"/>
  <c r="O51" i="160"/>
  <c r="O30" i="160"/>
  <c r="O51" i="164"/>
  <c r="O30" i="164"/>
  <c r="P78" i="25"/>
  <c r="N78" i="35"/>
  <c r="M78" i="49"/>
  <c r="N78" i="49"/>
  <c r="Q78" i="25"/>
  <c r="O78" i="25"/>
  <c r="N78" i="25"/>
  <c r="O78" i="49"/>
  <c r="M78" i="25"/>
  <c r="P78" i="49"/>
  <c r="Q78" i="49"/>
  <c r="Q30" i="160"/>
  <c r="Q51" i="160"/>
  <c r="O30" i="26"/>
  <c r="O51" i="26"/>
  <c r="Q51" i="210"/>
  <c r="Q30" i="210"/>
  <c r="R30" i="57"/>
  <c r="R51" i="57"/>
  <c r="M30" i="16"/>
  <c r="M51" i="16"/>
  <c r="F43" i="4" s="1"/>
  <c r="M30" i="50"/>
  <c r="M51" i="50"/>
  <c r="O43" i="4" s="1"/>
  <c r="R30" i="212"/>
  <c r="R51" i="212"/>
  <c r="R42" i="18"/>
  <c r="N42" i="18"/>
  <c r="O42" i="18"/>
  <c r="E35" i="4"/>
  <c r="Q42" i="18"/>
  <c r="P42" i="18"/>
  <c r="O42" i="104"/>
  <c r="R42" i="104"/>
  <c r="I35" i="4"/>
  <c r="N42" i="104"/>
  <c r="Q42" i="104"/>
  <c r="P42" i="104"/>
  <c r="Q42" i="208"/>
  <c r="Q45" i="208" s="1"/>
  <c r="P42" i="208"/>
  <c r="P45" i="208" s="1"/>
  <c r="L35" i="4"/>
  <c r="N42" i="208"/>
  <c r="N45" i="208" s="1"/>
  <c r="R42" i="208"/>
  <c r="R45" i="208" s="1"/>
  <c r="O42" i="208"/>
  <c r="O45" i="208" s="1"/>
  <c r="M45" i="208"/>
  <c r="L38" i="4" s="1"/>
  <c r="Q30" i="66"/>
  <c r="Q51" i="66"/>
  <c r="N30" i="16"/>
  <c r="N51" i="16"/>
  <c r="Q30" i="32"/>
  <c r="Q51" i="32"/>
  <c r="R51" i="214"/>
  <c r="R30" i="214"/>
  <c r="P51" i="164"/>
  <c r="P30" i="164"/>
  <c r="P30" i="66"/>
  <c r="P51" i="66"/>
  <c r="O30" i="22"/>
  <c r="O51" i="22"/>
  <c r="N30" i="216"/>
  <c r="N51" i="216"/>
  <c r="R51" i="92"/>
  <c r="R30" i="92"/>
  <c r="P30" i="32"/>
  <c r="P51" i="32"/>
  <c r="P30" i="214"/>
  <c r="P51" i="214"/>
  <c r="N38" i="52"/>
  <c r="N40" i="52" s="1"/>
  <c r="M79" i="51"/>
  <c r="N51" i="92"/>
  <c r="N30" i="92"/>
  <c r="N51" i="212"/>
  <c r="N30" i="212"/>
  <c r="R51" i="52"/>
  <c r="R30" i="52"/>
  <c r="N30" i="22"/>
  <c r="N51" i="22"/>
  <c r="O51" i="36"/>
  <c r="O30" i="36"/>
  <c r="R30" i="59"/>
  <c r="R51" i="59"/>
  <c r="V35" i="4"/>
  <c r="P42" i="216"/>
  <c r="P45" i="216" s="1"/>
  <c r="R42" i="216"/>
  <c r="R45" i="216" s="1"/>
  <c r="O42" i="216"/>
  <c r="O45" i="216" s="1"/>
  <c r="N42" i="216"/>
  <c r="N45" i="216" s="1"/>
  <c r="Q42" i="216"/>
  <c r="Q45" i="216" s="1"/>
  <c r="M45" i="216"/>
  <c r="V38" i="4" s="1"/>
  <c r="Q42" i="22"/>
  <c r="Q45" i="22" s="1"/>
  <c r="R42" i="22"/>
  <c r="R45" i="22" s="1"/>
  <c r="N42" i="22"/>
  <c r="N45" i="22" s="1"/>
  <c r="K35" i="4"/>
  <c r="O42" i="22"/>
  <c r="O45" i="22" s="1"/>
  <c r="P42" i="22"/>
  <c r="P45" i="22" s="1"/>
  <c r="M45" i="22"/>
  <c r="K38" i="4" s="1"/>
  <c r="H35" i="4"/>
  <c r="P42" i="57"/>
  <c r="O42" i="57"/>
  <c r="R42" i="57"/>
  <c r="Q42" i="57"/>
  <c r="N42" i="57"/>
  <c r="N30" i="18"/>
  <c r="N51" i="18"/>
  <c r="M30" i="18"/>
  <c r="M51" i="18"/>
  <c r="E43" i="4" s="1"/>
  <c r="P30" i="82"/>
  <c r="P51" i="82"/>
  <c r="Q30" i="208"/>
  <c r="Q51" i="208"/>
  <c r="R51" i="36"/>
  <c r="R30" i="36"/>
  <c r="Q51" i="26"/>
  <c r="Q30" i="26"/>
  <c r="N79" i="51"/>
  <c r="O38" i="52"/>
  <c r="O40" i="52" s="1"/>
  <c r="O51" i="59"/>
  <c r="O30" i="59"/>
  <c r="P51" i="26"/>
  <c r="P30" i="26"/>
  <c r="Q51" i="82"/>
  <c r="Q30" i="82"/>
  <c r="Q51" i="214"/>
  <c r="Q30" i="214"/>
  <c r="R30" i="16"/>
  <c r="R51" i="16"/>
  <c r="N51" i="32"/>
  <c r="N30" i="32"/>
  <c r="R30" i="66"/>
  <c r="R51" i="66"/>
  <c r="Q30" i="52"/>
  <c r="Q51" i="52"/>
  <c r="R42" i="214"/>
  <c r="R45" i="214" s="1"/>
  <c r="U35" i="4"/>
  <c r="Q42" i="214"/>
  <c r="Q45" i="214" s="1"/>
  <c r="P42" i="214"/>
  <c r="P45" i="214" s="1"/>
  <c r="N42" i="214"/>
  <c r="N45" i="214" s="1"/>
  <c r="O42" i="214"/>
  <c r="O45" i="214" s="1"/>
  <c r="M45" i="214"/>
  <c r="U38" i="4" s="1"/>
  <c r="P42" i="212"/>
  <c r="P45" i="212" s="1"/>
  <c r="O42" i="212"/>
  <c r="O45" i="212" s="1"/>
  <c r="R42" i="212"/>
  <c r="R45" i="212" s="1"/>
  <c r="Q42" i="212"/>
  <c r="Q45" i="212" s="1"/>
  <c r="T35" i="4"/>
  <c r="N42" i="212"/>
  <c r="N45" i="212" s="1"/>
  <c r="M45" i="212"/>
  <c r="P42" i="92"/>
  <c r="Q42" i="92"/>
  <c r="N42" i="92"/>
  <c r="O42" i="92"/>
  <c r="R42" i="92"/>
  <c r="N51" i="59"/>
  <c r="N30" i="59"/>
  <c r="M51" i="22"/>
  <c r="K43" i="4" s="1"/>
  <c r="M30" i="22"/>
  <c r="K24" i="4" s="1"/>
  <c r="N51" i="82"/>
  <c r="N30" i="82"/>
  <c r="Q30" i="57"/>
  <c r="Q51" i="57"/>
  <c r="P51" i="59"/>
  <c r="P30" i="59"/>
  <c r="R30" i="160"/>
  <c r="R51" i="160"/>
  <c r="P30" i="210"/>
  <c r="P51" i="210"/>
  <c r="M30" i="57"/>
  <c r="H24" i="4" s="1"/>
  <c r="M51" i="57"/>
  <c r="H43" i="4" s="1"/>
  <c r="R30" i="164"/>
  <c r="R51" i="164"/>
  <c r="Q30" i="18"/>
  <c r="Q51" i="18"/>
  <c r="L17" i="73" l="1"/>
  <c r="L31" i="73" s="1"/>
  <c r="M20" i="74" s="1"/>
  <c r="AM16" i="4" s="1"/>
  <c r="P31" i="197"/>
  <c r="P17" i="157"/>
  <c r="P31" i="157" s="1"/>
  <c r="O20" i="158" s="1"/>
  <c r="AB16" i="4" s="1"/>
  <c r="L31" i="153"/>
  <c r="M34" i="163"/>
  <c r="N20" i="164" s="1"/>
  <c r="O34" i="163"/>
  <c r="P20" i="164" s="1"/>
  <c r="M20" i="164"/>
  <c r="Q34" i="163"/>
  <c r="R20" i="164" s="1"/>
  <c r="P34" i="163"/>
  <c r="Q20" i="164" s="1"/>
  <c r="N34" i="163"/>
  <c r="O20" i="164" s="1"/>
  <c r="M34" i="58"/>
  <c r="N20" i="59" s="1"/>
  <c r="Q34" i="58"/>
  <c r="R20" i="59" s="1"/>
  <c r="R27" i="59" s="1"/>
  <c r="O34" i="58"/>
  <c r="P20" i="59" s="1"/>
  <c r="P27" i="59" s="1"/>
  <c r="M20" i="59"/>
  <c r="N34" i="58"/>
  <c r="O20" i="59" s="1"/>
  <c r="O27" i="59" s="1"/>
  <c r="P34" i="58"/>
  <c r="Q20" i="59" s="1"/>
  <c r="Q27" i="59" s="1"/>
  <c r="N34" i="51"/>
  <c r="O20" i="52" s="1"/>
  <c r="O34" i="51"/>
  <c r="P20" i="52" s="1"/>
  <c r="M34" i="51"/>
  <c r="N20" i="52" s="1"/>
  <c r="P34" i="51"/>
  <c r="Q20" i="52" s="1"/>
  <c r="M20" i="52"/>
  <c r="Q34" i="51"/>
  <c r="R20" i="52" s="1"/>
  <c r="M20" i="22"/>
  <c r="P34" i="21"/>
  <c r="Q20" i="22" s="1"/>
  <c r="Q27" i="22" s="1"/>
  <c r="N34" i="21"/>
  <c r="O20" i="22" s="1"/>
  <c r="M34" i="21"/>
  <c r="N20" i="22" s="1"/>
  <c r="Q34" i="21"/>
  <c r="R20" i="22" s="1"/>
  <c r="R27" i="22" s="1"/>
  <c r="O34" i="21"/>
  <c r="P20" i="22" s="1"/>
  <c r="M34" i="15"/>
  <c r="N20" i="16" s="1"/>
  <c r="Q34" i="15"/>
  <c r="R20" i="16" s="1"/>
  <c r="M20" i="16"/>
  <c r="P34" i="15"/>
  <c r="Q20" i="16" s="1"/>
  <c r="O34" i="15"/>
  <c r="P20" i="16" s="1"/>
  <c r="N34" i="15"/>
  <c r="O20" i="16" s="1"/>
  <c r="N34" i="56"/>
  <c r="O20" i="57" s="1"/>
  <c r="P34" i="56"/>
  <c r="Q20" i="57" s="1"/>
  <c r="Q27" i="57" s="1"/>
  <c r="M20" i="57"/>
  <c r="M34" i="56"/>
  <c r="N20" i="57" s="1"/>
  <c r="O34" i="56"/>
  <c r="P20" i="57" s="1"/>
  <c r="Q34" i="56"/>
  <c r="R20" i="57" s="1"/>
  <c r="R27" i="57" s="1"/>
  <c r="P34" i="91"/>
  <c r="Q20" i="92" s="1"/>
  <c r="Q27" i="92" s="1"/>
  <c r="N34" i="91"/>
  <c r="O20" i="92" s="1"/>
  <c r="M20" i="92"/>
  <c r="M34" i="91"/>
  <c r="N20" i="92" s="1"/>
  <c r="Q34" i="91"/>
  <c r="R20" i="92" s="1"/>
  <c r="O34" i="91"/>
  <c r="P20" i="92" s="1"/>
  <c r="P27" i="92" s="1"/>
  <c r="P34" i="215"/>
  <c r="Q20" i="216" s="1"/>
  <c r="M34" i="215"/>
  <c r="N20" i="216" s="1"/>
  <c r="Q34" i="215"/>
  <c r="R20" i="216" s="1"/>
  <c r="R27" i="216" s="1"/>
  <c r="N34" i="215"/>
  <c r="O20" i="216" s="1"/>
  <c r="O34" i="215"/>
  <c r="P20" i="216" s="1"/>
  <c r="M20" i="216"/>
  <c r="N34" i="49"/>
  <c r="O20" i="50" s="1"/>
  <c r="M20" i="50"/>
  <c r="M34" i="49"/>
  <c r="N20" i="50" s="1"/>
  <c r="O34" i="49"/>
  <c r="P20" i="50" s="1"/>
  <c r="Q34" i="49"/>
  <c r="R20" i="50" s="1"/>
  <c r="P34" i="49"/>
  <c r="Q20" i="50" s="1"/>
  <c r="M34" i="159"/>
  <c r="N20" i="160" s="1"/>
  <c r="Q34" i="159"/>
  <c r="R20" i="160" s="1"/>
  <c r="P34" i="159"/>
  <c r="Q20" i="160" s="1"/>
  <c r="M20" i="160"/>
  <c r="N34" i="159"/>
  <c r="O20" i="160" s="1"/>
  <c r="O34" i="159"/>
  <c r="P20" i="160" s="1"/>
  <c r="P34" i="207"/>
  <c r="Q20" i="208" s="1"/>
  <c r="M34" i="207"/>
  <c r="N20" i="208" s="1"/>
  <c r="Q34" i="207"/>
  <c r="R20" i="208" s="1"/>
  <c r="R27" i="208" s="1"/>
  <c r="N34" i="207"/>
  <c r="O20" i="208" s="1"/>
  <c r="O27" i="208" s="1"/>
  <c r="M20" i="208"/>
  <c r="O34" i="207"/>
  <c r="P20" i="208" s="1"/>
  <c r="P34" i="81"/>
  <c r="Q20" i="82" s="1"/>
  <c r="Q34" i="81"/>
  <c r="R20" i="82" s="1"/>
  <c r="M34" i="81"/>
  <c r="N20" i="82" s="1"/>
  <c r="M20" i="82"/>
  <c r="O34" i="81"/>
  <c r="P20" i="82" s="1"/>
  <c r="N34" i="81"/>
  <c r="O20" i="82" s="1"/>
  <c r="Q34" i="213"/>
  <c r="R20" i="214" s="1"/>
  <c r="R27" i="214" s="1"/>
  <c r="P34" i="213"/>
  <c r="Q20" i="214" s="1"/>
  <c r="M20" i="214"/>
  <c r="M34" i="213"/>
  <c r="N20" i="214" s="1"/>
  <c r="O34" i="213"/>
  <c r="P20" i="214" s="1"/>
  <c r="P27" i="214" s="1"/>
  <c r="N34" i="213"/>
  <c r="O20" i="214" s="1"/>
  <c r="L17" i="151"/>
  <c r="L31" i="151"/>
  <c r="N31" i="147"/>
  <c r="N17" i="147"/>
  <c r="N43" i="91"/>
  <c r="O24" i="92" s="1"/>
  <c r="N42" i="153"/>
  <c r="N24" i="154" s="1"/>
  <c r="L42" i="67"/>
  <c r="M24" i="68" s="1"/>
  <c r="AS18" i="4" s="1"/>
  <c r="L42" i="53"/>
  <c r="M24" i="54" s="1"/>
  <c r="W18" i="4" s="1"/>
  <c r="N24" i="36"/>
  <c r="L43" i="35"/>
  <c r="M24" i="36" s="1"/>
  <c r="O43" i="213"/>
  <c r="P24" i="214" s="1"/>
  <c r="P70" i="214" s="1"/>
  <c r="P71" i="214" s="1"/>
  <c r="W15" i="4"/>
  <c r="P17" i="71"/>
  <c r="P31" i="71" s="1"/>
  <c r="O20" i="72" s="1"/>
  <c r="P17" i="73"/>
  <c r="P31" i="73" s="1"/>
  <c r="O20" i="74" s="1"/>
  <c r="O43" i="23"/>
  <c r="P24" i="24" s="1"/>
  <c r="L42" i="87"/>
  <c r="M24" i="88" s="1"/>
  <c r="BB18" i="4" s="1"/>
  <c r="L69" i="21"/>
  <c r="L67" i="21" s="1"/>
  <c r="M23" i="22" s="1"/>
  <c r="K20" i="4" s="1"/>
  <c r="M67" i="21"/>
  <c r="N23" i="22" s="1"/>
  <c r="N17" i="47"/>
  <c r="N31" i="47" s="1"/>
  <c r="N20" i="48" s="1"/>
  <c r="N31" i="111"/>
  <c r="N17" i="111"/>
  <c r="N43" i="209"/>
  <c r="O24" i="210" s="1"/>
  <c r="O70" i="210" s="1"/>
  <c r="O71" i="210" s="1"/>
  <c r="N42" i="47"/>
  <c r="N24" i="48" s="1"/>
  <c r="AH18" i="4" s="1"/>
  <c r="L42" i="89"/>
  <c r="M24" i="90" s="1"/>
  <c r="BH18" i="4" s="1"/>
  <c r="P42" i="145"/>
  <c r="O24" i="146" s="1"/>
  <c r="O43" i="19"/>
  <c r="P24" i="20" s="1"/>
  <c r="CJ15" i="4"/>
  <c r="Q24" i="65"/>
  <c r="M24" i="65"/>
  <c r="P24" i="65"/>
  <c r="D34" i="65"/>
  <c r="O24" i="65"/>
  <c r="N24" i="65"/>
  <c r="L31" i="77"/>
  <c r="N24" i="103"/>
  <c r="M24" i="103"/>
  <c r="P24" i="103"/>
  <c r="O24" i="103"/>
  <c r="Q24" i="103"/>
  <c r="N42" i="45"/>
  <c r="N24" i="46" s="1"/>
  <c r="P42" i="147"/>
  <c r="O24" i="148" s="1"/>
  <c r="O43" i="15"/>
  <c r="P24" i="16" s="1"/>
  <c r="CI15" i="4"/>
  <c r="L31" i="87"/>
  <c r="L17" i="87"/>
  <c r="O24" i="25"/>
  <c r="N24" i="25"/>
  <c r="Q24" i="25"/>
  <c r="P24" i="25"/>
  <c r="M24" i="25"/>
  <c r="O43" i="25"/>
  <c r="P24" i="26" s="1"/>
  <c r="L17" i="107"/>
  <c r="N17" i="53"/>
  <c r="N31" i="53" s="1"/>
  <c r="N20" i="54" s="1"/>
  <c r="P17" i="89"/>
  <c r="P31" i="89"/>
  <c r="N31" i="115"/>
  <c r="N17" i="115"/>
  <c r="N43" i="207"/>
  <c r="O24" i="208" s="1"/>
  <c r="O70" i="208" s="1"/>
  <c r="O71" i="208" s="1"/>
  <c r="L42" i="197"/>
  <c r="M24" i="198" s="1"/>
  <c r="L69" i="35"/>
  <c r="L67" i="35" s="1"/>
  <c r="M23" i="36" s="1"/>
  <c r="M67" i="35"/>
  <c r="N23" i="36" s="1"/>
  <c r="M20" i="20"/>
  <c r="M34" i="19"/>
  <c r="N20" i="20" s="1"/>
  <c r="N34" i="19"/>
  <c r="O20" i="20" s="1"/>
  <c r="P34" i="19"/>
  <c r="Q20" i="20" s="1"/>
  <c r="O34" i="19"/>
  <c r="P20" i="20" s="1"/>
  <c r="Q34" i="19"/>
  <c r="R20" i="20" s="1"/>
  <c r="N24" i="23"/>
  <c r="Q24" i="23"/>
  <c r="P24" i="23"/>
  <c r="M24" i="23"/>
  <c r="O24" i="23"/>
  <c r="P31" i="193"/>
  <c r="P17" i="193"/>
  <c r="L69" i="215"/>
  <c r="L67" i="215" s="1"/>
  <c r="M23" i="216" s="1"/>
  <c r="V20" i="4" s="1"/>
  <c r="M67" i="215"/>
  <c r="N23" i="216" s="1"/>
  <c r="M67" i="56"/>
  <c r="N23" i="57" s="1"/>
  <c r="L69" i="56"/>
  <c r="L67" i="56" s="1"/>
  <c r="M23" i="57" s="1"/>
  <c r="H20" i="4" s="1"/>
  <c r="N31" i="151"/>
  <c r="N17" i="151"/>
  <c r="N31" i="191"/>
  <c r="N17" i="191"/>
  <c r="M43" i="91"/>
  <c r="L42" i="107"/>
  <c r="M24" i="108" s="1"/>
  <c r="BS18" i="4" s="1"/>
  <c r="CG17" i="4"/>
  <c r="CA17" i="4"/>
  <c r="L69" i="213"/>
  <c r="L67" i="213" s="1"/>
  <c r="M23" i="214" s="1"/>
  <c r="U20" i="4" s="1"/>
  <c r="M67" i="213"/>
  <c r="N23" i="214" s="1"/>
  <c r="N24" i="212"/>
  <c r="N70" i="212" s="1"/>
  <c r="N71" i="212" s="1"/>
  <c r="P24" i="56"/>
  <c r="Q24" i="56"/>
  <c r="N24" i="56"/>
  <c r="O24" i="56"/>
  <c r="M24" i="56"/>
  <c r="Q24" i="58"/>
  <c r="N24" i="58"/>
  <c r="O24" i="58"/>
  <c r="M24" i="58"/>
  <c r="P24" i="58"/>
  <c r="P42" i="149"/>
  <c r="O24" i="150" s="1"/>
  <c r="P42" i="189"/>
  <c r="O24" i="190" s="1"/>
  <c r="P43" i="213"/>
  <c r="Q24" i="214" s="1"/>
  <c r="Q70" i="214" s="1"/>
  <c r="Q71" i="214" s="1"/>
  <c r="Q24" i="49"/>
  <c r="M24" i="49"/>
  <c r="N24" i="49"/>
  <c r="O24" i="49"/>
  <c r="P24" i="49"/>
  <c r="L17" i="71"/>
  <c r="L31" i="71" s="1"/>
  <c r="M20" i="72" s="1"/>
  <c r="N17" i="73"/>
  <c r="N31" i="73" s="1"/>
  <c r="N20" i="74" s="1"/>
  <c r="P17" i="69"/>
  <c r="P42" i="105"/>
  <c r="O24" i="106" s="1"/>
  <c r="P17" i="47"/>
  <c r="P31" i="47" s="1"/>
  <c r="O20" i="48" s="1"/>
  <c r="P31" i="111"/>
  <c r="P17" i="111"/>
  <c r="O43" i="51"/>
  <c r="P24" i="52" s="1"/>
  <c r="P43" i="209"/>
  <c r="Q24" i="210" s="1"/>
  <c r="Q70" i="210" s="1"/>
  <c r="Q71" i="210" s="1"/>
  <c r="N42" i="89"/>
  <c r="N24" i="90" s="1"/>
  <c r="BI18" i="4" s="1"/>
  <c r="N42" i="145"/>
  <c r="N24" i="146" s="1"/>
  <c r="N31" i="187"/>
  <c r="N17" i="187"/>
  <c r="AT15" i="4"/>
  <c r="N31" i="197"/>
  <c r="N17" i="197"/>
  <c r="L31" i="199"/>
  <c r="L17" i="199"/>
  <c r="AS15" i="4"/>
  <c r="L17" i="153"/>
  <c r="CC15" i="4"/>
  <c r="L42" i="201"/>
  <c r="M24" i="202" s="1"/>
  <c r="L42" i="73"/>
  <c r="M24" i="74" s="1"/>
  <c r="AM18" i="4" s="1"/>
  <c r="N42" i="157"/>
  <c r="N24" i="158" s="1"/>
  <c r="AA18" i="4" s="1"/>
  <c r="N17" i="89"/>
  <c r="N31" i="89"/>
  <c r="N17" i="181"/>
  <c r="N31" i="181"/>
  <c r="M43" i="207"/>
  <c r="L42" i="193"/>
  <c r="M24" i="194" s="1"/>
  <c r="N42" i="109"/>
  <c r="N24" i="110" s="1"/>
  <c r="BW18" i="4" s="1"/>
  <c r="N31" i="69"/>
  <c r="N17" i="69"/>
  <c r="O34" i="35"/>
  <c r="P20" i="36" s="1"/>
  <c r="P27" i="36" s="1"/>
  <c r="P34" i="35"/>
  <c r="Q20" i="36" s="1"/>
  <c r="Q27" i="36" s="1"/>
  <c r="N34" i="35"/>
  <c r="O20" i="36" s="1"/>
  <c r="Q34" i="35"/>
  <c r="R20" i="36" s="1"/>
  <c r="R27" i="36" s="1"/>
  <c r="M20" i="36"/>
  <c r="M27" i="36" s="1"/>
  <c r="M34" i="35"/>
  <c r="N20" i="36" s="1"/>
  <c r="N27" i="36" s="1"/>
  <c r="N17" i="189"/>
  <c r="N31" i="189"/>
  <c r="N20" i="190" s="1"/>
  <c r="P31" i="151"/>
  <c r="P17" i="151"/>
  <c r="P17" i="191"/>
  <c r="P31" i="191"/>
  <c r="M43" i="17"/>
  <c r="P42" i="107"/>
  <c r="O24" i="108" s="1"/>
  <c r="BU18" i="4" s="1"/>
  <c r="N42" i="67"/>
  <c r="N24" i="68" s="1"/>
  <c r="AT18" i="4" s="1"/>
  <c r="L42" i="43"/>
  <c r="M24" i="44" s="1"/>
  <c r="P43" i="211"/>
  <c r="Q24" i="212" s="1"/>
  <c r="Q70" i="212" s="1"/>
  <c r="Q71" i="212" s="1"/>
  <c r="N31" i="85"/>
  <c r="N17" i="85"/>
  <c r="P31" i="179"/>
  <c r="P17" i="179"/>
  <c r="L34" i="209"/>
  <c r="O24" i="209"/>
  <c r="P24" i="209"/>
  <c r="N24" i="209"/>
  <c r="M24" i="209"/>
  <c r="Q24" i="209"/>
  <c r="N42" i="179"/>
  <c r="N24" i="180" s="1"/>
  <c r="M43" i="213"/>
  <c r="N17" i="71"/>
  <c r="N31" i="71" s="1"/>
  <c r="N20" i="72" s="1"/>
  <c r="L42" i="77"/>
  <c r="M24" i="78" s="1"/>
  <c r="BE18" i="4" s="1"/>
  <c r="BN15" i="4"/>
  <c r="P31" i="109"/>
  <c r="P17" i="109"/>
  <c r="L31" i="111"/>
  <c r="M20" i="112" s="1"/>
  <c r="L17" i="111"/>
  <c r="M43" i="51"/>
  <c r="M43" i="209"/>
  <c r="M43" i="19"/>
  <c r="M67" i="163"/>
  <c r="N23" i="164" s="1"/>
  <c r="L69" i="163"/>
  <c r="L67" i="163" s="1"/>
  <c r="M23" i="164" s="1"/>
  <c r="BL20" i="4" s="1"/>
  <c r="N24" i="163"/>
  <c r="Q24" i="163"/>
  <c r="M24" i="163"/>
  <c r="D34" i="163"/>
  <c r="O24" i="163"/>
  <c r="P24" i="163"/>
  <c r="P31" i="187"/>
  <c r="P17" i="187"/>
  <c r="BJ15" i="4"/>
  <c r="P42" i="45"/>
  <c r="O24" i="46" s="1"/>
  <c r="N42" i="69"/>
  <c r="N24" i="70" s="1"/>
  <c r="AZ18" i="4" s="1"/>
  <c r="N42" i="151"/>
  <c r="N24" i="152" s="1"/>
  <c r="Q24" i="159"/>
  <c r="D34" i="159"/>
  <c r="O24" i="159"/>
  <c r="N24" i="159"/>
  <c r="P24" i="159"/>
  <c r="M24" i="159"/>
  <c r="L31" i="197"/>
  <c r="L17" i="197"/>
  <c r="P31" i="199"/>
  <c r="P17" i="199"/>
  <c r="N43" i="25"/>
  <c r="O24" i="26" s="1"/>
  <c r="P42" i="201"/>
  <c r="O24" i="202" s="1"/>
  <c r="L31" i="189"/>
  <c r="L42" i="157"/>
  <c r="M24" i="158" s="1"/>
  <c r="Z18" i="4" s="1"/>
  <c r="Q24" i="15"/>
  <c r="O24" i="15"/>
  <c r="M24" i="15"/>
  <c r="P24" i="15"/>
  <c r="N24" i="15"/>
  <c r="L31" i="89"/>
  <c r="L17" i="89"/>
  <c r="P31" i="181"/>
  <c r="O20" i="182" s="1"/>
  <c r="P17" i="181"/>
  <c r="P43" i="207"/>
  <c r="Q24" i="208" s="1"/>
  <c r="Q70" i="208" s="1"/>
  <c r="Q71" i="208" s="1"/>
  <c r="Q43" i="19"/>
  <c r="R24" i="20" s="1"/>
  <c r="M67" i="58"/>
  <c r="N23" i="59" s="1"/>
  <c r="L69" i="58"/>
  <c r="L67" i="58" s="1"/>
  <c r="M23" i="59" s="1"/>
  <c r="R20" i="4" s="1"/>
  <c r="L31" i="69"/>
  <c r="P24" i="35"/>
  <c r="O24" i="35"/>
  <c r="Q24" i="35"/>
  <c r="M24" i="35"/>
  <c r="N24" i="35"/>
  <c r="P17" i="189"/>
  <c r="P31" i="189"/>
  <c r="M43" i="163"/>
  <c r="L31" i="191"/>
  <c r="L17" i="191"/>
  <c r="AQ15" i="4"/>
  <c r="P42" i="53"/>
  <c r="O24" i="54" s="1"/>
  <c r="Y18" i="4" s="1"/>
  <c r="BM15" i="4"/>
  <c r="N43" i="215"/>
  <c r="O24" i="216" s="1"/>
  <c r="O70" i="216" s="1"/>
  <c r="O71" i="216" s="1"/>
  <c r="P17" i="85"/>
  <c r="P31" i="85"/>
  <c r="N31" i="179"/>
  <c r="N17" i="179"/>
  <c r="L42" i="149"/>
  <c r="M24" i="150" s="1"/>
  <c r="BO15" i="4"/>
  <c r="P17" i="43"/>
  <c r="P31" i="43" s="1"/>
  <c r="O20" i="44" s="1"/>
  <c r="N17" i="67"/>
  <c r="N31" i="67"/>
  <c r="P43" i="23"/>
  <c r="Q24" i="24" s="1"/>
  <c r="Y20" i="4"/>
  <c r="L42" i="105"/>
  <c r="M24" i="106" s="1"/>
  <c r="BM18" i="4" s="1"/>
  <c r="P42" i="111"/>
  <c r="O24" i="112" s="1"/>
  <c r="N42" i="83"/>
  <c r="N24" i="84" s="1"/>
  <c r="AQ18" i="4" s="1"/>
  <c r="P42" i="77"/>
  <c r="O24" i="78" s="1"/>
  <c r="BG18" i="4" s="1"/>
  <c r="BP15" i="4"/>
  <c r="BE15" i="4"/>
  <c r="N17" i="109"/>
  <c r="N31" i="109"/>
  <c r="P43" i="51"/>
  <c r="Q24" i="52" s="1"/>
  <c r="N42" i="195"/>
  <c r="N24" i="196" s="1"/>
  <c r="L42" i="47"/>
  <c r="M24" i="48" s="1"/>
  <c r="AG18" i="4" s="1"/>
  <c r="P43" i="19"/>
  <c r="Q24" i="20" s="1"/>
  <c r="Q27" i="20" s="1"/>
  <c r="N42" i="117"/>
  <c r="N24" i="118" s="1"/>
  <c r="AD15" i="4"/>
  <c r="L31" i="195"/>
  <c r="L17" i="195"/>
  <c r="L17" i="187"/>
  <c r="L31" i="187"/>
  <c r="N43" i="56"/>
  <c r="O24" i="57" s="1"/>
  <c r="N17" i="113"/>
  <c r="L42" i="151"/>
  <c r="M24" i="152" s="1"/>
  <c r="P17" i="197"/>
  <c r="O20" i="198" s="1"/>
  <c r="O27" i="198" s="1"/>
  <c r="N17" i="199"/>
  <c r="N31" i="199"/>
  <c r="O43" i="103"/>
  <c r="P24" i="104" s="1"/>
  <c r="N42" i="73"/>
  <c r="N24" i="74" s="1"/>
  <c r="AN18" i="4" s="1"/>
  <c r="AX15" i="4"/>
  <c r="N34" i="31"/>
  <c r="O20" i="32" s="1"/>
  <c r="M34" i="31"/>
  <c r="N20" i="32" s="1"/>
  <c r="O34" i="31"/>
  <c r="P20" i="32" s="1"/>
  <c r="P27" i="32" s="1"/>
  <c r="M20" i="32"/>
  <c r="S16" i="4" s="1"/>
  <c r="P34" i="31"/>
  <c r="Q20" i="32" s="1"/>
  <c r="Q27" i="32" s="1"/>
  <c r="Q34" i="31"/>
  <c r="R20" i="32" s="1"/>
  <c r="R27" i="32" s="1"/>
  <c r="P31" i="201"/>
  <c r="P17" i="201"/>
  <c r="L31" i="181"/>
  <c r="L17" i="181"/>
  <c r="BZ17" i="4"/>
  <c r="CF17" i="4"/>
  <c r="P42" i="187"/>
  <c r="O24" i="188" s="1"/>
  <c r="P31" i="69"/>
  <c r="P31" i="113"/>
  <c r="P17" i="113"/>
  <c r="L17" i="189"/>
  <c r="O43" i="163"/>
  <c r="P24" i="164" s="1"/>
  <c r="N24" i="215"/>
  <c r="M24" i="215"/>
  <c r="P24" i="215"/>
  <c r="Q24" i="215"/>
  <c r="O24" i="215"/>
  <c r="P31" i="119"/>
  <c r="P17" i="119"/>
  <c r="O20" i="120" s="1"/>
  <c r="O27" i="120" s="1"/>
  <c r="L43" i="31"/>
  <c r="M24" i="32" s="1"/>
  <c r="N24" i="32"/>
  <c r="P42" i="119"/>
  <c r="O24" i="120" s="1"/>
  <c r="N42" i="53"/>
  <c r="N24" i="54" s="1"/>
  <c r="X18" i="4" s="1"/>
  <c r="N42" i="43"/>
  <c r="N24" i="44" s="1"/>
  <c r="AK15" i="4"/>
  <c r="N17" i="45"/>
  <c r="N31" i="45" s="1"/>
  <c r="N20" i="46" s="1"/>
  <c r="AD16" i="4" s="1"/>
  <c r="L17" i="85"/>
  <c r="L31" i="85"/>
  <c r="L17" i="179"/>
  <c r="L31" i="179"/>
  <c r="AP15" i="4"/>
  <c r="P42" i="191"/>
  <c r="O24" i="192" s="1"/>
  <c r="CJ18" i="4" s="1"/>
  <c r="N42" i="149"/>
  <c r="N24" i="150" s="1"/>
  <c r="BQ15" i="4"/>
  <c r="L43" i="58"/>
  <c r="M24" i="59" s="1"/>
  <c r="N24" i="59"/>
  <c r="N17" i="43"/>
  <c r="N31" i="43" s="1"/>
  <c r="N20" i="44" s="1"/>
  <c r="P17" i="67"/>
  <c r="P31" i="67"/>
  <c r="Q43" i="23"/>
  <c r="R24" i="24" s="1"/>
  <c r="N42" i="105"/>
  <c r="N24" i="106" s="1"/>
  <c r="L42" i="111"/>
  <c r="M24" i="112" s="1"/>
  <c r="P42" i="83"/>
  <c r="O24" i="84" s="1"/>
  <c r="AR18" i="4" s="1"/>
  <c r="P42" i="87"/>
  <c r="O24" i="88" s="1"/>
  <c r="BD18" i="4" s="1"/>
  <c r="N42" i="77"/>
  <c r="N24" i="78" s="1"/>
  <c r="BF18" i="4" s="1"/>
  <c r="CF19" i="4"/>
  <c r="BZ19" i="4"/>
  <c r="M24" i="21"/>
  <c r="Q24" i="21"/>
  <c r="N24" i="21"/>
  <c r="O24" i="21"/>
  <c r="P24" i="21"/>
  <c r="L17" i="109"/>
  <c r="L31" i="109"/>
  <c r="Q24" i="213"/>
  <c r="O24" i="213"/>
  <c r="M24" i="213"/>
  <c r="P24" i="213"/>
  <c r="N24" i="213"/>
  <c r="N43" i="51"/>
  <c r="O24" i="52" s="1"/>
  <c r="M43" i="21"/>
  <c r="CD15" i="4"/>
  <c r="N42" i="85"/>
  <c r="N24" i="86" s="1"/>
  <c r="AW18" i="4" s="1"/>
  <c r="P42" i="89"/>
  <c r="O24" i="90" s="1"/>
  <c r="BJ18" i="4" s="1"/>
  <c r="AY15" i="4"/>
  <c r="P42" i="117"/>
  <c r="O24" i="118" s="1"/>
  <c r="L69" i="209"/>
  <c r="L67" i="209" s="1"/>
  <c r="M23" i="210" s="1"/>
  <c r="M20" i="4" s="1"/>
  <c r="M67" i="209"/>
  <c r="N23" i="210" s="1"/>
  <c r="P31" i="195"/>
  <c r="P17" i="195"/>
  <c r="L17" i="157"/>
  <c r="L31" i="157" s="1"/>
  <c r="M20" i="158" s="1"/>
  <c r="O43" i="56"/>
  <c r="P24" i="57" s="1"/>
  <c r="M43" i="81"/>
  <c r="L42" i="45"/>
  <c r="M24" i="46" s="1"/>
  <c r="AC18" i="4" s="1"/>
  <c r="N42" i="147"/>
  <c r="N24" i="148" s="1"/>
  <c r="M43" i="15"/>
  <c r="BX15" i="4"/>
  <c r="P31" i="153"/>
  <c r="P17" i="153"/>
  <c r="N43" i="103"/>
  <c r="O24" i="104" s="1"/>
  <c r="P43" i="65"/>
  <c r="Q24" i="66" s="1"/>
  <c r="P42" i="181"/>
  <c r="O24" i="182" s="1"/>
  <c r="P42" i="115"/>
  <c r="O24" i="116" s="1"/>
  <c r="CD18" i="4" s="1"/>
  <c r="CF20" i="4"/>
  <c r="BZ20" i="4"/>
  <c r="P42" i="157"/>
  <c r="O24" i="158" s="1"/>
  <c r="AB18" i="4" s="1"/>
  <c r="N43" i="65"/>
  <c r="O24" i="66" s="1"/>
  <c r="M24" i="31"/>
  <c r="N24" i="31"/>
  <c r="Q24" i="31"/>
  <c r="O24" i="31"/>
  <c r="P24" i="31"/>
  <c r="L31" i="201"/>
  <c r="L17" i="201"/>
  <c r="AU15" i="4"/>
  <c r="O43" i="207"/>
  <c r="P24" i="208" s="1"/>
  <c r="P70" i="208" s="1"/>
  <c r="P71" i="208" s="1"/>
  <c r="N42" i="197"/>
  <c r="N24" i="198" s="1"/>
  <c r="N31" i="145"/>
  <c r="N17" i="145"/>
  <c r="L31" i="113"/>
  <c r="L17" i="113"/>
  <c r="N43" i="163"/>
  <c r="O24" i="164" s="1"/>
  <c r="BA15" i="4"/>
  <c r="Q34" i="17"/>
  <c r="R20" i="18" s="1"/>
  <c r="O34" i="17"/>
  <c r="P20" i="18" s="1"/>
  <c r="N34" i="17"/>
  <c r="O20" i="18" s="1"/>
  <c r="P34" i="17"/>
  <c r="Q20" i="18" s="1"/>
  <c r="M34" i="17"/>
  <c r="N20" i="18" s="1"/>
  <c r="M20" i="18"/>
  <c r="L34" i="211"/>
  <c r="Q24" i="211"/>
  <c r="P24" i="211"/>
  <c r="O24" i="211"/>
  <c r="N24" i="211"/>
  <c r="M24" i="211"/>
  <c r="L17" i="119"/>
  <c r="L31" i="119"/>
  <c r="L42" i="153"/>
  <c r="M24" i="154" s="1"/>
  <c r="N42" i="119"/>
  <c r="N24" i="120" s="1"/>
  <c r="P42" i="67"/>
  <c r="O24" i="68" s="1"/>
  <c r="AU18" i="4" s="1"/>
  <c r="P42" i="43"/>
  <c r="O24" i="44" s="1"/>
  <c r="O27" i="44" s="1"/>
  <c r="M43" i="215"/>
  <c r="P31" i="107"/>
  <c r="P17" i="107"/>
  <c r="N17" i="149"/>
  <c r="N31" i="149"/>
  <c r="N20" i="150" s="1"/>
  <c r="N27" i="150" s="1"/>
  <c r="AI20" i="4"/>
  <c r="N42" i="191"/>
  <c r="N24" i="192" s="1"/>
  <c r="CI18" i="4" s="1"/>
  <c r="L42" i="179"/>
  <c r="M24" i="180" s="1"/>
  <c r="CE19" i="4"/>
  <c r="BY19" i="4"/>
  <c r="AC15" i="4"/>
  <c r="L17" i="83"/>
  <c r="L31" i="83" s="1"/>
  <c r="M20" i="84" s="1"/>
  <c r="AP16" i="4" s="1"/>
  <c r="L31" i="67"/>
  <c r="L17" i="67"/>
  <c r="M43" i="23"/>
  <c r="N42" i="111"/>
  <c r="N24" i="112" s="1"/>
  <c r="P31" i="117"/>
  <c r="P17" i="117"/>
  <c r="O43" i="21"/>
  <c r="P24" i="22" s="1"/>
  <c r="P70" i="22" s="1"/>
  <c r="P71" i="22" s="1"/>
  <c r="P42" i="195"/>
  <c r="O24" i="196" s="1"/>
  <c r="L42" i="85"/>
  <c r="M24" i="86" s="1"/>
  <c r="AV18" i="4" s="1"/>
  <c r="BV15" i="4"/>
  <c r="P17" i="83"/>
  <c r="P31" i="83" s="1"/>
  <c r="O20" i="84" s="1"/>
  <c r="N17" i="195"/>
  <c r="N31" i="195"/>
  <c r="N17" i="157"/>
  <c r="N31" i="157" s="1"/>
  <c r="N20" i="158" s="1"/>
  <c r="N27" i="158" s="1"/>
  <c r="N43" i="81"/>
  <c r="O24" i="82" s="1"/>
  <c r="O70" i="82" s="1"/>
  <c r="O71" i="82" s="1"/>
  <c r="O27" i="182"/>
  <c r="CB15" i="4"/>
  <c r="P42" i="69"/>
  <c r="O24" i="70" s="1"/>
  <c r="BA18" i="4" s="1"/>
  <c r="P43" i="15"/>
  <c r="Q24" i="16" s="1"/>
  <c r="N24" i="207"/>
  <c r="M24" i="207"/>
  <c r="P24" i="207"/>
  <c r="Q24" i="207"/>
  <c r="O24" i="207"/>
  <c r="N31" i="153"/>
  <c r="N17" i="153"/>
  <c r="M43" i="103"/>
  <c r="P42" i="73"/>
  <c r="O24" i="74" s="1"/>
  <c r="AO18" i="4" s="1"/>
  <c r="CG20" i="4"/>
  <c r="CA20" i="4"/>
  <c r="L69" i="207"/>
  <c r="L67" i="207" s="1"/>
  <c r="M23" i="208" s="1"/>
  <c r="L20" i="4" s="1"/>
  <c r="M67" i="207"/>
  <c r="N23" i="208" s="1"/>
  <c r="P17" i="105"/>
  <c r="P31" i="105"/>
  <c r="N17" i="201"/>
  <c r="N31" i="201"/>
  <c r="N20" i="202" s="1"/>
  <c r="N27" i="202" s="1"/>
  <c r="M43" i="49"/>
  <c r="N42" i="187"/>
  <c r="N24" i="188" s="1"/>
  <c r="P42" i="197"/>
  <c r="O24" i="198" s="1"/>
  <c r="L42" i="109"/>
  <c r="M24" i="110" s="1"/>
  <c r="BV18" i="4" s="1"/>
  <c r="L42" i="71"/>
  <c r="M24" i="72" s="1"/>
  <c r="AJ18" i="4" s="1"/>
  <c r="L17" i="145"/>
  <c r="L31" i="145"/>
  <c r="N31" i="113"/>
  <c r="N20" i="114" s="1"/>
  <c r="N27" i="114" s="1"/>
  <c r="O43" i="17"/>
  <c r="P24" i="18" s="1"/>
  <c r="M70" i="36"/>
  <c r="M71" i="36" s="1"/>
  <c r="L69" i="31"/>
  <c r="L67" i="31" s="1"/>
  <c r="M23" i="32" s="1"/>
  <c r="S20" i="4" s="1"/>
  <c r="M67" i="31"/>
  <c r="N23" i="32" s="1"/>
  <c r="P31" i="147"/>
  <c r="P17" i="147"/>
  <c r="N31" i="119"/>
  <c r="N17" i="119"/>
  <c r="O27" i="32"/>
  <c r="BD15" i="4"/>
  <c r="N42" i="107"/>
  <c r="N24" i="108" s="1"/>
  <c r="BT18" i="4" s="1"/>
  <c r="L42" i="119"/>
  <c r="M24" i="120" s="1"/>
  <c r="N43" i="211"/>
  <c r="O24" i="212" s="1"/>
  <c r="O43" i="215"/>
  <c r="P24" i="216" s="1"/>
  <c r="P70" i="216" s="1"/>
  <c r="P71" i="216" s="1"/>
  <c r="N31" i="107"/>
  <c r="N17" i="107"/>
  <c r="P31" i="149"/>
  <c r="P17" i="149"/>
  <c r="N42" i="189"/>
  <c r="N24" i="190" s="1"/>
  <c r="N27" i="190" s="1"/>
  <c r="AL15" i="4"/>
  <c r="N17" i="83"/>
  <c r="N31" i="83" s="1"/>
  <c r="N20" i="84" s="1"/>
  <c r="AQ16" i="4" s="1"/>
  <c r="N43" i="23"/>
  <c r="O24" i="24" s="1"/>
  <c r="N42" i="87"/>
  <c r="N24" i="88" s="1"/>
  <c r="BC18" i="4" s="1"/>
  <c r="N43" i="159"/>
  <c r="O24" i="160" s="1"/>
  <c r="P24" i="91"/>
  <c r="M24" i="91"/>
  <c r="Q24" i="91"/>
  <c r="D34" i="91"/>
  <c r="O24" i="91"/>
  <c r="N24" i="91"/>
  <c r="L31" i="117"/>
  <c r="L17" i="117"/>
  <c r="BH15" i="4"/>
  <c r="Q43" i="209"/>
  <c r="R24" i="210" s="1"/>
  <c r="R70" i="210" s="1"/>
  <c r="R71" i="210" s="1"/>
  <c r="N43" i="21"/>
  <c r="O24" i="22" s="1"/>
  <c r="O70" i="22" s="1"/>
  <c r="O71" i="22" s="1"/>
  <c r="AA20" i="4"/>
  <c r="P42" i="47"/>
  <c r="O24" i="48" s="1"/>
  <c r="AI18" i="4" s="1"/>
  <c r="P42" i="85"/>
  <c r="O24" i="86" s="1"/>
  <c r="AX18" i="4" s="1"/>
  <c r="L42" i="117"/>
  <c r="M24" i="118" s="1"/>
  <c r="N17" i="77"/>
  <c r="N31" i="77"/>
  <c r="M43" i="56"/>
  <c r="O43" i="81"/>
  <c r="P24" i="82" s="1"/>
  <c r="P70" i="82" s="1"/>
  <c r="P71" i="82" s="1"/>
  <c r="N43" i="15"/>
  <c r="O24" i="16" s="1"/>
  <c r="M67" i="23"/>
  <c r="N23" i="24" s="1"/>
  <c r="L69" i="23"/>
  <c r="L67" i="23" s="1"/>
  <c r="M23" i="24" s="1"/>
  <c r="J20" i="4" s="1"/>
  <c r="L17" i="45"/>
  <c r="L31" i="45" s="1"/>
  <c r="M20" i="46" s="1"/>
  <c r="AC16" i="4" s="1"/>
  <c r="P31" i="87"/>
  <c r="P17" i="87"/>
  <c r="M20" i="154"/>
  <c r="P43" i="103"/>
  <c r="Q24" i="104" s="1"/>
  <c r="M43" i="65"/>
  <c r="N42" i="201"/>
  <c r="N24" i="202" s="1"/>
  <c r="N42" i="181"/>
  <c r="N24" i="182" s="1"/>
  <c r="L42" i="115"/>
  <c r="M24" i="116" s="1"/>
  <c r="CB18" i="4" s="1"/>
  <c r="CE20" i="4"/>
  <c r="BY20" i="4"/>
  <c r="BW15" i="4"/>
  <c r="P17" i="53"/>
  <c r="P31" i="53" s="1"/>
  <c r="O20" i="54" s="1"/>
  <c r="N17" i="105"/>
  <c r="N31" i="105"/>
  <c r="P31" i="115"/>
  <c r="P17" i="115"/>
  <c r="L42" i="187"/>
  <c r="M24" i="188" s="1"/>
  <c r="N42" i="193"/>
  <c r="N24" i="194" s="1"/>
  <c r="P42" i="109"/>
  <c r="O24" i="110" s="1"/>
  <c r="BX18" i="4" s="1"/>
  <c r="P42" i="71"/>
  <c r="O24" i="72" s="1"/>
  <c r="AL18" i="4" s="1"/>
  <c r="L69" i="91"/>
  <c r="L67" i="91" s="1"/>
  <c r="M23" i="92" s="1"/>
  <c r="M67" i="91"/>
  <c r="N23" i="92" s="1"/>
  <c r="P17" i="145"/>
  <c r="P31" i="145"/>
  <c r="N17" i="193"/>
  <c r="N31" i="193"/>
  <c r="O24" i="81"/>
  <c r="M24" i="81"/>
  <c r="P24" i="81"/>
  <c r="Q24" i="81"/>
  <c r="N24" i="81"/>
  <c r="L31" i="147"/>
  <c r="L17" i="147"/>
  <c r="AB15" i="4"/>
  <c r="P42" i="153"/>
  <c r="O24" i="154" s="1"/>
  <c r="O43" i="211"/>
  <c r="P24" i="212" s="1"/>
  <c r="P70" i="212" s="1"/>
  <c r="P71" i="212" s="1"/>
  <c r="P43" i="215"/>
  <c r="Q24" i="216" s="1"/>
  <c r="Q70" i="216" s="1"/>
  <c r="Q71" i="216" s="1"/>
  <c r="L17" i="43"/>
  <c r="L31" i="43" s="1"/>
  <c r="M20" i="44" s="1"/>
  <c r="L31" i="107"/>
  <c r="L31" i="149"/>
  <c r="L17" i="149"/>
  <c r="M43" i="159"/>
  <c r="BB15" i="4"/>
  <c r="L42" i="191"/>
  <c r="M24" i="192" s="1"/>
  <c r="CH18" i="4" s="1"/>
  <c r="L42" i="189"/>
  <c r="M24" i="190" s="1"/>
  <c r="P42" i="179"/>
  <c r="O24" i="180" s="1"/>
  <c r="CG19" i="4"/>
  <c r="CA19" i="4"/>
  <c r="N43" i="213"/>
  <c r="O24" i="214" s="1"/>
  <c r="O70" i="214" s="1"/>
  <c r="O71" i="214" s="1"/>
  <c r="P24" i="51"/>
  <c r="Q24" i="51"/>
  <c r="O24" i="51"/>
  <c r="M24" i="51"/>
  <c r="N24" i="51"/>
  <c r="BC15" i="4"/>
  <c r="CA15" i="4"/>
  <c r="CG15" i="4"/>
  <c r="L42" i="83"/>
  <c r="M24" i="84" s="1"/>
  <c r="AP18" i="4" s="1"/>
  <c r="L17" i="77"/>
  <c r="L17" i="69"/>
  <c r="AE15" i="4"/>
  <c r="O27" i="46"/>
  <c r="L17" i="47"/>
  <c r="L31" i="47" s="1"/>
  <c r="M20" i="48" s="1"/>
  <c r="N17" i="117"/>
  <c r="N31" i="117"/>
  <c r="Q43" i="51"/>
  <c r="R24" i="52" s="1"/>
  <c r="O43" i="209"/>
  <c r="P24" i="210" s="1"/>
  <c r="P70" i="210" s="1"/>
  <c r="P71" i="210" s="1"/>
  <c r="L42" i="195"/>
  <c r="M24" i="196" s="1"/>
  <c r="L42" i="145"/>
  <c r="M24" i="146" s="1"/>
  <c r="N43" i="19"/>
  <c r="O24" i="20" s="1"/>
  <c r="O27" i="20" s="1"/>
  <c r="P34" i="65"/>
  <c r="Q20" i="66" s="1"/>
  <c r="O34" i="65"/>
  <c r="P20" i="66" s="1"/>
  <c r="M34" i="65"/>
  <c r="N20" i="66" s="1"/>
  <c r="N34" i="65"/>
  <c r="O20" i="66" s="1"/>
  <c r="M20" i="66"/>
  <c r="Q34" i="65"/>
  <c r="R20" i="66" s="1"/>
  <c r="P31" i="77"/>
  <c r="P17" i="77"/>
  <c r="M34" i="103"/>
  <c r="N20" i="104" s="1"/>
  <c r="N34" i="103"/>
  <c r="O20" i="104" s="1"/>
  <c r="O27" i="104" s="1"/>
  <c r="O34" i="103"/>
  <c r="P20" i="104" s="1"/>
  <c r="P27" i="104" s="1"/>
  <c r="Q34" i="103"/>
  <c r="R20" i="104" s="1"/>
  <c r="R27" i="104" s="1"/>
  <c r="P34" i="103"/>
  <c r="Q20" i="104" s="1"/>
  <c r="Q27" i="104" s="1"/>
  <c r="M20" i="104"/>
  <c r="L42" i="69"/>
  <c r="M24" i="70" s="1"/>
  <c r="AY18" i="4" s="1"/>
  <c r="P42" i="151"/>
  <c r="O24" i="152" s="1"/>
  <c r="L42" i="147"/>
  <c r="M24" i="148" s="1"/>
  <c r="N31" i="87"/>
  <c r="N17" i="87"/>
  <c r="Q34" i="25"/>
  <c r="R20" i="26" s="1"/>
  <c r="M34" i="25"/>
  <c r="N20" i="26" s="1"/>
  <c r="O34" i="25"/>
  <c r="P20" i="26" s="1"/>
  <c r="P34" i="25"/>
  <c r="Q20" i="26" s="1"/>
  <c r="M20" i="26"/>
  <c r="N34" i="25"/>
  <c r="O20" i="26" s="1"/>
  <c r="M43" i="25"/>
  <c r="BY17" i="4"/>
  <c r="CE17" i="4"/>
  <c r="L42" i="181"/>
  <c r="M24" i="182" s="1"/>
  <c r="N42" i="115"/>
  <c r="N24" i="116" s="1"/>
  <c r="CC18" i="4" s="1"/>
  <c r="L69" i="103"/>
  <c r="L67" i="103" s="1"/>
  <c r="M23" i="104" s="1"/>
  <c r="I20" i="4" s="1"/>
  <c r="M67" i="103"/>
  <c r="N23" i="104" s="1"/>
  <c r="BS15" i="4"/>
  <c r="L17" i="53"/>
  <c r="L31" i="53" s="1"/>
  <c r="M20" i="54" s="1"/>
  <c r="L17" i="105"/>
  <c r="L31" i="105"/>
  <c r="L17" i="115"/>
  <c r="L31" i="115"/>
  <c r="N43" i="49"/>
  <c r="O24" i="50" s="1"/>
  <c r="P42" i="193"/>
  <c r="O24" i="194" s="1"/>
  <c r="N42" i="71"/>
  <c r="N24" i="72" s="1"/>
  <c r="AK18" i="4" s="1"/>
  <c r="P34" i="23"/>
  <c r="Q20" i="24" s="1"/>
  <c r="Q27" i="24" s="1"/>
  <c r="N34" i="23"/>
  <c r="O20" i="24" s="1"/>
  <c r="O27" i="24" s="1"/>
  <c r="M34" i="23"/>
  <c r="N20" i="24" s="1"/>
  <c r="Q34" i="23"/>
  <c r="R20" i="24" s="1"/>
  <c r="R27" i="24" s="1"/>
  <c r="O34" i="23"/>
  <c r="P20" i="24" s="1"/>
  <c r="P27" i="24" s="1"/>
  <c r="M20" i="24"/>
  <c r="L17" i="193"/>
  <c r="L31" i="193"/>
  <c r="N43" i="17"/>
  <c r="O24" i="18" s="1"/>
  <c r="N70" i="32"/>
  <c r="N71" i="32" s="1"/>
  <c r="R31" i="36"/>
  <c r="R68" i="36" s="1"/>
  <c r="R69" i="36" s="1"/>
  <c r="R28" i="36"/>
  <c r="E24" i="4"/>
  <c r="O38" i="50"/>
  <c r="O40" i="50" s="1"/>
  <c r="N79" i="49"/>
  <c r="R70" i="32"/>
  <c r="R71" i="32" s="1"/>
  <c r="R45" i="32"/>
  <c r="BF34" i="4"/>
  <c r="N66" i="78"/>
  <c r="N43" i="78"/>
  <c r="N66" i="48"/>
  <c r="AH34" i="4"/>
  <c r="N43" i="48"/>
  <c r="M66" i="188"/>
  <c r="M67" i="188" s="1"/>
  <c r="M43" i="188"/>
  <c r="N24" i="4"/>
  <c r="M66" i="146"/>
  <c r="M67" i="146" s="1"/>
  <c r="M43" i="146"/>
  <c r="BW34" i="4"/>
  <c r="N43" i="110"/>
  <c r="M66" i="200"/>
  <c r="M67" i="200" s="1"/>
  <c r="M43" i="200"/>
  <c r="N66" i="200"/>
  <c r="N67" i="200" s="1"/>
  <c r="N43" i="200"/>
  <c r="M66" i="120"/>
  <c r="M67" i="120" s="1"/>
  <c r="M43" i="120"/>
  <c r="O66" i="196"/>
  <c r="O43" i="196"/>
  <c r="N66" i="112"/>
  <c r="CF34" i="4"/>
  <c r="BZ34" i="4"/>
  <c r="N43" i="112"/>
  <c r="M66" i="44"/>
  <c r="M67" i="44" s="1"/>
  <c r="M43" i="44"/>
  <c r="O66" i="44"/>
  <c r="O67" i="44" s="1"/>
  <c r="O43" i="44"/>
  <c r="AM34" i="4"/>
  <c r="M66" i="74"/>
  <c r="M43" i="74"/>
  <c r="H34" i="4"/>
  <c r="N41" i="57"/>
  <c r="Q41" i="57"/>
  <c r="O41" i="57"/>
  <c r="R41" i="57"/>
  <c r="P41" i="57"/>
  <c r="M45" i="57"/>
  <c r="H38" i="4" s="1"/>
  <c r="N41" i="66"/>
  <c r="R41" i="66"/>
  <c r="Q41" i="66"/>
  <c r="P41" i="66"/>
  <c r="O41" i="66"/>
  <c r="M45" i="66"/>
  <c r="Q79" i="49"/>
  <c r="R38" i="50"/>
  <c r="R40" i="50" s="1"/>
  <c r="N38" i="50"/>
  <c r="N40" i="50" s="1"/>
  <c r="M79" i="49"/>
  <c r="P45" i="32"/>
  <c r="P70" i="32"/>
  <c r="P71" i="32" s="1"/>
  <c r="O66" i="78"/>
  <c r="BG34" i="4"/>
  <c r="O43" i="78"/>
  <c r="BA34" i="4"/>
  <c r="O66" i="70"/>
  <c r="O43" i="70"/>
  <c r="N28" i="36"/>
  <c r="N31" i="36"/>
  <c r="N68" i="36" s="1"/>
  <c r="N69" i="36" s="1"/>
  <c r="N38" i="4"/>
  <c r="N66" i="154"/>
  <c r="N67" i="154" s="1"/>
  <c r="N43" i="154"/>
  <c r="M66" i="118"/>
  <c r="M67" i="118" s="1"/>
  <c r="M43" i="118"/>
  <c r="O66" i="146"/>
  <c r="O67" i="146" s="1"/>
  <c r="O43" i="146"/>
  <c r="M66" i="194"/>
  <c r="M67" i="194" s="1"/>
  <c r="M43" i="194"/>
  <c r="O66" i="152"/>
  <c r="O67" i="152" s="1"/>
  <c r="O43" i="152"/>
  <c r="M66" i="112"/>
  <c r="BY34" i="4"/>
  <c r="CE34" i="4"/>
  <c r="M43" i="112"/>
  <c r="AW34" i="4"/>
  <c r="N66" i="86"/>
  <c r="N43" i="86"/>
  <c r="CJ34" i="4"/>
  <c r="O66" i="192"/>
  <c r="O43" i="192"/>
  <c r="AB34" i="4"/>
  <c r="O66" i="158"/>
  <c r="O43" i="158"/>
  <c r="AR34" i="4"/>
  <c r="O66" i="84"/>
  <c r="O43" i="84"/>
  <c r="F34" i="4"/>
  <c r="P41" i="16"/>
  <c r="N41" i="16"/>
  <c r="O41" i="16"/>
  <c r="Q41" i="16"/>
  <c r="R41" i="16"/>
  <c r="M45" i="16"/>
  <c r="BK34" i="4"/>
  <c r="N41" i="160"/>
  <c r="R41" i="160"/>
  <c r="O41" i="160"/>
  <c r="P41" i="160"/>
  <c r="Q41" i="160"/>
  <c r="M45" i="160"/>
  <c r="P79" i="49"/>
  <c r="Q38" i="50"/>
  <c r="Q40" i="50" s="1"/>
  <c r="O38" i="36"/>
  <c r="O40" i="36" s="1"/>
  <c r="N79" i="35"/>
  <c r="K79" i="35" s="1"/>
  <c r="P24" i="4"/>
  <c r="O45" i="32"/>
  <c r="O70" i="32"/>
  <c r="O71" i="32" s="1"/>
  <c r="P70" i="59"/>
  <c r="P71" i="59" s="1"/>
  <c r="P45" i="59"/>
  <c r="O66" i="182"/>
  <c r="O67" i="182" s="1"/>
  <c r="O43" i="182"/>
  <c r="M66" i="90"/>
  <c r="BH34" i="4"/>
  <c r="M43" i="90"/>
  <c r="BH38" i="4" s="1"/>
  <c r="M66" i="190"/>
  <c r="M67" i="190" s="1"/>
  <c r="M43" i="190"/>
  <c r="M66" i="70"/>
  <c r="AY34" i="4"/>
  <c r="M43" i="70"/>
  <c r="BP34" i="4"/>
  <c r="M66" i="114"/>
  <c r="M43" i="114"/>
  <c r="M66" i="196"/>
  <c r="M43" i="196"/>
  <c r="N66" i="148"/>
  <c r="N67" i="148" s="1"/>
  <c r="N43" i="148"/>
  <c r="M66" i="154"/>
  <c r="M67" i="154" s="1"/>
  <c r="M43" i="154"/>
  <c r="M66" i="86"/>
  <c r="AV34" i="4"/>
  <c r="M43" i="86"/>
  <c r="N66" i="108"/>
  <c r="BT34" i="4"/>
  <c r="N43" i="108"/>
  <c r="O66" i="180"/>
  <c r="O67" i="180" s="1"/>
  <c r="O43" i="180"/>
  <c r="N66" i="84"/>
  <c r="AQ34" i="4"/>
  <c r="N43" i="84"/>
  <c r="X34" i="4"/>
  <c r="N66" i="54"/>
  <c r="N43" i="54"/>
  <c r="Z34" i="4"/>
  <c r="M66" i="158"/>
  <c r="M43" i="158"/>
  <c r="J34" i="4"/>
  <c r="O41" i="24"/>
  <c r="N41" i="24"/>
  <c r="P41" i="24"/>
  <c r="R41" i="24"/>
  <c r="Q41" i="24"/>
  <c r="M45" i="24"/>
  <c r="J38" i="4" s="1"/>
  <c r="I34" i="4"/>
  <c r="P41" i="104"/>
  <c r="O41" i="104"/>
  <c r="Q41" i="104"/>
  <c r="N41" i="104"/>
  <c r="R41" i="104"/>
  <c r="M45" i="104"/>
  <c r="I38" i="4" s="1"/>
  <c r="O24" i="4"/>
  <c r="N38" i="26"/>
  <c r="N40" i="26" s="1"/>
  <c r="M79" i="25"/>
  <c r="P79" i="25"/>
  <c r="Q38" i="26"/>
  <c r="Q40" i="26" s="1"/>
  <c r="R70" i="59"/>
  <c r="R71" i="59" s="1"/>
  <c r="R45" i="59"/>
  <c r="N66" i="182"/>
  <c r="N67" i="182" s="1"/>
  <c r="N43" i="182"/>
  <c r="M66" i="48"/>
  <c r="AG34" i="4"/>
  <c r="M43" i="48"/>
  <c r="BB34" i="4"/>
  <c r="M66" i="88"/>
  <c r="M43" i="88"/>
  <c r="N66" i="194"/>
  <c r="N67" i="194" s="1"/>
  <c r="N43" i="194"/>
  <c r="O66" i="120"/>
  <c r="O67" i="120" s="1"/>
  <c r="O43" i="120"/>
  <c r="O66" i="110"/>
  <c r="BX34" i="4"/>
  <c r="O43" i="110"/>
  <c r="BR34" i="4"/>
  <c r="O66" i="114"/>
  <c r="O43" i="114"/>
  <c r="N66" i="118"/>
  <c r="N67" i="118" s="1"/>
  <c r="N43" i="118"/>
  <c r="BV34" i="4"/>
  <c r="M43" i="110"/>
  <c r="M66" i="180"/>
  <c r="M67" i="180" s="1"/>
  <c r="M43" i="180"/>
  <c r="N66" i="158"/>
  <c r="AA34" i="4"/>
  <c r="N43" i="158"/>
  <c r="CI34" i="4"/>
  <c r="N66" i="192"/>
  <c r="N43" i="192"/>
  <c r="AL34" i="4"/>
  <c r="O66" i="72"/>
  <c r="O43" i="72"/>
  <c r="O41" i="50"/>
  <c r="O70" i="50" s="1"/>
  <c r="O71" i="50" s="1"/>
  <c r="O34" i="4"/>
  <c r="N41" i="50"/>
  <c r="P41" i="50"/>
  <c r="P70" i="50" s="1"/>
  <c r="P71" i="50" s="1"/>
  <c r="R41" i="50"/>
  <c r="R70" i="50" s="1"/>
  <c r="R71" i="50" s="1"/>
  <c r="Q41" i="50"/>
  <c r="Q70" i="50" s="1"/>
  <c r="Q71" i="50" s="1"/>
  <c r="O41" i="92"/>
  <c r="N41" i="92"/>
  <c r="Q41" i="92"/>
  <c r="P41" i="92"/>
  <c r="R41" i="92"/>
  <c r="M45" i="92"/>
  <c r="O79" i="49"/>
  <c r="P38" i="50"/>
  <c r="P40" i="50" s="1"/>
  <c r="O45" i="59"/>
  <c r="O70" i="59"/>
  <c r="O71" i="59" s="1"/>
  <c r="O66" i="90"/>
  <c r="BJ34" i="4"/>
  <c r="O43" i="90"/>
  <c r="BJ38" i="4" s="1"/>
  <c r="G24" i="4"/>
  <c r="BK24" i="4"/>
  <c r="O66" i="48"/>
  <c r="AI34" i="4"/>
  <c r="O43" i="48"/>
  <c r="BD34" i="4"/>
  <c r="O66" i="88"/>
  <c r="O43" i="88"/>
  <c r="O66" i="118"/>
  <c r="O67" i="118" s="1"/>
  <c r="O43" i="118"/>
  <c r="M66" i="150"/>
  <c r="M67" i="150" s="1"/>
  <c r="M43" i="150"/>
  <c r="N66" i="146"/>
  <c r="N67" i="146" s="1"/>
  <c r="N43" i="146"/>
  <c r="O66" i="194"/>
  <c r="O67" i="194" s="1"/>
  <c r="O43" i="194"/>
  <c r="N66" i="150"/>
  <c r="N67" i="150" s="1"/>
  <c r="N43" i="150"/>
  <c r="M66" i="68"/>
  <c r="AS34" i="4"/>
  <c r="M43" i="68"/>
  <c r="N66" i="180"/>
  <c r="N67" i="180" s="1"/>
  <c r="N43" i="180"/>
  <c r="O66" i="202"/>
  <c r="O67" i="202" s="1"/>
  <c r="O43" i="202"/>
  <c r="N66" i="202"/>
  <c r="N67" i="202" s="1"/>
  <c r="N43" i="202"/>
  <c r="N66" i="44"/>
  <c r="N67" i="44" s="1"/>
  <c r="N43" i="44"/>
  <c r="Q41" i="36"/>
  <c r="Q70" i="36" s="1"/>
  <c r="Q71" i="36" s="1"/>
  <c r="N41" i="36"/>
  <c r="R41" i="36"/>
  <c r="O41" i="36"/>
  <c r="O70" i="36" s="1"/>
  <c r="O71" i="36" s="1"/>
  <c r="P41" i="36"/>
  <c r="BL34" i="4"/>
  <c r="P41" i="164"/>
  <c r="N41" i="164"/>
  <c r="Q41" i="164"/>
  <c r="R41" i="164"/>
  <c r="O41" i="164"/>
  <c r="M45" i="164"/>
  <c r="BL38" i="4" s="1"/>
  <c r="N79" i="25"/>
  <c r="O38" i="26"/>
  <c r="O40" i="26" s="1"/>
  <c r="Q70" i="59"/>
  <c r="Q71" i="59" s="1"/>
  <c r="Q45" i="59"/>
  <c r="M66" i="182"/>
  <c r="M67" i="182" s="1"/>
  <c r="M43" i="182"/>
  <c r="N66" i="70"/>
  <c r="AZ34" i="4"/>
  <c r="N43" i="70"/>
  <c r="N66" i="188"/>
  <c r="N67" i="188" s="1"/>
  <c r="N43" i="188"/>
  <c r="M66" i="148"/>
  <c r="M67" i="148" s="1"/>
  <c r="M43" i="148"/>
  <c r="O66" i="200"/>
  <c r="O67" i="200" s="1"/>
  <c r="O43" i="200"/>
  <c r="M66" i="152"/>
  <c r="M67" i="152" s="1"/>
  <c r="M43" i="152"/>
  <c r="BU34" i="4"/>
  <c r="O66" i="108"/>
  <c r="O43" i="108"/>
  <c r="CG34" i="4"/>
  <c r="CA34" i="4"/>
  <c r="O66" i="112"/>
  <c r="O43" i="112"/>
  <c r="N66" i="68"/>
  <c r="AT34" i="4"/>
  <c r="N43" i="68"/>
  <c r="O66" i="198"/>
  <c r="O67" i="198" s="1"/>
  <c r="O43" i="198"/>
  <c r="CH34" i="4"/>
  <c r="M66" i="192"/>
  <c r="M43" i="192"/>
  <c r="N66" i="74"/>
  <c r="AN34" i="4"/>
  <c r="N43" i="74"/>
  <c r="M66" i="72"/>
  <c r="AJ34" i="4"/>
  <c r="M43" i="72"/>
  <c r="P34" i="4"/>
  <c r="N41" i="26"/>
  <c r="O41" i="26"/>
  <c r="O70" i="26" s="1"/>
  <c r="O71" i="26" s="1"/>
  <c r="P41" i="26"/>
  <c r="P70" i="26" s="1"/>
  <c r="P71" i="26" s="1"/>
  <c r="Q41" i="26"/>
  <c r="Q70" i="26" s="1"/>
  <c r="Q71" i="26" s="1"/>
  <c r="R41" i="26"/>
  <c r="R70" i="26" s="1"/>
  <c r="R71" i="26" s="1"/>
  <c r="E34" i="4"/>
  <c r="N41" i="18"/>
  <c r="P41" i="18"/>
  <c r="R41" i="18"/>
  <c r="Q41" i="18"/>
  <c r="O41" i="18"/>
  <c r="M45" i="18"/>
  <c r="K79" i="51"/>
  <c r="O79" i="25"/>
  <c r="P38" i="26"/>
  <c r="P40" i="26" s="1"/>
  <c r="N45" i="59"/>
  <c r="M28" i="36"/>
  <c r="M31" i="36"/>
  <c r="M68" i="36" s="1"/>
  <c r="M69" i="36" s="1"/>
  <c r="M66" i="78"/>
  <c r="BE34" i="4"/>
  <c r="M43" i="78"/>
  <c r="N66" i="190"/>
  <c r="N67" i="190" s="1"/>
  <c r="N43" i="190"/>
  <c r="BC34" i="4"/>
  <c r="N66" i="88"/>
  <c r="N43" i="88"/>
  <c r="T24" i="4"/>
  <c r="N66" i="152"/>
  <c r="N67" i="152" s="1"/>
  <c r="N43" i="152"/>
  <c r="O66" i="148"/>
  <c r="O67" i="148" s="1"/>
  <c r="O43" i="148"/>
  <c r="AX34" i="4"/>
  <c r="O66" i="86"/>
  <c r="O43" i="86"/>
  <c r="O66" i="68"/>
  <c r="AU34" i="4"/>
  <c r="O43" i="68"/>
  <c r="N66" i="120"/>
  <c r="N67" i="120" s="1"/>
  <c r="N43" i="120"/>
  <c r="M66" i="108"/>
  <c r="BS34" i="4"/>
  <c r="M43" i="108"/>
  <c r="N66" i="198"/>
  <c r="N67" i="198" s="1"/>
  <c r="N43" i="198"/>
  <c r="AO34" i="4"/>
  <c r="O66" i="74"/>
  <c r="O43" i="74"/>
  <c r="W34" i="4"/>
  <c r="M66" i="54"/>
  <c r="M43" i="54"/>
  <c r="Y34" i="4"/>
  <c r="O43" i="54"/>
  <c r="G34" i="4"/>
  <c r="O41" i="20"/>
  <c r="N41" i="20"/>
  <c r="P41" i="20"/>
  <c r="Q41" i="20"/>
  <c r="R41" i="20"/>
  <c r="M45" i="20"/>
  <c r="F24" i="4"/>
  <c r="T38" i="4"/>
  <c r="M40" i="52"/>
  <c r="Q79" i="25"/>
  <c r="R38" i="26"/>
  <c r="R40" i="26" s="1"/>
  <c r="Q45" i="32"/>
  <c r="Q70" i="32"/>
  <c r="Q71" i="32" s="1"/>
  <c r="BI34" i="4"/>
  <c r="N66" i="90"/>
  <c r="N43" i="90"/>
  <c r="BI38" i="4" s="1"/>
  <c r="O66" i="190"/>
  <c r="O67" i="190" s="1"/>
  <c r="O43" i="190"/>
  <c r="O66" i="188"/>
  <c r="O67" i="188" s="1"/>
  <c r="O43" i="188"/>
  <c r="O66" i="154"/>
  <c r="O67" i="154" s="1"/>
  <c r="O43" i="154"/>
  <c r="CD34" i="4"/>
  <c r="O66" i="116"/>
  <c r="O43" i="116"/>
  <c r="N66" i="114"/>
  <c r="BQ34" i="4"/>
  <c r="N43" i="114"/>
  <c r="M66" i="116"/>
  <c r="CB34" i="4"/>
  <c r="M43" i="116"/>
  <c r="CB38" i="4" s="1"/>
  <c r="N66" i="196"/>
  <c r="N43" i="196"/>
  <c r="O66" i="150"/>
  <c r="O67" i="150" s="1"/>
  <c r="O43" i="150"/>
  <c r="N66" i="116"/>
  <c r="CC34" i="4"/>
  <c r="N43" i="116"/>
  <c r="CC38" i="4" s="1"/>
  <c r="M66" i="198"/>
  <c r="M67" i="198" s="1"/>
  <c r="M43" i="198"/>
  <c r="N66" i="72"/>
  <c r="AK34" i="4"/>
  <c r="N43" i="72"/>
  <c r="M66" i="202"/>
  <c r="M67" i="202" s="1"/>
  <c r="M43" i="202"/>
  <c r="AP34" i="4"/>
  <c r="M66" i="84"/>
  <c r="M43" i="84"/>
  <c r="Q34" i="4"/>
  <c r="Q41" i="52"/>
  <c r="Q70" i="52" s="1"/>
  <c r="Q71" i="52" s="1"/>
  <c r="N41" i="52"/>
  <c r="P41" i="52"/>
  <c r="P70" i="52" s="1"/>
  <c r="P71" i="52" s="1"/>
  <c r="R41" i="52"/>
  <c r="R70" i="52" s="1"/>
  <c r="R71" i="52" s="1"/>
  <c r="O41" i="52"/>
  <c r="O70" i="52" s="1"/>
  <c r="O71" i="52" s="1"/>
  <c r="O20" i="196" l="1"/>
  <c r="O27" i="196" s="1"/>
  <c r="O28" i="196" s="1"/>
  <c r="M20" i="180"/>
  <c r="M27" i="180" s="1"/>
  <c r="O20" i="86"/>
  <c r="O20" i="152"/>
  <c r="O27" i="152" s="1"/>
  <c r="M20" i="190"/>
  <c r="M27" i="190" s="1"/>
  <c r="R27" i="20"/>
  <c r="R28" i="20" s="1"/>
  <c r="N20" i="192"/>
  <c r="N27" i="192" s="1"/>
  <c r="N28" i="192" s="1"/>
  <c r="M20" i="108"/>
  <c r="N20" i="106"/>
  <c r="N27" i="106" s="1"/>
  <c r="O20" i="70"/>
  <c r="BA16" i="4" s="1"/>
  <c r="O20" i="90"/>
  <c r="BJ16" i="4" s="1"/>
  <c r="O20" i="78"/>
  <c r="BG16" i="4" s="1"/>
  <c r="M20" i="106"/>
  <c r="BM16" i="4" s="1"/>
  <c r="O20" i="106"/>
  <c r="O27" i="106" s="1"/>
  <c r="BO22" i="4" s="1"/>
  <c r="O20" i="114"/>
  <c r="O20" i="202"/>
  <c r="M20" i="198"/>
  <c r="M27" i="198" s="1"/>
  <c r="M30" i="198" s="1"/>
  <c r="M20" i="120"/>
  <c r="M27" i="120" s="1"/>
  <c r="M20" i="110"/>
  <c r="BV16" i="4" s="1"/>
  <c r="O20" i="68"/>
  <c r="N20" i="78"/>
  <c r="BF16" i="4" s="1"/>
  <c r="O20" i="150"/>
  <c r="O27" i="150" s="1"/>
  <c r="O20" i="108"/>
  <c r="M20" i="200"/>
  <c r="M27" i="200" s="1"/>
  <c r="M20" i="88"/>
  <c r="M27" i="88" s="1"/>
  <c r="BB22" i="4" s="1"/>
  <c r="N20" i="112"/>
  <c r="M20" i="150"/>
  <c r="M27" i="150" s="1"/>
  <c r="O20" i="146"/>
  <c r="O27" i="146" s="1"/>
  <c r="O30" i="146" s="1"/>
  <c r="O46" i="146" s="1"/>
  <c r="N20" i="146"/>
  <c r="N27" i="146" s="1"/>
  <c r="M20" i="86"/>
  <c r="M20" i="152"/>
  <c r="M27" i="152" s="1"/>
  <c r="N66" i="110"/>
  <c r="M66" i="110"/>
  <c r="M27" i="110"/>
  <c r="M28" i="110" s="1"/>
  <c r="O27" i="54"/>
  <c r="Y22" i="4" s="1"/>
  <c r="O66" i="54"/>
  <c r="O27" i="158"/>
  <c r="O28" i="158" s="1"/>
  <c r="M27" i="74"/>
  <c r="AM22" i="4" s="1"/>
  <c r="N27" i="72"/>
  <c r="AK22" i="4" s="1"/>
  <c r="O30" i="106"/>
  <c r="BO25" i="4" s="1"/>
  <c r="O28" i="106"/>
  <c r="O30" i="120"/>
  <c r="O64" i="120" s="1"/>
  <c r="O65" i="120" s="1"/>
  <c r="O28" i="120"/>
  <c r="O30" i="54"/>
  <c r="Y25" i="4" s="1"/>
  <c r="CI22" i="4"/>
  <c r="N28" i="190"/>
  <c r="N30" i="190"/>
  <c r="N64" i="190" s="1"/>
  <c r="N65" i="190" s="1"/>
  <c r="N28" i="150"/>
  <c r="N30" i="150"/>
  <c r="N64" i="150" s="1"/>
  <c r="N65" i="150" s="1"/>
  <c r="M28" i="150"/>
  <c r="M30" i="150"/>
  <c r="O28" i="150"/>
  <c r="O30" i="150"/>
  <c r="O64" i="150" s="1"/>
  <c r="O65" i="150" s="1"/>
  <c r="O28" i="146"/>
  <c r="M28" i="120"/>
  <c r="M30" i="120"/>
  <c r="M64" i="120" s="1"/>
  <c r="M65" i="120" s="1"/>
  <c r="N28" i="114"/>
  <c r="BQ22" i="4"/>
  <c r="N30" i="114"/>
  <c r="BQ25" i="4" s="1"/>
  <c r="N28" i="202"/>
  <c r="N30" i="202"/>
  <c r="N46" i="202" s="1"/>
  <c r="Q31" i="24"/>
  <c r="Q68" i="24" s="1"/>
  <c r="Q69" i="24" s="1"/>
  <c r="Q28" i="24"/>
  <c r="P16" i="4"/>
  <c r="N27" i="104"/>
  <c r="BS16" i="4"/>
  <c r="O20" i="116"/>
  <c r="O20" i="88"/>
  <c r="N20" i="120"/>
  <c r="N27" i="120" s="1"/>
  <c r="M64" i="150"/>
  <c r="M65" i="150" s="1"/>
  <c r="M27" i="46"/>
  <c r="R27" i="18"/>
  <c r="R31" i="32"/>
  <c r="R68" i="32" s="1"/>
  <c r="R69" i="32" s="1"/>
  <c r="R28" i="32"/>
  <c r="M20" i="192"/>
  <c r="R31" i="20"/>
  <c r="O20" i="188"/>
  <c r="O27" i="188" s="1"/>
  <c r="M20" i="210"/>
  <c r="O34" i="209"/>
  <c r="P20" i="210" s="1"/>
  <c r="P27" i="210" s="1"/>
  <c r="Q34" i="209"/>
  <c r="R20" i="210" s="1"/>
  <c r="R27" i="210" s="1"/>
  <c r="P34" i="209"/>
  <c r="Q20" i="210" s="1"/>
  <c r="Q27" i="210" s="1"/>
  <c r="M34" i="209"/>
  <c r="N20" i="210" s="1"/>
  <c r="N27" i="210" s="1"/>
  <c r="N34" i="209"/>
  <c r="O20" i="210" s="1"/>
  <c r="O27" i="210" s="1"/>
  <c r="M27" i="44"/>
  <c r="O27" i="36"/>
  <c r="N20" i="182"/>
  <c r="N27" i="182" s="1"/>
  <c r="AN16" i="4"/>
  <c r="N27" i="74"/>
  <c r="AD18" i="4"/>
  <c r="M66" i="46"/>
  <c r="N66" i="46"/>
  <c r="M20" i="78"/>
  <c r="AH16" i="4"/>
  <c r="N27" i="48"/>
  <c r="O27" i="82"/>
  <c r="R31" i="208"/>
  <c r="R28" i="208"/>
  <c r="R27" i="50"/>
  <c r="N27" i="92"/>
  <c r="Q31" i="57"/>
  <c r="Q68" i="57" s="1"/>
  <c r="Q69" i="57" s="1"/>
  <c r="Q28" i="57"/>
  <c r="Q27" i="16"/>
  <c r="Q31" i="22"/>
  <c r="Q28" i="22"/>
  <c r="Q31" i="59"/>
  <c r="Q68" i="59" s="1"/>
  <c r="Q69" i="59" s="1"/>
  <c r="Q28" i="59"/>
  <c r="P27" i="164"/>
  <c r="M20" i="194"/>
  <c r="M27" i="194" s="1"/>
  <c r="Q27" i="26"/>
  <c r="O28" i="20"/>
  <c r="O31" i="20"/>
  <c r="O68" i="20" s="1"/>
  <c r="O69" i="20" s="1"/>
  <c r="N20" i="118"/>
  <c r="N27" i="118" s="1"/>
  <c r="M20" i="148"/>
  <c r="O70" i="212"/>
  <c r="O71" i="212" s="1"/>
  <c r="BQ16" i="4"/>
  <c r="N64" i="114"/>
  <c r="N20" i="154"/>
  <c r="AR16" i="4"/>
  <c r="O27" i="84"/>
  <c r="O20" i="118"/>
  <c r="O27" i="118" s="1"/>
  <c r="M20" i="114"/>
  <c r="N24" i="22"/>
  <c r="N70" i="22" s="1"/>
  <c r="N71" i="22" s="1"/>
  <c r="L43" i="21"/>
  <c r="M24" i="22" s="1"/>
  <c r="AV16" i="4"/>
  <c r="M27" i="86"/>
  <c r="N27" i="32"/>
  <c r="Q31" i="32"/>
  <c r="Q68" i="32" s="1"/>
  <c r="Q69" i="32" s="1"/>
  <c r="Q28" i="32"/>
  <c r="O20" i="200"/>
  <c r="N24" i="20"/>
  <c r="L43" i="19"/>
  <c r="M24" i="20" s="1"/>
  <c r="M27" i="20" s="1"/>
  <c r="O20" i="110"/>
  <c r="N24" i="214"/>
  <c r="N70" i="214" s="1"/>
  <c r="N71" i="214" s="1"/>
  <c r="L43" i="213"/>
  <c r="M24" i="214" s="1"/>
  <c r="Q31" i="36"/>
  <c r="Q68" i="36" s="1"/>
  <c r="Q69" i="36" s="1"/>
  <c r="Q28" i="36"/>
  <c r="N20" i="198"/>
  <c r="N27" i="198" s="1"/>
  <c r="AJ16" i="4"/>
  <c r="M27" i="72"/>
  <c r="N20" i="152"/>
  <c r="O20" i="194"/>
  <c r="O27" i="194" s="1"/>
  <c r="P27" i="20"/>
  <c r="P27" i="82"/>
  <c r="P27" i="160"/>
  <c r="P27" i="50"/>
  <c r="Q27" i="216"/>
  <c r="O27" i="57"/>
  <c r="F16" i="4"/>
  <c r="M27" i="16"/>
  <c r="K16" i="4"/>
  <c r="M27" i="22"/>
  <c r="O31" i="59"/>
  <c r="O68" i="59" s="1"/>
  <c r="O69" i="59" s="1"/>
  <c r="O28" i="59"/>
  <c r="W16" i="4"/>
  <c r="P27" i="26"/>
  <c r="O30" i="198"/>
  <c r="O64" i="198" s="1"/>
  <c r="O65" i="198" s="1"/>
  <c r="O28" i="198"/>
  <c r="O27" i="78"/>
  <c r="O20" i="148"/>
  <c r="M20" i="146"/>
  <c r="N24" i="50"/>
  <c r="N70" i="50" s="1"/>
  <c r="N71" i="50" s="1"/>
  <c r="L43" i="49"/>
  <c r="M24" i="50" s="1"/>
  <c r="BZ18" i="4"/>
  <c r="CF18" i="4"/>
  <c r="M27" i="154"/>
  <c r="M20" i="212"/>
  <c r="M34" i="211"/>
  <c r="N20" i="212" s="1"/>
  <c r="Q34" i="211"/>
  <c r="R20" i="212" s="1"/>
  <c r="N34" i="211"/>
  <c r="O20" i="212" s="1"/>
  <c r="O27" i="212" s="1"/>
  <c r="P34" i="211"/>
  <c r="Q20" i="212" s="1"/>
  <c r="O34" i="211"/>
  <c r="P20" i="212" s="1"/>
  <c r="O27" i="70"/>
  <c r="M20" i="202"/>
  <c r="O20" i="154"/>
  <c r="L43" i="81"/>
  <c r="M24" i="82" s="1"/>
  <c r="M27" i="82" s="1"/>
  <c r="N24" i="82"/>
  <c r="N70" i="82" s="1"/>
  <c r="N71" i="82" s="1"/>
  <c r="M27" i="32"/>
  <c r="M70" i="32"/>
  <c r="S18" i="4"/>
  <c r="N20" i="200"/>
  <c r="M20" i="188"/>
  <c r="M27" i="188" s="1"/>
  <c r="Q28" i="20"/>
  <c r="Q31" i="20"/>
  <c r="Q68" i="20" s="1"/>
  <c r="Q69" i="20" s="1"/>
  <c r="O20" i="180"/>
  <c r="O27" i="180" s="1"/>
  <c r="P31" i="36"/>
  <c r="P68" i="36" s="1"/>
  <c r="P69" i="36" s="1"/>
  <c r="P28" i="36"/>
  <c r="N20" i="90"/>
  <c r="N20" i="116"/>
  <c r="N20" i="148"/>
  <c r="O27" i="214"/>
  <c r="N16" i="4"/>
  <c r="Q27" i="208"/>
  <c r="O27" i="160"/>
  <c r="N27" i="50"/>
  <c r="O27" i="92"/>
  <c r="R27" i="16"/>
  <c r="R27" i="52"/>
  <c r="R16" i="4"/>
  <c r="M27" i="59"/>
  <c r="R48" i="32"/>
  <c r="R49" i="32" s="1"/>
  <c r="R52" i="32" s="1"/>
  <c r="J16" i="4"/>
  <c r="M27" i="24"/>
  <c r="M28" i="200"/>
  <c r="M30" i="200"/>
  <c r="M64" i="200" s="1"/>
  <c r="M65" i="200" s="1"/>
  <c r="I16" i="4"/>
  <c r="R27" i="66"/>
  <c r="AG16" i="4"/>
  <c r="M27" i="48"/>
  <c r="M28" i="88"/>
  <c r="M30" i="88"/>
  <c r="BB25" i="4" s="1"/>
  <c r="Y16" i="4"/>
  <c r="O64" i="54"/>
  <c r="O30" i="182"/>
  <c r="O64" i="182" s="1"/>
  <c r="O65" i="182" s="1"/>
  <c r="O28" i="182"/>
  <c r="N24" i="24"/>
  <c r="N70" i="24" s="1"/>
  <c r="N71" i="24" s="1"/>
  <c r="L43" i="23"/>
  <c r="M24" i="24" s="1"/>
  <c r="BU16" i="4"/>
  <c r="O27" i="108"/>
  <c r="E16" i="4"/>
  <c r="P31" i="32"/>
  <c r="P68" i="32" s="1"/>
  <c r="P69" i="32" s="1"/>
  <c r="P28" i="32"/>
  <c r="N24" i="18"/>
  <c r="L43" i="17"/>
  <c r="M24" i="18" s="1"/>
  <c r="N27" i="20"/>
  <c r="P28" i="214"/>
  <c r="P31" i="214"/>
  <c r="N27" i="82"/>
  <c r="BK16" i="4"/>
  <c r="O16" i="4"/>
  <c r="Q31" i="92"/>
  <c r="Q69" i="92" s="1"/>
  <c r="Q70" i="92" s="1"/>
  <c r="Q28" i="92"/>
  <c r="Q16" i="4"/>
  <c r="P28" i="59"/>
  <c r="P31" i="59"/>
  <c r="P68" i="59" s="1"/>
  <c r="P69" i="59" s="1"/>
  <c r="O46" i="150"/>
  <c r="O47" i="150" s="1"/>
  <c r="O49" i="150" s="1"/>
  <c r="P31" i="24"/>
  <c r="P68" i="24" s="1"/>
  <c r="P69" i="24" s="1"/>
  <c r="P28" i="24"/>
  <c r="O30" i="196"/>
  <c r="O64" i="196" s="1"/>
  <c r="M27" i="108"/>
  <c r="R27" i="26"/>
  <c r="Q28" i="104"/>
  <c r="Q31" i="104"/>
  <c r="Q68" i="104" s="1"/>
  <c r="Q69" i="104" s="1"/>
  <c r="M27" i="66"/>
  <c r="N24" i="66"/>
  <c r="L43" i="65"/>
  <c r="M24" i="66" s="1"/>
  <c r="M71" i="66" s="1"/>
  <c r="M72" i="66" s="1"/>
  <c r="M20" i="118"/>
  <c r="M27" i="118" s="1"/>
  <c r="N27" i="18"/>
  <c r="Z16" i="4"/>
  <c r="M27" i="158"/>
  <c r="N20" i="68"/>
  <c r="N20" i="180"/>
  <c r="N27" i="180" s="1"/>
  <c r="AE18" i="4"/>
  <c r="O66" i="46"/>
  <c r="N24" i="210"/>
  <c r="N70" i="210" s="1"/>
  <c r="N71" i="210" s="1"/>
  <c r="L43" i="209"/>
  <c r="M24" i="210" s="1"/>
  <c r="N20" i="86"/>
  <c r="O20" i="192"/>
  <c r="N20" i="70"/>
  <c r="O20" i="112"/>
  <c r="G16" i="4"/>
  <c r="N27" i="214"/>
  <c r="R27" i="82"/>
  <c r="Q27" i="160"/>
  <c r="O27" i="50"/>
  <c r="V16" i="4"/>
  <c r="R28" i="57"/>
  <c r="R32" i="57" s="1"/>
  <c r="R31" i="57"/>
  <c r="R68" i="57" s="1"/>
  <c r="R69" i="57" s="1"/>
  <c r="P27" i="22"/>
  <c r="Q27" i="52"/>
  <c r="R28" i="59"/>
  <c r="R31" i="59"/>
  <c r="R68" i="59" s="1"/>
  <c r="R69" i="59" s="1"/>
  <c r="O27" i="164"/>
  <c r="Q48" i="32"/>
  <c r="M46" i="120"/>
  <c r="R31" i="24"/>
  <c r="R68" i="24" s="1"/>
  <c r="R69" i="24" s="1"/>
  <c r="R28" i="24"/>
  <c r="R28" i="104"/>
  <c r="R31" i="104"/>
  <c r="R68" i="104" s="1"/>
  <c r="R69" i="104" s="1"/>
  <c r="O27" i="66"/>
  <c r="O28" i="46"/>
  <c r="AE22" i="4"/>
  <c r="O30" i="46"/>
  <c r="O46" i="46" s="1"/>
  <c r="L43" i="159"/>
  <c r="M24" i="160" s="1"/>
  <c r="N24" i="160"/>
  <c r="O27" i="154"/>
  <c r="N20" i="194"/>
  <c r="N27" i="194" s="1"/>
  <c r="N20" i="108"/>
  <c r="BO16" i="4"/>
  <c r="AA16" i="4"/>
  <c r="M20" i="68"/>
  <c r="Q27" i="18"/>
  <c r="CE18" i="4"/>
  <c r="BY18" i="4"/>
  <c r="M27" i="84"/>
  <c r="M20" i="182"/>
  <c r="M27" i="182" s="1"/>
  <c r="M20" i="196"/>
  <c r="AX16" i="4"/>
  <c r="N27" i="84"/>
  <c r="L43" i="163"/>
  <c r="M24" i="164" s="1"/>
  <c r="N24" i="164"/>
  <c r="N27" i="164" s="1"/>
  <c r="M20" i="70"/>
  <c r="M20" i="90"/>
  <c r="O27" i="90"/>
  <c r="N24" i="52"/>
  <c r="N70" i="52" s="1"/>
  <c r="N71" i="52" s="1"/>
  <c r="L43" i="51"/>
  <c r="M24" i="52" s="1"/>
  <c r="M27" i="52" s="1"/>
  <c r="AI16" i="4"/>
  <c r="N24" i="92"/>
  <c r="L43" i="91"/>
  <c r="M24" i="92" s="1"/>
  <c r="M71" i="92" s="1"/>
  <c r="M72" i="92" s="1"/>
  <c r="X16" i="4"/>
  <c r="N27" i="54"/>
  <c r="AO16" i="4"/>
  <c r="O27" i="74"/>
  <c r="U16" i="4"/>
  <c r="M27" i="214"/>
  <c r="Q27" i="82"/>
  <c r="P27" i="208"/>
  <c r="R27" i="160"/>
  <c r="P27" i="216"/>
  <c r="P27" i="57"/>
  <c r="R31" i="22"/>
  <c r="R28" i="22"/>
  <c r="Q27" i="164"/>
  <c r="M46" i="150"/>
  <c r="R48" i="59"/>
  <c r="R55" i="59" s="1"/>
  <c r="R63" i="59" s="1"/>
  <c r="M20" i="116"/>
  <c r="N24" i="26"/>
  <c r="N27" i="26" s="1"/>
  <c r="L43" i="25"/>
  <c r="M24" i="26" s="1"/>
  <c r="N20" i="88"/>
  <c r="P31" i="104"/>
  <c r="P68" i="104" s="1"/>
  <c r="P69" i="104" s="1"/>
  <c r="P28" i="104"/>
  <c r="N27" i="66"/>
  <c r="AA22" i="4"/>
  <c r="N28" i="158"/>
  <c r="N30" i="158"/>
  <c r="AA25" i="4" s="1"/>
  <c r="O28" i="32"/>
  <c r="O31" i="32"/>
  <c r="O68" i="32" s="1"/>
  <c r="O69" i="32" s="1"/>
  <c r="N20" i="196"/>
  <c r="N24" i="216"/>
  <c r="N70" i="216" s="1"/>
  <c r="N71" i="216" s="1"/>
  <c r="L43" i="215"/>
  <c r="M24" i="216" s="1"/>
  <c r="O27" i="18"/>
  <c r="BN18" i="4"/>
  <c r="N66" i="106"/>
  <c r="M66" i="106"/>
  <c r="N27" i="59"/>
  <c r="N70" i="59"/>
  <c r="N71" i="59" s="1"/>
  <c r="N27" i="44"/>
  <c r="BR16" i="4"/>
  <c r="O27" i="114"/>
  <c r="O27" i="86"/>
  <c r="N20" i="110"/>
  <c r="O20" i="190"/>
  <c r="N20" i="188"/>
  <c r="N27" i="188" s="1"/>
  <c r="BO18" i="4"/>
  <c r="O66" i="106"/>
  <c r="L43" i="211"/>
  <c r="M24" i="212" s="1"/>
  <c r="AL16" i="4"/>
  <c r="Q27" i="214"/>
  <c r="L16" i="4"/>
  <c r="N27" i="160"/>
  <c r="O27" i="216"/>
  <c r="P31" i="92"/>
  <c r="P69" i="92" s="1"/>
  <c r="P70" i="92" s="1"/>
  <c r="P28" i="92"/>
  <c r="O27" i="16"/>
  <c r="P27" i="52"/>
  <c r="R27" i="164"/>
  <c r="Q48" i="59"/>
  <c r="Q49" i="59" s="1"/>
  <c r="Q52" i="59" s="1"/>
  <c r="O31" i="24"/>
  <c r="O68" i="24" s="1"/>
  <c r="O69" i="24" s="1"/>
  <c r="O28" i="24"/>
  <c r="O27" i="26"/>
  <c r="O28" i="104"/>
  <c r="O31" i="104"/>
  <c r="O68" i="104" s="1"/>
  <c r="O69" i="104" s="1"/>
  <c r="P27" i="66"/>
  <c r="N24" i="57"/>
  <c r="N27" i="57" s="1"/>
  <c r="L43" i="56"/>
  <c r="M24" i="57" s="1"/>
  <c r="O27" i="72"/>
  <c r="M28" i="152"/>
  <c r="M30" i="152"/>
  <c r="M64" i="152" s="1"/>
  <c r="M65" i="152" s="1"/>
  <c r="N24" i="104"/>
  <c r="L43" i="103"/>
  <c r="M24" i="104" s="1"/>
  <c r="M27" i="104" s="1"/>
  <c r="O27" i="48"/>
  <c r="O28" i="44"/>
  <c r="O30" i="44"/>
  <c r="O46" i="44" s="1"/>
  <c r="P27" i="18"/>
  <c r="Q27" i="66"/>
  <c r="N24" i="16"/>
  <c r="N27" i="16" s="1"/>
  <c r="L43" i="15"/>
  <c r="M24" i="16" s="1"/>
  <c r="M30" i="180"/>
  <c r="M64" i="180" s="1"/>
  <c r="M65" i="180" s="1"/>
  <c r="M28" i="180"/>
  <c r="M30" i="74"/>
  <c r="M46" i="74" s="1"/>
  <c r="M70" i="59"/>
  <c r="R18" i="4"/>
  <c r="O27" i="202"/>
  <c r="N27" i="46"/>
  <c r="CA18" i="4"/>
  <c r="CG18" i="4"/>
  <c r="BY16" i="4"/>
  <c r="CE16" i="4"/>
  <c r="M27" i="112"/>
  <c r="AK16" i="4"/>
  <c r="N24" i="208"/>
  <c r="N70" i="208" s="1"/>
  <c r="N71" i="208" s="1"/>
  <c r="L43" i="207"/>
  <c r="M24" i="208" s="1"/>
  <c r="M27" i="208" s="1"/>
  <c r="M27" i="202"/>
  <c r="CI16" i="4"/>
  <c r="R68" i="20"/>
  <c r="R69" i="20" s="1"/>
  <c r="BZ16" i="4"/>
  <c r="CF16" i="4"/>
  <c r="N27" i="112"/>
  <c r="M27" i="54"/>
  <c r="R31" i="214"/>
  <c r="R28" i="214"/>
  <c r="O31" i="208"/>
  <c r="O28" i="208"/>
  <c r="Q27" i="50"/>
  <c r="R31" i="216"/>
  <c r="R28" i="216"/>
  <c r="R27" i="92"/>
  <c r="H16" i="4"/>
  <c r="P27" i="16"/>
  <c r="O27" i="22"/>
  <c r="O27" i="52"/>
  <c r="BL16" i="4"/>
  <c r="M27" i="164"/>
  <c r="R45" i="26"/>
  <c r="P45" i="50"/>
  <c r="N45" i="52"/>
  <c r="M67" i="116"/>
  <c r="CB59" i="4"/>
  <c r="R70" i="20"/>
  <c r="R71" i="20" s="1"/>
  <c r="R45" i="20"/>
  <c r="R48" i="20" s="1"/>
  <c r="O70" i="18"/>
  <c r="O71" i="18" s="1"/>
  <c r="O45" i="18"/>
  <c r="CH59" i="4"/>
  <c r="M67" i="192"/>
  <c r="O67" i="112"/>
  <c r="CA59" i="4"/>
  <c r="CG59" i="4"/>
  <c r="O71" i="164"/>
  <c r="O72" i="164" s="1"/>
  <c r="O45" i="164"/>
  <c r="BD38" i="4"/>
  <c r="O67" i="72"/>
  <c r="AL59" i="4"/>
  <c r="BR59" i="4"/>
  <c r="O67" i="114"/>
  <c r="R70" i="104"/>
  <c r="R71" i="104" s="1"/>
  <c r="R45" i="104"/>
  <c r="R48" i="104" s="1"/>
  <c r="Q70" i="24"/>
  <c r="Q71" i="24" s="1"/>
  <c r="Q45" i="24"/>
  <c r="Q48" i="24" s="1"/>
  <c r="BP38" i="4"/>
  <c r="AY38" i="4"/>
  <c r="BK38" i="4"/>
  <c r="F38" i="4"/>
  <c r="AR38" i="4"/>
  <c r="BA38" i="4"/>
  <c r="Q71" i="66"/>
  <c r="Q72" i="66" s="1"/>
  <c r="Q45" i="66"/>
  <c r="N70" i="57"/>
  <c r="N71" i="57" s="1"/>
  <c r="N45" i="57"/>
  <c r="M51" i="120"/>
  <c r="M47" i="120"/>
  <c r="M49" i="120" s="1"/>
  <c r="N67" i="116"/>
  <c r="CC59" i="4"/>
  <c r="Q33" i="4"/>
  <c r="M45" i="52"/>
  <c r="Q70" i="20"/>
  <c r="Q71" i="20" s="1"/>
  <c r="Q45" i="20"/>
  <c r="O67" i="54"/>
  <c r="Y59" i="4"/>
  <c r="O67" i="68"/>
  <c r="AU59" i="4"/>
  <c r="BE38" i="4"/>
  <c r="Q70" i="18"/>
  <c r="Q71" i="18" s="1"/>
  <c r="Q45" i="18"/>
  <c r="AJ38" i="4"/>
  <c r="R71" i="164"/>
  <c r="R72" i="164" s="1"/>
  <c r="R45" i="164"/>
  <c r="R45" i="36"/>
  <c r="R48" i="36" s="1"/>
  <c r="R70" i="36"/>
  <c r="R71" i="36" s="1"/>
  <c r="O67" i="88"/>
  <c r="BD59" i="4"/>
  <c r="AG38" i="4"/>
  <c r="Q45" i="26"/>
  <c r="N70" i="104"/>
  <c r="N71" i="104" s="1"/>
  <c r="N45" i="104"/>
  <c r="R70" i="24"/>
  <c r="R71" i="24" s="1"/>
  <c r="R45" i="24"/>
  <c r="R48" i="24" s="1"/>
  <c r="Z38" i="4"/>
  <c r="AQ59" i="4"/>
  <c r="N67" i="84"/>
  <c r="AV59" i="4"/>
  <c r="M67" i="86"/>
  <c r="BP59" i="4"/>
  <c r="M67" i="114"/>
  <c r="Q71" i="160"/>
  <c r="Q72" i="160" s="1"/>
  <c r="Q45" i="160"/>
  <c r="R70" i="16"/>
  <c r="R71" i="16" s="1"/>
  <c r="R45" i="16"/>
  <c r="AR59" i="4"/>
  <c r="O67" i="84"/>
  <c r="AW38" i="4"/>
  <c r="BA59" i="4"/>
  <c r="O67" i="70"/>
  <c r="R71" i="66"/>
  <c r="R72" i="66" s="1"/>
  <c r="R45" i="66"/>
  <c r="R32" i="36"/>
  <c r="R29" i="36"/>
  <c r="BQ38" i="4"/>
  <c r="N46" i="114"/>
  <c r="P45" i="52"/>
  <c r="AK38" i="4"/>
  <c r="D14" i="155"/>
  <c r="P70" i="20"/>
  <c r="P71" i="20" s="1"/>
  <c r="P45" i="20"/>
  <c r="W38" i="4"/>
  <c r="BS38" i="4"/>
  <c r="AX38" i="4"/>
  <c r="Q45" i="52"/>
  <c r="P45" i="26"/>
  <c r="R70" i="18"/>
  <c r="R71" i="18" s="1"/>
  <c r="R45" i="18"/>
  <c r="Q71" i="164"/>
  <c r="Q72" i="164" s="1"/>
  <c r="Q45" i="164"/>
  <c r="N70" i="36"/>
  <c r="N71" i="36" s="1"/>
  <c r="N45" i="36"/>
  <c r="R71" i="92"/>
  <c r="R72" i="92" s="1"/>
  <c r="R45" i="92"/>
  <c r="CI38" i="4"/>
  <c r="BV38" i="4"/>
  <c r="BX38" i="4"/>
  <c r="Q70" i="104"/>
  <c r="Q71" i="104" s="1"/>
  <c r="Q45" i="104"/>
  <c r="P70" i="24"/>
  <c r="P71" i="24" s="1"/>
  <c r="P45" i="24"/>
  <c r="Z59" i="4"/>
  <c r="M67" i="158"/>
  <c r="AY59" i="4"/>
  <c r="M67" i="70"/>
  <c r="M67" i="90"/>
  <c r="BH59" i="4"/>
  <c r="P71" i="160"/>
  <c r="P72" i="160" s="1"/>
  <c r="P45" i="160"/>
  <c r="Q70" i="16"/>
  <c r="Q71" i="16" s="1"/>
  <c r="Q45" i="16"/>
  <c r="AW59" i="4"/>
  <c r="N67" i="86"/>
  <c r="N71" i="66"/>
  <c r="N72" i="66" s="1"/>
  <c r="N45" i="66"/>
  <c r="BZ38" i="4"/>
  <c r="CF38" i="4"/>
  <c r="BI59" i="4"/>
  <c r="N67" i="90"/>
  <c r="N70" i="20"/>
  <c r="N71" i="20" s="1"/>
  <c r="N45" i="20"/>
  <c r="M67" i="54"/>
  <c r="W59" i="4"/>
  <c r="O67" i="86"/>
  <c r="AX59" i="4"/>
  <c r="BE59" i="4"/>
  <c r="M67" i="78"/>
  <c r="P70" i="18"/>
  <c r="P71" i="18" s="1"/>
  <c r="P45" i="18"/>
  <c r="AJ59" i="4"/>
  <c r="M67" i="72"/>
  <c r="BU38" i="4"/>
  <c r="AI38" i="4"/>
  <c r="P71" i="92"/>
  <c r="P72" i="92" s="1"/>
  <c r="P45" i="92"/>
  <c r="P48" i="92" s="1"/>
  <c r="N67" i="192"/>
  <c r="CI59" i="4"/>
  <c r="AG59" i="4"/>
  <c r="M67" i="48"/>
  <c r="K79" i="25"/>
  <c r="O70" i="104"/>
  <c r="O71" i="104" s="1"/>
  <c r="O45" i="104"/>
  <c r="O48" i="104" s="1"/>
  <c r="N45" i="24"/>
  <c r="O45" i="52"/>
  <c r="O71" i="160"/>
  <c r="O72" i="160" s="1"/>
  <c r="O45" i="160"/>
  <c r="O70" i="16"/>
  <c r="O71" i="16" s="1"/>
  <c r="O45" i="16"/>
  <c r="AB38" i="4"/>
  <c r="AM38" i="4"/>
  <c r="CD38" i="4"/>
  <c r="O70" i="20"/>
  <c r="O71" i="20" s="1"/>
  <c r="O45" i="20"/>
  <c r="M67" i="108"/>
  <c r="BS59" i="4"/>
  <c r="N70" i="18"/>
  <c r="N71" i="18" s="1"/>
  <c r="N45" i="18"/>
  <c r="E14" i="155"/>
  <c r="AN38" i="4"/>
  <c r="AT38" i="4"/>
  <c r="BU59" i="4"/>
  <c r="O67" i="108"/>
  <c r="N71" i="164"/>
  <c r="N72" i="164" s="1"/>
  <c r="N45" i="164"/>
  <c r="AS38" i="4"/>
  <c r="M67" i="110"/>
  <c r="BV59" i="4"/>
  <c r="O67" i="110"/>
  <c r="BX59" i="4"/>
  <c r="M40" i="26"/>
  <c r="N45" i="26"/>
  <c r="P70" i="104"/>
  <c r="P71" i="104" s="1"/>
  <c r="P45" i="104"/>
  <c r="P48" i="104" s="1"/>
  <c r="O70" i="24"/>
  <c r="O71" i="24" s="1"/>
  <c r="O45" i="24"/>
  <c r="O48" i="24" s="1"/>
  <c r="C14" i="155"/>
  <c r="X38" i="4"/>
  <c r="BT38" i="4"/>
  <c r="R71" i="160"/>
  <c r="R72" i="160" s="1"/>
  <c r="R45" i="160"/>
  <c r="N70" i="16"/>
  <c r="N71" i="16" s="1"/>
  <c r="N45" i="16"/>
  <c r="AB59" i="4"/>
  <c r="O67" i="158"/>
  <c r="CE38" i="4"/>
  <c r="BY38" i="4"/>
  <c r="K79" i="49"/>
  <c r="P70" i="57"/>
  <c r="P71" i="57" s="1"/>
  <c r="P45" i="57"/>
  <c r="AM59" i="4"/>
  <c r="M67" i="74"/>
  <c r="AH38" i="4"/>
  <c r="BF38" i="4"/>
  <c r="O45" i="50"/>
  <c r="N67" i="114"/>
  <c r="BQ59" i="4"/>
  <c r="N67" i="72"/>
  <c r="AK59" i="4"/>
  <c r="AP38" i="4"/>
  <c r="AO38" i="4"/>
  <c r="BC38" i="4"/>
  <c r="AZ38" i="4"/>
  <c r="P71" i="164"/>
  <c r="P72" i="164" s="1"/>
  <c r="P45" i="164"/>
  <c r="M51" i="150"/>
  <c r="M47" i="150"/>
  <c r="M49" i="150" s="1"/>
  <c r="AI59" i="4"/>
  <c r="O67" i="48"/>
  <c r="Q71" i="92"/>
  <c r="Q72" i="92" s="1"/>
  <c r="Q45" i="92"/>
  <c r="AA38" i="4"/>
  <c r="N46" i="158"/>
  <c r="X59" i="4"/>
  <c r="N67" i="54"/>
  <c r="N71" i="160"/>
  <c r="N72" i="160" s="1"/>
  <c r="N45" i="160"/>
  <c r="P70" i="16"/>
  <c r="P71" i="16" s="1"/>
  <c r="P45" i="16"/>
  <c r="BG38" i="4"/>
  <c r="Q45" i="36"/>
  <c r="Q48" i="36" s="1"/>
  <c r="M40" i="50"/>
  <c r="N45" i="50"/>
  <c r="R70" i="57"/>
  <c r="R71" i="57" s="1"/>
  <c r="R45" i="57"/>
  <c r="R48" i="57" s="1"/>
  <c r="BZ59" i="4"/>
  <c r="CF59" i="4"/>
  <c r="N67" i="112"/>
  <c r="BF59" i="4"/>
  <c r="N67" i="78"/>
  <c r="O67" i="116"/>
  <c r="CD59" i="4"/>
  <c r="M67" i="84"/>
  <c r="AP59" i="4"/>
  <c r="Q49" i="32"/>
  <c r="Q55" i="32"/>
  <c r="AO59" i="4"/>
  <c r="O67" i="74"/>
  <c r="BC59" i="4"/>
  <c r="N67" i="88"/>
  <c r="M29" i="36"/>
  <c r="M32" i="36"/>
  <c r="AN59" i="4"/>
  <c r="N67" i="74"/>
  <c r="N67" i="68"/>
  <c r="AT59" i="4"/>
  <c r="M67" i="68"/>
  <c r="AS59" i="4"/>
  <c r="O67" i="90"/>
  <c r="BJ59" i="4"/>
  <c r="N71" i="92"/>
  <c r="N72" i="92" s="1"/>
  <c r="N45" i="92"/>
  <c r="BB38" i="4"/>
  <c r="BT59" i="4"/>
  <c r="N67" i="108"/>
  <c r="M40" i="36"/>
  <c r="M45" i="36" s="1"/>
  <c r="M48" i="36" s="1"/>
  <c r="O45" i="36"/>
  <c r="CJ38" i="4"/>
  <c r="N29" i="36"/>
  <c r="N32" i="36"/>
  <c r="R45" i="50"/>
  <c r="O71" i="66"/>
  <c r="O72" i="66" s="1"/>
  <c r="O45" i="66"/>
  <c r="O70" i="57"/>
  <c r="O71" i="57" s="1"/>
  <c r="O45" i="57"/>
  <c r="BW38" i="4"/>
  <c r="N67" i="48"/>
  <c r="AH59" i="4"/>
  <c r="G38" i="4"/>
  <c r="Y38" i="4"/>
  <c r="AU38" i="4"/>
  <c r="E38" i="4"/>
  <c r="CH38" i="4"/>
  <c r="CA38" i="4"/>
  <c r="CG38" i="4"/>
  <c r="AZ59" i="4"/>
  <c r="N67" i="70"/>
  <c r="O45" i="26"/>
  <c r="P70" i="36"/>
  <c r="P71" i="36" s="1"/>
  <c r="P45" i="36"/>
  <c r="P48" i="36" s="1"/>
  <c r="O71" i="92"/>
  <c r="O72" i="92" s="1"/>
  <c r="O45" i="92"/>
  <c r="AL38" i="4"/>
  <c r="N67" i="158"/>
  <c r="AA59" i="4"/>
  <c r="BR38" i="4"/>
  <c r="BB59" i="4"/>
  <c r="M67" i="88"/>
  <c r="AQ38" i="4"/>
  <c r="F14" i="155"/>
  <c r="AV38" i="4"/>
  <c r="R45" i="52"/>
  <c r="Q45" i="50"/>
  <c r="O67" i="192"/>
  <c r="CJ59" i="4"/>
  <c r="CE59" i="4"/>
  <c r="BY59" i="4"/>
  <c r="M67" i="112"/>
  <c r="N48" i="36"/>
  <c r="O67" i="78"/>
  <c r="BG59" i="4"/>
  <c r="P71" i="66"/>
  <c r="P72" i="66" s="1"/>
  <c r="P45" i="66"/>
  <c r="Q70" i="57"/>
  <c r="Q71" i="57" s="1"/>
  <c r="Q45" i="57"/>
  <c r="Q48" i="57" s="1"/>
  <c r="BW59" i="4"/>
  <c r="N67" i="110"/>
  <c r="Q48" i="20" l="1"/>
  <c r="N47" i="202"/>
  <c r="N49" i="202" s="1"/>
  <c r="N51" i="202"/>
  <c r="M30" i="190"/>
  <c r="M64" i="190" s="1"/>
  <c r="M65" i="190" s="1"/>
  <c r="M28" i="190"/>
  <c r="M64" i="198"/>
  <c r="M65" i="198" s="1"/>
  <c r="M46" i="198"/>
  <c r="O30" i="158"/>
  <c r="O46" i="158" s="1"/>
  <c r="AB41" i="4" s="1"/>
  <c r="N64" i="202"/>
  <c r="N65" i="202" s="1"/>
  <c r="N30" i="146"/>
  <c r="N46" i="146" s="1"/>
  <c r="M28" i="198"/>
  <c r="O46" i="120"/>
  <c r="O47" i="120" s="1"/>
  <c r="O49" i="120" s="1"/>
  <c r="Q32" i="22"/>
  <c r="N28" i="146"/>
  <c r="N31" i="146" s="1"/>
  <c r="N30" i="72"/>
  <c r="N64" i="72" s="1"/>
  <c r="M46" i="88"/>
  <c r="BB41" i="4" s="1"/>
  <c r="R49" i="59"/>
  <c r="R52" i="59" s="1"/>
  <c r="O64" i="106"/>
  <c r="O46" i="106"/>
  <c r="N31" i="202"/>
  <c r="O51" i="150"/>
  <c r="O46" i="198"/>
  <c r="O47" i="198" s="1"/>
  <c r="O49" i="198" s="1"/>
  <c r="M27" i="106"/>
  <c r="BN16" i="4"/>
  <c r="N30" i="192"/>
  <c r="Q55" i="59"/>
  <c r="Q63" i="59" s="1"/>
  <c r="AB22" i="4"/>
  <c r="N27" i="78"/>
  <c r="O48" i="20"/>
  <c r="O48" i="59"/>
  <c r="O64" i="146"/>
  <c r="O65" i="146" s="1"/>
  <c r="BB16" i="4"/>
  <c r="Q32" i="59"/>
  <c r="R32" i="214"/>
  <c r="M31" i="180"/>
  <c r="M31" i="190"/>
  <c r="R32" i="208"/>
  <c r="O28" i="54"/>
  <c r="O31" i="54" s="1"/>
  <c r="R32" i="104"/>
  <c r="R32" i="59"/>
  <c r="O31" i="196"/>
  <c r="Q32" i="57"/>
  <c r="O31" i="182"/>
  <c r="AU16" i="4"/>
  <c r="O27" i="68"/>
  <c r="M30" i="110"/>
  <c r="M46" i="110" s="1"/>
  <c r="BV22" i="4"/>
  <c r="O46" i="54"/>
  <c r="Y41" i="4" s="1"/>
  <c r="N64" i="158"/>
  <c r="N46" i="72"/>
  <c r="N28" i="72"/>
  <c r="AK23" i="4" s="1"/>
  <c r="M28" i="74"/>
  <c r="M31" i="74" s="1"/>
  <c r="M28" i="208"/>
  <c r="M31" i="208"/>
  <c r="L22" i="4"/>
  <c r="N31" i="164"/>
  <c r="N69" i="164" s="1"/>
  <c r="N70" i="164" s="1"/>
  <c r="N28" i="164"/>
  <c r="O51" i="44"/>
  <c r="O47" i="44"/>
  <c r="O49" i="44" s="1"/>
  <c r="N28" i="57"/>
  <c r="N31" i="57"/>
  <c r="N68" i="57" s="1"/>
  <c r="N69" i="57" s="1"/>
  <c r="M31" i="52"/>
  <c r="M28" i="52"/>
  <c r="Q22" i="4"/>
  <c r="I22" i="4"/>
  <c r="M28" i="104"/>
  <c r="M31" i="104"/>
  <c r="M48" i="104" s="1"/>
  <c r="O28" i="212"/>
  <c r="O31" i="212"/>
  <c r="O48" i="212" s="1"/>
  <c r="N28" i="16"/>
  <c r="N31" i="16"/>
  <c r="N68" i="16" s="1"/>
  <c r="N69" i="16" s="1"/>
  <c r="O51" i="146"/>
  <c r="O47" i="146"/>
  <c r="O49" i="146" s="1"/>
  <c r="N28" i="26"/>
  <c r="N31" i="26"/>
  <c r="N68" i="26" s="1"/>
  <c r="N69" i="26" s="1"/>
  <c r="N22" i="4"/>
  <c r="M28" i="82"/>
  <c r="M31" i="82"/>
  <c r="M48" i="82" s="1"/>
  <c r="Q28" i="50"/>
  <c r="Q31" i="50"/>
  <c r="Q68" i="50" s="1"/>
  <c r="Q69" i="50" s="1"/>
  <c r="O32" i="32"/>
  <c r="O29" i="32"/>
  <c r="N28" i="194"/>
  <c r="N30" i="194"/>
  <c r="N64" i="194" s="1"/>
  <c r="N65" i="194" s="1"/>
  <c r="N48" i="16"/>
  <c r="N55" i="16" s="1"/>
  <c r="BL22" i="4"/>
  <c r="M31" i="164"/>
  <c r="M28" i="164"/>
  <c r="O28" i="202"/>
  <c r="O30" i="202"/>
  <c r="O64" i="202" s="1"/>
  <c r="O65" i="202" s="1"/>
  <c r="P28" i="18"/>
  <c r="P31" i="18"/>
  <c r="P68" i="18" s="1"/>
  <c r="P69" i="18" s="1"/>
  <c r="M31" i="152"/>
  <c r="N28" i="188"/>
  <c r="N30" i="188"/>
  <c r="N64" i="188" s="1"/>
  <c r="N65" i="188" s="1"/>
  <c r="BC16" i="4"/>
  <c r="N27" i="88"/>
  <c r="Q28" i="164"/>
  <c r="Q31" i="164"/>
  <c r="Q69" i="164" s="1"/>
  <c r="Q70" i="164" s="1"/>
  <c r="P31" i="208"/>
  <c r="P68" i="208" s="1"/>
  <c r="P69" i="208" s="1"/>
  <c r="P28" i="208"/>
  <c r="N28" i="54"/>
  <c r="N30" i="54"/>
  <c r="X22" i="4"/>
  <c r="BJ22" i="4"/>
  <c r="O28" i="90"/>
  <c r="O30" i="90"/>
  <c r="M27" i="196"/>
  <c r="AA57" i="4"/>
  <c r="N65" i="158"/>
  <c r="BK18" i="4"/>
  <c r="M71" i="160"/>
  <c r="AZ16" i="4"/>
  <c r="N27" i="70"/>
  <c r="N28" i="180"/>
  <c r="N31" i="180" s="1"/>
  <c r="N30" i="180"/>
  <c r="M30" i="118"/>
  <c r="M64" i="118" s="1"/>
  <c r="M65" i="118" s="1"/>
  <c r="M28" i="118"/>
  <c r="R28" i="26"/>
  <c r="R31" i="26"/>
  <c r="R68" i="26" s="1"/>
  <c r="R69" i="26" s="1"/>
  <c r="BV23" i="4"/>
  <c r="O48" i="32"/>
  <c r="R28" i="52"/>
  <c r="R31" i="52"/>
  <c r="R68" i="52" s="1"/>
  <c r="R69" i="52" s="1"/>
  <c r="Q28" i="208"/>
  <c r="Q31" i="208"/>
  <c r="Q68" i="208" s="1"/>
  <c r="Q69" i="208" s="1"/>
  <c r="BI16" i="4"/>
  <c r="N27" i="90"/>
  <c r="M30" i="188"/>
  <c r="M28" i="188"/>
  <c r="T16" i="4"/>
  <c r="O28" i="57"/>
  <c r="O31" i="57"/>
  <c r="O68" i="57" s="1"/>
  <c r="O69" i="57" s="1"/>
  <c r="P28" i="82"/>
  <c r="P31" i="82"/>
  <c r="P68" i="82" s="1"/>
  <c r="P69" i="82" s="1"/>
  <c r="N27" i="152"/>
  <c r="N31" i="32"/>
  <c r="N68" i="32" s="1"/>
  <c r="N69" i="32" s="1"/>
  <c r="N28" i="32"/>
  <c r="O30" i="118"/>
  <c r="O64" i="118" s="1"/>
  <c r="O65" i="118" s="1"/>
  <c r="O28" i="118"/>
  <c r="O29" i="20"/>
  <c r="O32" i="20"/>
  <c r="Q68" i="22"/>
  <c r="Q69" i="22" s="1"/>
  <c r="Q48" i="22"/>
  <c r="R28" i="50"/>
  <c r="R31" i="50"/>
  <c r="R68" i="50" s="1"/>
  <c r="R69" i="50" s="1"/>
  <c r="BE16" i="4"/>
  <c r="M27" i="78"/>
  <c r="N30" i="182"/>
  <c r="N64" i="182" s="1"/>
  <c r="N65" i="182" s="1"/>
  <c r="N28" i="182"/>
  <c r="P31" i="210"/>
  <c r="P68" i="210" s="1"/>
  <c r="P69" i="210" s="1"/>
  <c r="P28" i="210"/>
  <c r="BD16" i="4"/>
  <c r="O27" i="88"/>
  <c r="O46" i="118"/>
  <c r="O31" i="150"/>
  <c r="N31" i="190"/>
  <c r="D12" i="155"/>
  <c r="AK25" i="4"/>
  <c r="Q29" i="36"/>
  <c r="Q32" i="36"/>
  <c r="R28" i="92"/>
  <c r="R31" i="92"/>
  <c r="R69" i="92" s="1"/>
  <c r="R70" i="92" s="1"/>
  <c r="R68" i="214"/>
  <c r="R69" i="214" s="1"/>
  <c r="R48" i="214"/>
  <c r="BY22" i="4"/>
  <c r="M28" i="112"/>
  <c r="CE22" i="4"/>
  <c r="M30" i="112"/>
  <c r="F18" i="4"/>
  <c r="M70" i="16"/>
  <c r="AL22" i="4"/>
  <c r="O28" i="72"/>
  <c r="O30" i="72"/>
  <c r="O28" i="26"/>
  <c r="O31" i="26"/>
  <c r="O68" i="26" s="1"/>
  <c r="O69" i="26" s="1"/>
  <c r="M46" i="152"/>
  <c r="O28" i="16"/>
  <c r="O31" i="16"/>
  <c r="O68" i="16" s="1"/>
  <c r="O69" i="16" s="1"/>
  <c r="O27" i="190"/>
  <c r="N28" i="44"/>
  <c r="N30" i="44"/>
  <c r="N64" i="44" s="1"/>
  <c r="N65" i="44" s="1"/>
  <c r="V18" i="4"/>
  <c r="M70" i="216"/>
  <c r="P18" i="4"/>
  <c r="M70" i="26"/>
  <c r="N27" i="52"/>
  <c r="Q28" i="82"/>
  <c r="Q31" i="82"/>
  <c r="Q68" i="82" s="1"/>
  <c r="Q69" i="82" s="1"/>
  <c r="Q48" i="82"/>
  <c r="BH16" i="4"/>
  <c r="M27" i="90"/>
  <c r="M30" i="182"/>
  <c r="M28" i="182"/>
  <c r="O47" i="46"/>
  <c r="AE41" i="4"/>
  <c r="O51" i="46"/>
  <c r="R28" i="82"/>
  <c r="R32" i="82" s="1"/>
  <c r="R31" i="82"/>
  <c r="R68" i="82" s="1"/>
  <c r="R69" i="82" s="1"/>
  <c r="R48" i="82"/>
  <c r="CJ16" i="4"/>
  <c r="O27" i="192"/>
  <c r="AT16" i="4"/>
  <c r="N27" i="68"/>
  <c r="M28" i="108"/>
  <c r="BS22" i="4"/>
  <c r="M30" i="108"/>
  <c r="M27" i="160"/>
  <c r="E18" i="4"/>
  <c r="M70" i="18"/>
  <c r="AG22" i="4"/>
  <c r="M30" i="48"/>
  <c r="M28" i="48"/>
  <c r="P32" i="36"/>
  <c r="P29" i="36"/>
  <c r="N27" i="200"/>
  <c r="M28" i="154"/>
  <c r="M30" i="154"/>
  <c r="BG22" i="4"/>
  <c r="O28" i="78"/>
  <c r="O30" i="78"/>
  <c r="O32" i="59"/>
  <c r="O29" i="59"/>
  <c r="M27" i="92"/>
  <c r="BX16" i="4"/>
  <c r="O27" i="110"/>
  <c r="M30" i="86"/>
  <c r="AV22" i="4"/>
  <c r="M28" i="86"/>
  <c r="AD59" i="4"/>
  <c r="N67" i="46"/>
  <c r="M16" i="4"/>
  <c r="M27" i="210"/>
  <c r="R28" i="18"/>
  <c r="R31" i="18"/>
  <c r="R68" i="18" s="1"/>
  <c r="R69" i="18" s="1"/>
  <c r="CD16" i="4"/>
  <c r="O27" i="116"/>
  <c r="N46" i="150"/>
  <c r="O31" i="216"/>
  <c r="O68" i="216" s="1"/>
  <c r="O69" i="216" s="1"/>
  <c r="O28" i="216"/>
  <c r="O28" i="74"/>
  <c r="AO22" i="4"/>
  <c r="O30" i="74"/>
  <c r="P68" i="214"/>
  <c r="P69" i="214" s="1"/>
  <c r="P48" i="214"/>
  <c r="O48" i="26"/>
  <c r="P48" i="24"/>
  <c r="P49" i="24" s="1"/>
  <c r="O28" i="52"/>
  <c r="O31" i="52"/>
  <c r="O68" i="52" s="1"/>
  <c r="O69" i="52" s="1"/>
  <c r="R32" i="216"/>
  <c r="M28" i="54"/>
  <c r="M30" i="54"/>
  <c r="W22" i="4"/>
  <c r="M28" i="202"/>
  <c r="M30" i="202"/>
  <c r="M64" i="202" s="1"/>
  <c r="M65" i="202" s="1"/>
  <c r="O31" i="44"/>
  <c r="H18" i="4"/>
  <c r="M70" i="57"/>
  <c r="O29" i="24"/>
  <c r="O32" i="24"/>
  <c r="Q31" i="214"/>
  <c r="Q68" i="214" s="1"/>
  <c r="Q69" i="214" s="1"/>
  <c r="Q28" i="214"/>
  <c r="Q48" i="214"/>
  <c r="O64" i="44"/>
  <c r="O65" i="44" s="1"/>
  <c r="O31" i="158"/>
  <c r="AB23" i="4"/>
  <c r="R32" i="22"/>
  <c r="AY16" i="4"/>
  <c r="M27" i="70"/>
  <c r="AP22" i="4"/>
  <c r="M28" i="84"/>
  <c r="M30" i="84"/>
  <c r="BO57" i="4"/>
  <c r="O65" i="106"/>
  <c r="AE25" i="4"/>
  <c r="O64" i="46"/>
  <c r="R32" i="24"/>
  <c r="R29" i="24"/>
  <c r="M27" i="216"/>
  <c r="N31" i="214"/>
  <c r="N28" i="214"/>
  <c r="AW16" i="4"/>
  <c r="N27" i="86"/>
  <c r="N70" i="26"/>
  <c r="N71" i="26" s="1"/>
  <c r="O28" i="108"/>
  <c r="BU22" i="4"/>
  <c r="O30" i="108"/>
  <c r="M31" i="200"/>
  <c r="R28" i="16"/>
  <c r="R32" i="16" s="1"/>
  <c r="R31" i="16"/>
  <c r="R68" i="16" s="1"/>
  <c r="R69" i="16" s="1"/>
  <c r="O28" i="70"/>
  <c r="BA22" i="4"/>
  <c r="O30" i="70"/>
  <c r="P48" i="32"/>
  <c r="Q28" i="216"/>
  <c r="Q31" i="216"/>
  <c r="Q68" i="216" s="1"/>
  <c r="Q69" i="216" s="1"/>
  <c r="Q48" i="216"/>
  <c r="P28" i="20"/>
  <c r="P31" i="20"/>
  <c r="P68" i="20" s="1"/>
  <c r="P69" i="20" s="1"/>
  <c r="M30" i="72"/>
  <c r="M28" i="72"/>
  <c r="AJ22" i="4"/>
  <c r="G18" i="4"/>
  <c r="M70" i="20"/>
  <c r="AR22" i="4"/>
  <c r="O28" i="84"/>
  <c r="O30" i="84"/>
  <c r="Q28" i="26"/>
  <c r="Q31" i="26"/>
  <c r="Q68" i="26" s="1"/>
  <c r="Q69" i="26" s="1"/>
  <c r="Q28" i="16"/>
  <c r="Q31" i="16"/>
  <c r="Q68" i="16" s="1"/>
  <c r="Q69" i="16" s="1"/>
  <c r="R68" i="208"/>
  <c r="R69" i="208" s="1"/>
  <c r="R48" i="208"/>
  <c r="AC59" i="4"/>
  <c r="M67" i="46"/>
  <c r="O28" i="36"/>
  <c r="O31" i="36"/>
  <c r="O68" i="36" s="1"/>
  <c r="O69" i="36" s="1"/>
  <c r="O28" i="188"/>
  <c r="O30" i="188"/>
  <c r="AC22" i="4"/>
  <c r="M28" i="46"/>
  <c r="M30" i="46"/>
  <c r="M46" i="46" s="1"/>
  <c r="N46" i="190"/>
  <c r="N31" i="114"/>
  <c r="BQ23" i="4"/>
  <c r="M31" i="150"/>
  <c r="O31" i="120"/>
  <c r="M27" i="212"/>
  <c r="T18" i="4"/>
  <c r="M70" i="212"/>
  <c r="P31" i="216"/>
  <c r="P68" i="216" s="1"/>
  <c r="P69" i="216" s="1"/>
  <c r="P28" i="216"/>
  <c r="N27" i="148"/>
  <c r="M30" i="106"/>
  <c r="BM22" i="4"/>
  <c r="M28" i="106"/>
  <c r="R48" i="50"/>
  <c r="O31" i="22"/>
  <c r="O68" i="22" s="1"/>
  <c r="O69" i="22" s="1"/>
  <c r="O28" i="22"/>
  <c r="R68" i="216"/>
  <c r="R69" i="216" s="1"/>
  <c r="R48" i="216"/>
  <c r="CF22" i="4"/>
  <c r="N28" i="112"/>
  <c r="BZ22" i="4"/>
  <c r="N30" i="112"/>
  <c r="L18" i="4"/>
  <c r="M70" i="208"/>
  <c r="R59" i="4"/>
  <c r="M71" i="59"/>
  <c r="Q28" i="66"/>
  <c r="Q31" i="66"/>
  <c r="Q69" i="66" s="1"/>
  <c r="Q70" i="66" s="1"/>
  <c r="O28" i="48"/>
  <c r="O30" i="48"/>
  <c r="AI22" i="4"/>
  <c r="P32" i="92"/>
  <c r="P29" i="92"/>
  <c r="BW16" i="4"/>
  <c r="N27" i="110"/>
  <c r="N31" i="59"/>
  <c r="N68" i="59" s="1"/>
  <c r="N69" i="59" s="1"/>
  <c r="N28" i="59"/>
  <c r="N27" i="196"/>
  <c r="CB16" i="4"/>
  <c r="M27" i="116"/>
  <c r="R68" i="22"/>
  <c r="R69" i="22" s="1"/>
  <c r="R48" i="22"/>
  <c r="M28" i="214"/>
  <c r="M31" i="214"/>
  <c r="U22" i="4"/>
  <c r="O31" i="164"/>
  <c r="O69" i="164" s="1"/>
  <c r="O70" i="164" s="1"/>
  <c r="O28" i="164"/>
  <c r="M18" i="4"/>
  <c r="M70" i="210"/>
  <c r="M30" i="158"/>
  <c r="Z22" i="4"/>
  <c r="M28" i="158"/>
  <c r="M28" i="66"/>
  <c r="M31" i="66"/>
  <c r="N28" i="82"/>
  <c r="N31" i="82"/>
  <c r="N68" i="82" s="1"/>
  <c r="N69" i="82" s="1"/>
  <c r="P32" i="32"/>
  <c r="P29" i="32"/>
  <c r="O65" i="54"/>
  <c r="Y57" i="4"/>
  <c r="M28" i="24"/>
  <c r="J22" i="4"/>
  <c r="M31" i="24"/>
  <c r="O28" i="92"/>
  <c r="O31" i="92"/>
  <c r="O69" i="92" s="1"/>
  <c r="O70" i="92" s="1"/>
  <c r="O30" i="180"/>
  <c r="O64" i="180" s="1"/>
  <c r="O65" i="180" s="1"/>
  <c r="O28" i="180"/>
  <c r="O31" i="180" s="1"/>
  <c r="P27" i="212"/>
  <c r="K22" i="4"/>
  <c r="M28" i="22"/>
  <c r="M31" i="22"/>
  <c r="M27" i="148"/>
  <c r="M28" i="194"/>
  <c r="M30" i="194"/>
  <c r="O28" i="82"/>
  <c r="O31" i="82"/>
  <c r="O68" i="82" s="1"/>
  <c r="O69" i="82" s="1"/>
  <c r="M28" i="44"/>
  <c r="M30" i="44"/>
  <c r="Q32" i="24"/>
  <c r="Q29" i="24"/>
  <c r="CI23" i="4"/>
  <c r="N31" i="192"/>
  <c r="AX22" i="4"/>
  <c r="O28" i="86"/>
  <c r="O30" i="86"/>
  <c r="AQ22" i="4"/>
  <c r="N28" i="84"/>
  <c r="N30" i="84"/>
  <c r="N46" i="84" s="1"/>
  <c r="N28" i="50"/>
  <c r="N31" i="50"/>
  <c r="N68" i="50" s="1"/>
  <c r="N69" i="50" s="1"/>
  <c r="N65" i="114"/>
  <c r="BQ57" i="4"/>
  <c r="R48" i="52"/>
  <c r="Q48" i="92"/>
  <c r="Q55" i="92" s="1"/>
  <c r="Q48" i="104"/>
  <c r="Q49" i="104" s="1"/>
  <c r="R48" i="26"/>
  <c r="P28" i="16"/>
  <c r="P31" i="16"/>
  <c r="P68" i="16" s="1"/>
  <c r="P69" i="16" s="1"/>
  <c r="AM25" i="4"/>
  <c r="M64" i="74"/>
  <c r="P28" i="66"/>
  <c r="P31" i="66"/>
  <c r="P69" i="66" s="1"/>
  <c r="P70" i="66" s="1"/>
  <c r="BM59" i="4"/>
  <c r="M67" i="106"/>
  <c r="N27" i="24"/>
  <c r="P28" i="57"/>
  <c r="P31" i="57"/>
  <c r="P68" i="57" s="1"/>
  <c r="P69" i="57" s="1"/>
  <c r="BL18" i="4"/>
  <c r="M71" i="164"/>
  <c r="BT16" i="4"/>
  <c r="N27" i="108"/>
  <c r="AE23" i="4"/>
  <c r="O31" i="46"/>
  <c r="O28" i="50"/>
  <c r="O31" i="50"/>
  <c r="O68" i="50" s="1"/>
  <c r="O69" i="50" s="1"/>
  <c r="M28" i="20"/>
  <c r="G22" i="4"/>
  <c r="M31" i="20"/>
  <c r="P29" i="24"/>
  <c r="P32" i="24"/>
  <c r="Q29" i="92"/>
  <c r="Q32" i="92"/>
  <c r="J18" i="4"/>
  <c r="M70" i="24"/>
  <c r="R28" i="66"/>
  <c r="R31" i="66"/>
  <c r="R69" i="66" s="1"/>
  <c r="R70" i="66" s="1"/>
  <c r="O31" i="214"/>
  <c r="O68" i="214" s="1"/>
  <c r="O69" i="214" s="1"/>
  <c r="O28" i="214"/>
  <c r="N28" i="106"/>
  <c r="BN22" i="4"/>
  <c r="N30" i="106"/>
  <c r="S59" i="4"/>
  <c r="M71" i="32"/>
  <c r="Q27" i="212"/>
  <c r="M27" i="50"/>
  <c r="O18" i="4"/>
  <c r="M70" i="50"/>
  <c r="O31" i="198"/>
  <c r="P48" i="59"/>
  <c r="P28" i="50"/>
  <c r="P31" i="50"/>
  <c r="P68" i="50" s="1"/>
  <c r="P69" i="50" s="1"/>
  <c r="M64" i="88"/>
  <c r="N30" i="198"/>
  <c r="N64" i="198" s="1"/>
  <c r="N65" i="198" s="1"/>
  <c r="N28" i="198"/>
  <c r="O27" i="200"/>
  <c r="K18" i="4"/>
  <c r="M70" i="22"/>
  <c r="N27" i="154"/>
  <c r="M46" i="200"/>
  <c r="P31" i="164"/>
  <c r="P69" i="164" s="1"/>
  <c r="P70" i="164" s="1"/>
  <c r="P28" i="164"/>
  <c r="O31" i="210"/>
  <c r="O68" i="210" s="1"/>
  <c r="O69" i="210" s="1"/>
  <c r="O28" i="210"/>
  <c r="R29" i="20"/>
  <c r="R32" i="20"/>
  <c r="N30" i="120"/>
  <c r="N28" i="120"/>
  <c r="M31" i="120"/>
  <c r="M31" i="198"/>
  <c r="O51" i="106"/>
  <c r="BO41" i="4"/>
  <c r="O47" i="106"/>
  <c r="I18" i="4"/>
  <c r="M70" i="104"/>
  <c r="N28" i="66"/>
  <c r="N31" i="66"/>
  <c r="N69" i="66" s="1"/>
  <c r="N70" i="66" s="1"/>
  <c r="AE59" i="4"/>
  <c r="O67" i="46"/>
  <c r="S22" i="4"/>
  <c r="M31" i="32"/>
  <c r="M48" i="32" s="1"/>
  <c r="M28" i="32"/>
  <c r="O68" i="212"/>
  <c r="O69" i="212" s="1"/>
  <c r="M28" i="16"/>
  <c r="F22" i="4"/>
  <c r="M31" i="16"/>
  <c r="P28" i="160"/>
  <c r="P31" i="160"/>
  <c r="P69" i="160" s="1"/>
  <c r="P70" i="160" s="1"/>
  <c r="M33" i="190"/>
  <c r="M32" i="190"/>
  <c r="N31" i="210"/>
  <c r="N68" i="210" s="1"/>
  <c r="N69" i="210" s="1"/>
  <c r="N28" i="210"/>
  <c r="CH16" i="4"/>
  <c r="M27" i="192"/>
  <c r="N28" i="78"/>
  <c r="BF22" i="4"/>
  <c r="N30" i="78"/>
  <c r="N31" i="104"/>
  <c r="N28" i="104"/>
  <c r="BO23" i="4"/>
  <c r="O31" i="106"/>
  <c r="P48" i="164"/>
  <c r="P55" i="164" s="1"/>
  <c r="O28" i="152"/>
  <c r="O30" i="152"/>
  <c r="O64" i="152" s="1"/>
  <c r="O65" i="152" s="1"/>
  <c r="R28" i="164"/>
  <c r="R31" i="164"/>
  <c r="R69" i="164" s="1"/>
  <c r="R70" i="164" s="1"/>
  <c r="O51" i="120"/>
  <c r="N46" i="78"/>
  <c r="R48" i="92"/>
  <c r="R55" i="92" s="1"/>
  <c r="R63" i="92" s="1"/>
  <c r="Q48" i="164"/>
  <c r="Q49" i="164" s="1"/>
  <c r="Q52" i="164" s="1"/>
  <c r="R55" i="32"/>
  <c r="R63" i="32" s="1"/>
  <c r="R48" i="164"/>
  <c r="R49" i="164" s="1"/>
  <c r="R52" i="164" s="1"/>
  <c r="M27" i="57"/>
  <c r="O29" i="208"/>
  <c r="O32" i="208"/>
  <c r="P28" i="52"/>
  <c r="P31" i="52"/>
  <c r="P68" i="52" s="1"/>
  <c r="P69" i="52" s="1"/>
  <c r="BO59" i="4"/>
  <c r="O67" i="106"/>
  <c r="P32" i="104"/>
  <c r="P29" i="104"/>
  <c r="Q18" i="4"/>
  <c r="M70" i="52"/>
  <c r="Q28" i="18"/>
  <c r="Q31" i="18"/>
  <c r="Q68" i="18" s="1"/>
  <c r="Q69" i="18" s="1"/>
  <c r="O28" i="154"/>
  <c r="O31" i="154" s="1"/>
  <c r="O30" i="154"/>
  <c r="O46" i="154" s="1"/>
  <c r="Q28" i="52"/>
  <c r="Q31" i="52"/>
  <c r="Q68" i="52" s="1"/>
  <c r="Q69" i="52" s="1"/>
  <c r="N28" i="18"/>
  <c r="N31" i="18"/>
  <c r="N68" i="18" s="1"/>
  <c r="N69" i="18" s="1"/>
  <c r="Q32" i="104"/>
  <c r="Q29" i="104"/>
  <c r="M46" i="118"/>
  <c r="P32" i="59"/>
  <c r="P29" i="214"/>
  <c r="P32" i="214"/>
  <c r="M27" i="18"/>
  <c r="O46" i="196"/>
  <c r="R22" i="4"/>
  <c r="M31" i="59"/>
  <c r="M28" i="59"/>
  <c r="CC16" i="4"/>
  <c r="N27" i="116"/>
  <c r="R27" i="212"/>
  <c r="M27" i="146"/>
  <c r="Q29" i="32"/>
  <c r="Q32" i="32"/>
  <c r="BP16" i="4"/>
  <c r="M27" i="114"/>
  <c r="N28" i="118"/>
  <c r="N30" i="118"/>
  <c r="N64" i="118" s="1"/>
  <c r="N65" i="118" s="1"/>
  <c r="M46" i="190"/>
  <c r="N27" i="216"/>
  <c r="AH22" i="4"/>
  <c r="N30" i="48"/>
  <c r="N28" i="48"/>
  <c r="AN22" i="4"/>
  <c r="N28" i="74"/>
  <c r="N30" i="74"/>
  <c r="Q31" i="210"/>
  <c r="Q68" i="210" s="1"/>
  <c r="Q69" i="210" s="1"/>
  <c r="Q28" i="210"/>
  <c r="R32" i="32"/>
  <c r="O46" i="182"/>
  <c r="O31" i="146"/>
  <c r="N31" i="150"/>
  <c r="N67" i="106"/>
  <c r="BN59" i="4"/>
  <c r="N31" i="92"/>
  <c r="N69" i="92" s="1"/>
  <c r="N70" i="92" s="1"/>
  <c r="N28" i="92"/>
  <c r="O46" i="74"/>
  <c r="O51" i="74" s="1"/>
  <c r="R48" i="66"/>
  <c r="R55" i="66" s="1"/>
  <c r="R63" i="66" s="1"/>
  <c r="N48" i="57"/>
  <c r="M48" i="16"/>
  <c r="M55" i="16" s="1"/>
  <c r="O48" i="164"/>
  <c r="O68" i="208"/>
  <c r="O69" i="208" s="1"/>
  <c r="O48" i="208"/>
  <c r="AK57" i="4"/>
  <c r="N65" i="72"/>
  <c r="N28" i="46"/>
  <c r="AD22" i="4"/>
  <c r="N30" i="46"/>
  <c r="N46" i="46" s="1"/>
  <c r="M32" i="180"/>
  <c r="M33" i="180"/>
  <c r="O29" i="104"/>
  <c r="O32" i="104"/>
  <c r="N27" i="22"/>
  <c r="N28" i="160"/>
  <c r="N31" i="160"/>
  <c r="N69" i="160" s="1"/>
  <c r="N70" i="160" s="1"/>
  <c r="O30" i="114"/>
  <c r="BR22" i="4"/>
  <c r="O28" i="114"/>
  <c r="O28" i="18"/>
  <c r="O31" i="18"/>
  <c r="O68" i="18" s="1"/>
  <c r="O69" i="18" s="1"/>
  <c r="AA23" i="4"/>
  <c r="N31" i="158"/>
  <c r="R28" i="160"/>
  <c r="R32" i="160" s="1"/>
  <c r="R31" i="160"/>
  <c r="R69" i="160" s="1"/>
  <c r="R70" i="160" s="1"/>
  <c r="AS16" i="4"/>
  <c r="M27" i="68"/>
  <c r="O28" i="66"/>
  <c r="O31" i="66"/>
  <c r="O69" i="66" s="1"/>
  <c r="O70" i="66" s="1"/>
  <c r="M46" i="180"/>
  <c r="P31" i="22"/>
  <c r="P68" i="22" s="1"/>
  <c r="P69" i="22" s="1"/>
  <c r="P28" i="22"/>
  <c r="P48" i="22"/>
  <c r="Q28" i="160"/>
  <c r="Q32" i="160" s="1"/>
  <c r="Q31" i="160"/>
  <c r="Q69" i="160" s="1"/>
  <c r="Q70" i="160" s="1"/>
  <c r="CA16" i="4"/>
  <c r="CG16" i="4"/>
  <c r="O27" i="112"/>
  <c r="N46" i="194"/>
  <c r="N28" i="20"/>
  <c r="N31" i="20"/>
  <c r="N68" i="20" s="1"/>
  <c r="N69" i="20" s="1"/>
  <c r="BB23" i="4"/>
  <c r="M31" i="88"/>
  <c r="O28" i="160"/>
  <c r="O31" i="160"/>
  <c r="O69" i="160" s="1"/>
  <c r="O70" i="160" s="1"/>
  <c r="Q29" i="20"/>
  <c r="Q32" i="20"/>
  <c r="N18" i="4"/>
  <c r="M70" i="82"/>
  <c r="N27" i="212"/>
  <c r="O27" i="148"/>
  <c r="P28" i="26"/>
  <c r="P31" i="26"/>
  <c r="P68" i="26" s="1"/>
  <c r="P69" i="26" s="1"/>
  <c r="M46" i="202"/>
  <c r="N27" i="208"/>
  <c r="O28" i="194"/>
  <c r="O30" i="194"/>
  <c r="O64" i="194" s="1"/>
  <c r="O65" i="194" s="1"/>
  <c r="U18" i="4"/>
  <c r="M70" i="214"/>
  <c r="O46" i="202"/>
  <c r="R28" i="210"/>
  <c r="R31" i="210"/>
  <c r="R68" i="210" s="1"/>
  <c r="R69" i="210" s="1"/>
  <c r="M27" i="26"/>
  <c r="N33" i="202"/>
  <c r="N32" i="202"/>
  <c r="R55" i="50"/>
  <c r="R63" i="50" s="1"/>
  <c r="R49" i="50"/>
  <c r="R52" i="50" s="1"/>
  <c r="N49" i="36"/>
  <c r="N55" i="36"/>
  <c r="Q50" i="32"/>
  <c r="Q52" i="32"/>
  <c r="Q53" i="32" s="1"/>
  <c r="O33" i="4"/>
  <c r="M45" i="50"/>
  <c r="M52" i="150"/>
  <c r="M55" i="150"/>
  <c r="M57" i="150"/>
  <c r="M54" i="150"/>
  <c r="M58" i="150"/>
  <c r="M56" i="150"/>
  <c r="M53" i="150"/>
  <c r="M75" i="150" s="1"/>
  <c r="BF41" i="4"/>
  <c r="N47" i="78"/>
  <c r="N51" i="78"/>
  <c r="O55" i="24"/>
  <c r="O49" i="24"/>
  <c r="R55" i="164"/>
  <c r="R63" i="164" s="1"/>
  <c r="Q55" i="20"/>
  <c r="Q49" i="20"/>
  <c r="AA41" i="4"/>
  <c r="N47" i="158"/>
  <c r="N51" i="158"/>
  <c r="P49" i="164"/>
  <c r="R49" i="66"/>
  <c r="R52" i="66" s="1"/>
  <c r="F41" i="4"/>
  <c r="R55" i="104"/>
  <c r="R63" i="104" s="1"/>
  <c r="R49" i="104"/>
  <c r="R52" i="104" s="1"/>
  <c r="O52" i="146"/>
  <c r="O57" i="146"/>
  <c r="O56" i="146"/>
  <c r="O53" i="146"/>
  <c r="O58" i="146"/>
  <c r="O54" i="146"/>
  <c r="O55" i="146"/>
  <c r="Q49" i="57"/>
  <c r="Q52" i="57" s="1"/>
  <c r="Q55" i="57"/>
  <c r="Q63" i="57" s="1"/>
  <c r="P55" i="36"/>
  <c r="P49" i="36"/>
  <c r="M47" i="88"/>
  <c r="N55" i="57"/>
  <c r="N49" i="57"/>
  <c r="O57" i="120"/>
  <c r="O55" i="120"/>
  <c r="O52" i="120"/>
  <c r="O53" i="120"/>
  <c r="O54" i="120"/>
  <c r="O58" i="120"/>
  <c r="O56" i="120"/>
  <c r="P49" i="104"/>
  <c r="P55" i="104"/>
  <c r="O55" i="20"/>
  <c r="O49" i="20"/>
  <c r="O55" i="104"/>
  <c r="O49" i="104"/>
  <c r="Q38" i="4"/>
  <c r="M48" i="52"/>
  <c r="O55" i="164"/>
  <c r="O49" i="164"/>
  <c r="M34" i="36"/>
  <c r="M33" i="36"/>
  <c r="Q49" i="36"/>
  <c r="Q55" i="36"/>
  <c r="O52" i="150"/>
  <c r="O58" i="150"/>
  <c r="O55" i="150"/>
  <c r="O57" i="150"/>
  <c r="O54" i="150"/>
  <c r="O56" i="150"/>
  <c r="O53" i="150"/>
  <c r="O75" i="150" s="1"/>
  <c r="BQ41" i="4"/>
  <c r="N47" i="114"/>
  <c r="N51" i="114"/>
  <c r="AO41" i="4"/>
  <c r="O55" i="26"/>
  <c r="O49" i="26"/>
  <c r="R49" i="57"/>
  <c r="R52" i="57" s="1"/>
  <c r="R55" i="57"/>
  <c r="R63" i="57" s="1"/>
  <c r="AM41" i="4"/>
  <c r="M47" i="74"/>
  <c r="M51" i="74"/>
  <c r="AK41" i="4"/>
  <c r="D15" i="155"/>
  <c r="N47" i="72"/>
  <c r="N51" i="72"/>
  <c r="R49" i="52"/>
  <c r="R55" i="52"/>
  <c r="O56" i="44"/>
  <c r="O58" i="44"/>
  <c r="O54" i="44"/>
  <c r="O55" i="44"/>
  <c r="O53" i="44"/>
  <c r="O52" i="44"/>
  <c r="N34" i="36"/>
  <c r="N33" i="36"/>
  <c r="N52" i="202"/>
  <c r="N58" i="202"/>
  <c r="N57" i="202"/>
  <c r="N55" i="202"/>
  <c r="N54" i="202"/>
  <c r="N56" i="202"/>
  <c r="N53" i="202"/>
  <c r="N75" i="202" s="1"/>
  <c r="P33" i="4"/>
  <c r="M45" i="26"/>
  <c r="P49" i="92"/>
  <c r="P55" i="92"/>
  <c r="Q55" i="164"/>
  <c r="Q63" i="164" s="1"/>
  <c r="R55" i="24"/>
  <c r="R49" i="24"/>
  <c r="M56" i="120"/>
  <c r="M55" i="120"/>
  <c r="M54" i="120"/>
  <c r="M52" i="120"/>
  <c r="M57" i="120"/>
  <c r="M53" i="120"/>
  <c r="M58" i="120"/>
  <c r="R49" i="20"/>
  <c r="R55" i="20"/>
  <c r="M55" i="36"/>
  <c r="M49" i="36"/>
  <c r="Q57" i="32"/>
  <c r="Q63" i="32"/>
  <c r="Q61" i="32"/>
  <c r="Q62" i="32"/>
  <c r="Q56" i="32"/>
  <c r="Q59" i="32"/>
  <c r="Q60" i="32" s="1"/>
  <c r="R34" i="36"/>
  <c r="R33" i="36"/>
  <c r="R49" i="36"/>
  <c r="R55" i="36"/>
  <c r="Q49" i="24"/>
  <c r="Q55" i="24"/>
  <c r="N33" i="146" l="1"/>
  <c r="N32" i="146"/>
  <c r="N51" i="146"/>
  <c r="N47" i="146"/>
  <c r="N49" i="146" s="1"/>
  <c r="M51" i="88"/>
  <c r="M49" i="16"/>
  <c r="M50" i="16" s="1"/>
  <c r="R48" i="210"/>
  <c r="R49" i="210" s="1"/>
  <c r="O31" i="152"/>
  <c r="O32" i="152" s="1"/>
  <c r="N31" i="120"/>
  <c r="Q48" i="16"/>
  <c r="N48" i="82"/>
  <c r="N46" i="182"/>
  <c r="P48" i="82"/>
  <c r="N64" i="146"/>
  <c r="N65" i="146" s="1"/>
  <c r="M51" i="198"/>
  <c r="M47" i="198"/>
  <c r="M49" i="198" s="1"/>
  <c r="O48" i="92"/>
  <c r="AM23" i="4"/>
  <c r="R32" i="18"/>
  <c r="N31" i="188"/>
  <c r="N48" i="66"/>
  <c r="P32" i="50"/>
  <c r="R49" i="92"/>
  <c r="R52" i="92" s="1"/>
  <c r="Q55" i="104"/>
  <c r="Q63" i="104" s="1"/>
  <c r="P55" i="24"/>
  <c r="O51" i="158"/>
  <c r="AB25" i="4"/>
  <c r="P48" i="216"/>
  <c r="O49" i="59"/>
  <c r="O55" i="59"/>
  <c r="O47" i="158"/>
  <c r="O49" i="158" s="1"/>
  <c r="AB44" i="4" s="1"/>
  <c r="Q49" i="92"/>
  <c r="Q52" i="92" s="1"/>
  <c r="Q53" i="92" s="1"/>
  <c r="O48" i="210"/>
  <c r="O64" i="158"/>
  <c r="N31" i="72"/>
  <c r="O48" i="52"/>
  <c r="N49" i="16"/>
  <c r="P48" i="50"/>
  <c r="P55" i="50" s="1"/>
  <c r="P63" i="50" s="1"/>
  <c r="Y23" i="4"/>
  <c r="N48" i="26"/>
  <c r="N46" i="188"/>
  <c r="P48" i="210"/>
  <c r="O51" i="198"/>
  <c r="N46" i="118"/>
  <c r="M31" i="188"/>
  <c r="N48" i="164"/>
  <c r="CI25" i="4"/>
  <c r="N46" i="192"/>
  <c r="N64" i="192"/>
  <c r="Q48" i="210"/>
  <c r="O31" i="202"/>
  <c r="O30" i="68"/>
  <c r="O46" i="68" s="1"/>
  <c r="O28" i="68"/>
  <c r="AU22" i="4"/>
  <c r="Q32" i="82"/>
  <c r="N31" i="182"/>
  <c r="N32" i="182" s="1"/>
  <c r="R32" i="26"/>
  <c r="M31" i="44"/>
  <c r="O32" i="182"/>
  <c r="O33" i="182"/>
  <c r="N31" i="118"/>
  <c r="N31" i="198"/>
  <c r="M31" i="154"/>
  <c r="M33" i="154" s="1"/>
  <c r="O31" i="194"/>
  <c r="O33" i="194" s="1"/>
  <c r="M51" i="110"/>
  <c r="M47" i="110"/>
  <c r="BV42" i="4" s="1"/>
  <c r="BV41" i="4"/>
  <c r="M64" i="110"/>
  <c r="BV25" i="4"/>
  <c r="M31" i="110"/>
  <c r="BV26" i="4" s="1"/>
  <c r="O51" i="54"/>
  <c r="O54" i="54" s="1"/>
  <c r="Y48" i="4" s="1"/>
  <c r="O47" i="54"/>
  <c r="Y42" i="4" s="1"/>
  <c r="O47" i="74"/>
  <c r="F12" i="155"/>
  <c r="O47" i="154"/>
  <c r="O49" i="154" s="1"/>
  <c r="O51" i="154"/>
  <c r="O55" i="212"/>
  <c r="O49" i="212"/>
  <c r="M55" i="104"/>
  <c r="M59" i="104" s="1"/>
  <c r="M49" i="104"/>
  <c r="M52" i="104" s="1"/>
  <c r="I41" i="4"/>
  <c r="AD41" i="4"/>
  <c r="N51" i="46"/>
  <c r="N47" i="46"/>
  <c r="S41" i="4"/>
  <c r="M49" i="32"/>
  <c r="M55" i="32"/>
  <c r="N47" i="84"/>
  <c r="N49" i="84" s="1"/>
  <c r="AQ44" i="4" s="1"/>
  <c r="N51" i="84"/>
  <c r="AQ45" i="4" s="1"/>
  <c r="AQ41" i="4"/>
  <c r="F15" i="155"/>
  <c r="N28" i="212"/>
  <c r="N31" i="212"/>
  <c r="N68" i="212" s="1"/>
  <c r="N69" i="212" s="1"/>
  <c r="BB26" i="4"/>
  <c r="M33" i="88"/>
  <c r="BB28" i="4" s="1"/>
  <c r="M32" i="88"/>
  <c r="BB27" i="4" s="1"/>
  <c r="O29" i="66"/>
  <c r="O32" i="66"/>
  <c r="O33" i="104"/>
  <c r="O34" i="104"/>
  <c r="N33" i="150"/>
  <c r="N32" i="150"/>
  <c r="AN23" i="4"/>
  <c r="N31" i="74"/>
  <c r="M28" i="146"/>
  <c r="M30" i="146"/>
  <c r="M64" i="146" s="1"/>
  <c r="M65" i="146" s="1"/>
  <c r="R25" i="4"/>
  <c r="M68" i="59"/>
  <c r="M31" i="57"/>
  <c r="M48" i="57" s="1"/>
  <c r="M28" i="57"/>
  <c r="H22" i="4"/>
  <c r="BO26" i="4"/>
  <c r="O33" i="106"/>
  <c r="BO28" i="4" s="1"/>
  <c r="O32" i="106"/>
  <c r="BO27" i="4" s="1"/>
  <c r="BF25" i="4"/>
  <c r="N64" i="78"/>
  <c r="I59" i="4"/>
  <c r="M71" i="104"/>
  <c r="N64" i="120"/>
  <c r="N65" i="120" s="1"/>
  <c r="N46" i="120"/>
  <c r="M51" i="200"/>
  <c r="M47" i="200"/>
  <c r="M49" i="200" s="1"/>
  <c r="O22" i="4"/>
  <c r="M28" i="50"/>
  <c r="M31" i="50"/>
  <c r="O48" i="214"/>
  <c r="O33" i="46"/>
  <c r="AE28" i="4" s="1"/>
  <c r="AE26" i="4"/>
  <c r="O32" i="46"/>
  <c r="AE27" i="4" s="1"/>
  <c r="P32" i="57"/>
  <c r="P29" i="57"/>
  <c r="AM57" i="4"/>
  <c r="M65" i="74"/>
  <c r="O31" i="86"/>
  <c r="AX23" i="4"/>
  <c r="O48" i="82"/>
  <c r="M32" i="22"/>
  <c r="K23" i="4"/>
  <c r="M29" i="22"/>
  <c r="M48" i="24"/>
  <c r="J25" i="4"/>
  <c r="M68" i="24"/>
  <c r="N48" i="59"/>
  <c r="N29" i="59"/>
  <c r="N32" i="59"/>
  <c r="AI25" i="4"/>
  <c r="O64" i="48"/>
  <c r="O46" i="48"/>
  <c r="CF25" i="4"/>
  <c r="BZ25" i="4"/>
  <c r="N64" i="112"/>
  <c r="N46" i="112"/>
  <c r="N48" i="92"/>
  <c r="P32" i="216"/>
  <c r="P29" i="216"/>
  <c r="O31" i="188"/>
  <c r="Q29" i="16"/>
  <c r="Q32" i="16"/>
  <c r="P55" i="32"/>
  <c r="P49" i="32"/>
  <c r="V22" i="4"/>
  <c r="M28" i="216"/>
  <c r="M31" i="216"/>
  <c r="M48" i="216" s="1"/>
  <c r="AP23" i="4"/>
  <c r="M31" i="84"/>
  <c r="O32" i="44"/>
  <c r="O33" i="44"/>
  <c r="O29" i="52"/>
  <c r="O32" i="52"/>
  <c r="P49" i="214"/>
  <c r="P55" i="214"/>
  <c r="AV25" i="4"/>
  <c r="M46" i="86"/>
  <c r="M64" i="86"/>
  <c r="BG23" i="4"/>
  <c r="O31" i="78"/>
  <c r="P34" i="36"/>
  <c r="P33" i="36"/>
  <c r="BS25" i="4"/>
  <c r="M46" i="108"/>
  <c r="M64" i="108"/>
  <c r="M31" i="182"/>
  <c r="N28" i="52"/>
  <c r="N31" i="52"/>
  <c r="BE22" i="4"/>
  <c r="M28" i="78"/>
  <c r="M30" i="78"/>
  <c r="M46" i="78" s="1"/>
  <c r="O31" i="118"/>
  <c r="M64" i="188"/>
  <c r="M65" i="188" s="1"/>
  <c r="M46" i="188"/>
  <c r="R29" i="52"/>
  <c r="R32" i="52"/>
  <c r="N64" i="180"/>
  <c r="N65" i="180" s="1"/>
  <c r="N46" i="180"/>
  <c r="X25" i="4"/>
  <c r="N64" i="54"/>
  <c r="N46" i="54"/>
  <c r="O33" i="202"/>
  <c r="O32" i="202"/>
  <c r="P48" i="18"/>
  <c r="O33" i="32"/>
  <c r="O34" i="32"/>
  <c r="Q23" i="4"/>
  <c r="M29" i="52"/>
  <c r="M32" i="52"/>
  <c r="P22" i="4"/>
  <c r="M28" i="26"/>
  <c r="M31" i="26"/>
  <c r="M48" i="26" s="1"/>
  <c r="O29" i="18"/>
  <c r="O32" i="18"/>
  <c r="O32" i="146"/>
  <c r="O33" i="146"/>
  <c r="N33" i="118"/>
  <c r="N32" i="118"/>
  <c r="M47" i="118"/>
  <c r="M49" i="118" s="1"/>
  <c r="M51" i="118"/>
  <c r="O33" i="154"/>
  <c r="O32" i="154"/>
  <c r="O48" i="18"/>
  <c r="S23" i="4"/>
  <c r="M29" i="32"/>
  <c r="M32" i="32"/>
  <c r="R34" i="20"/>
  <c r="R33" i="20"/>
  <c r="BB57" i="4"/>
  <c r="M65" i="88"/>
  <c r="Q28" i="212"/>
  <c r="Q31" i="212"/>
  <c r="Q68" i="212" s="1"/>
  <c r="Q69" i="212" s="1"/>
  <c r="O32" i="214"/>
  <c r="O29" i="214"/>
  <c r="P34" i="24"/>
  <c r="P33" i="24"/>
  <c r="N31" i="24"/>
  <c r="N28" i="24"/>
  <c r="N29" i="82"/>
  <c r="N32" i="82"/>
  <c r="O29" i="164"/>
  <c r="O32" i="164"/>
  <c r="AI23" i="4"/>
  <c r="O31" i="48"/>
  <c r="Q48" i="160"/>
  <c r="BQ26" i="4"/>
  <c r="N33" i="114"/>
  <c r="BQ28" i="4" s="1"/>
  <c r="N32" i="114"/>
  <c r="BQ27" i="4" s="1"/>
  <c r="AJ23" i="4"/>
  <c r="M31" i="72"/>
  <c r="BA25" i="4"/>
  <c r="O64" i="70"/>
  <c r="O46" i="70"/>
  <c r="BU23" i="4"/>
  <c r="O31" i="108"/>
  <c r="Q55" i="214"/>
  <c r="Q49" i="214"/>
  <c r="Q48" i="26"/>
  <c r="M32" i="74"/>
  <c r="AM27" i="4" s="1"/>
  <c r="AM26" i="4"/>
  <c r="M33" i="74"/>
  <c r="AM28" i="4" s="1"/>
  <c r="AG23" i="4"/>
  <c r="M31" i="48"/>
  <c r="R55" i="82"/>
  <c r="R63" i="82" s="1"/>
  <c r="R49" i="82"/>
  <c r="R52" i="82" s="1"/>
  <c r="M64" i="182"/>
  <c r="M65" i="182" s="1"/>
  <c r="M46" i="182"/>
  <c r="P59" i="4"/>
  <c r="M71" i="26"/>
  <c r="F59" i="4"/>
  <c r="M71" i="16"/>
  <c r="P49" i="210"/>
  <c r="P55" i="210"/>
  <c r="P29" i="82"/>
  <c r="P32" i="82"/>
  <c r="O49" i="32"/>
  <c r="O55" i="32"/>
  <c r="N33" i="180"/>
  <c r="N32" i="180"/>
  <c r="N31" i="54"/>
  <c r="X23" i="4"/>
  <c r="N29" i="26"/>
  <c r="N32" i="26"/>
  <c r="Q25" i="4"/>
  <c r="M68" i="52"/>
  <c r="O46" i="152"/>
  <c r="R55" i="210"/>
  <c r="N28" i="208"/>
  <c r="N31" i="208"/>
  <c r="N68" i="208" s="1"/>
  <c r="N69" i="208" s="1"/>
  <c r="M71" i="82"/>
  <c r="N59" i="4"/>
  <c r="AS22" i="4"/>
  <c r="M28" i="68"/>
  <c r="M30" i="68"/>
  <c r="M46" i="68" s="1"/>
  <c r="O31" i="114"/>
  <c r="BR23" i="4"/>
  <c r="O55" i="208"/>
  <c r="O49" i="208"/>
  <c r="O51" i="182"/>
  <c r="O47" i="182"/>
  <c r="O49" i="182" s="1"/>
  <c r="AH23" i="4"/>
  <c r="N31" i="48"/>
  <c r="M28" i="114"/>
  <c r="M30" i="114"/>
  <c r="M46" i="114" s="1"/>
  <c r="BP22" i="4"/>
  <c r="R28" i="212"/>
  <c r="R31" i="212"/>
  <c r="R68" i="212" s="1"/>
  <c r="R69" i="212" s="1"/>
  <c r="O51" i="196"/>
  <c r="O47" i="196"/>
  <c r="O49" i="196" s="1"/>
  <c r="BF23" i="4"/>
  <c r="N31" i="78"/>
  <c r="S25" i="4"/>
  <c r="M68" i="32"/>
  <c r="BO42" i="4"/>
  <c r="O49" i="106"/>
  <c r="BO44" i="4" s="1"/>
  <c r="N28" i="154"/>
  <c r="N30" i="154"/>
  <c r="N64" i="154" s="1"/>
  <c r="N65" i="154" s="1"/>
  <c r="BT22" i="4"/>
  <c r="N28" i="108"/>
  <c r="N30" i="108"/>
  <c r="N46" i="108" s="1"/>
  <c r="N48" i="18"/>
  <c r="N29" i="50"/>
  <c r="N32" i="50"/>
  <c r="N33" i="192"/>
  <c r="CI28" i="4" s="1"/>
  <c r="N32" i="192"/>
  <c r="CI27" i="4" s="1"/>
  <c r="CI26" i="4"/>
  <c r="O29" i="82"/>
  <c r="O32" i="82"/>
  <c r="P28" i="212"/>
  <c r="P31" i="212"/>
  <c r="P68" i="212" s="1"/>
  <c r="P69" i="212" s="1"/>
  <c r="M32" i="24"/>
  <c r="M29" i="24"/>
  <c r="J23" i="4"/>
  <c r="M48" i="66"/>
  <c r="M69" i="66"/>
  <c r="M70" i="66" s="1"/>
  <c r="CB22" i="4"/>
  <c r="M28" i="116"/>
  <c r="M30" i="116"/>
  <c r="M46" i="116" s="1"/>
  <c r="N31" i="112"/>
  <c r="CF23" i="4"/>
  <c r="BZ23" i="4"/>
  <c r="P48" i="20"/>
  <c r="BM23" i="4"/>
  <c r="M31" i="106"/>
  <c r="T59" i="4"/>
  <c r="M71" i="212"/>
  <c r="N47" i="190"/>
  <c r="N49" i="190" s="1"/>
  <c r="N51" i="190"/>
  <c r="O29" i="36"/>
  <c r="O32" i="36"/>
  <c r="Q32" i="26"/>
  <c r="AJ25" i="4"/>
  <c r="M46" i="72"/>
  <c r="M64" i="72"/>
  <c r="R33" i="24"/>
  <c r="R34" i="24"/>
  <c r="Q32" i="214"/>
  <c r="Q29" i="214"/>
  <c r="M31" i="202"/>
  <c r="O64" i="74"/>
  <c r="AO25" i="4"/>
  <c r="D13" i="155"/>
  <c r="AK26" i="4"/>
  <c r="N32" i="72"/>
  <c r="AK27" i="4" s="1"/>
  <c r="N33" i="72"/>
  <c r="AK28" i="4" s="1"/>
  <c r="M22" i="4"/>
  <c r="M31" i="210"/>
  <c r="M28" i="210"/>
  <c r="M48" i="210"/>
  <c r="O28" i="110"/>
  <c r="BX22" i="4"/>
  <c r="O30" i="110"/>
  <c r="O46" i="110" s="1"/>
  <c r="M64" i="154"/>
  <c r="M65" i="154" s="1"/>
  <c r="M46" i="154"/>
  <c r="AG25" i="4"/>
  <c r="M46" i="48"/>
  <c r="M64" i="48"/>
  <c r="BS23" i="4"/>
  <c r="M31" i="108"/>
  <c r="BH22" i="4"/>
  <c r="M28" i="90"/>
  <c r="M30" i="90"/>
  <c r="M46" i="90" s="1"/>
  <c r="O29" i="16"/>
  <c r="O32" i="16"/>
  <c r="R32" i="92"/>
  <c r="P32" i="210"/>
  <c r="P29" i="210"/>
  <c r="N48" i="32"/>
  <c r="BI22" i="4"/>
  <c r="N28" i="90"/>
  <c r="N30" i="90"/>
  <c r="N46" i="90"/>
  <c r="M32" i="110"/>
  <c r="BV27" i="4" s="1"/>
  <c r="N28" i="70"/>
  <c r="AZ22" i="4"/>
  <c r="N30" i="70"/>
  <c r="N46" i="70" s="1"/>
  <c r="M28" i="196"/>
  <c r="M31" i="196" s="1"/>
  <c r="M30" i="196"/>
  <c r="M64" i="196" s="1"/>
  <c r="M46" i="196"/>
  <c r="P48" i="208"/>
  <c r="Q32" i="50"/>
  <c r="N48" i="210"/>
  <c r="O29" i="212"/>
  <c r="O32" i="212"/>
  <c r="O46" i="180"/>
  <c r="N46" i="198"/>
  <c r="M47" i="202"/>
  <c r="M49" i="202" s="1"/>
  <c r="M51" i="202"/>
  <c r="N29" i="20"/>
  <c r="N32" i="20"/>
  <c r="P49" i="22"/>
  <c r="P55" i="22"/>
  <c r="O48" i="66"/>
  <c r="AH25" i="4"/>
  <c r="N64" i="48"/>
  <c r="N46" i="48"/>
  <c r="N28" i="116"/>
  <c r="N30" i="116"/>
  <c r="N46" i="116" s="1"/>
  <c r="CC22" i="4"/>
  <c r="M65" i="110"/>
  <c r="BV57" i="4"/>
  <c r="Q33" i="104"/>
  <c r="Q34" i="104"/>
  <c r="Q32" i="18"/>
  <c r="P29" i="52"/>
  <c r="P32" i="52"/>
  <c r="R32" i="164"/>
  <c r="Y26" i="4"/>
  <c r="O32" i="54"/>
  <c r="Y27" i="4" s="1"/>
  <c r="O33" i="54"/>
  <c r="Y28" i="4" s="1"/>
  <c r="P29" i="160"/>
  <c r="P32" i="160"/>
  <c r="O55" i="210"/>
  <c r="O49" i="210"/>
  <c r="K59" i="4"/>
  <c r="M71" i="22"/>
  <c r="G25" i="4"/>
  <c r="M48" i="20"/>
  <c r="M68" i="20"/>
  <c r="P29" i="16"/>
  <c r="P32" i="16"/>
  <c r="M64" i="194"/>
  <c r="M65" i="194" s="1"/>
  <c r="M46" i="194"/>
  <c r="M29" i="66"/>
  <c r="M32" i="66"/>
  <c r="N28" i="110"/>
  <c r="BW22" i="4"/>
  <c r="N30" i="110"/>
  <c r="N46" i="110" s="1"/>
  <c r="Q29" i="66"/>
  <c r="Q32" i="66"/>
  <c r="P48" i="26"/>
  <c r="M51" i="46"/>
  <c r="M47" i="46"/>
  <c r="AC41" i="4"/>
  <c r="AR25" i="4"/>
  <c r="O46" i="84"/>
  <c r="O64" i="84"/>
  <c r="BA23" i="4"/>
  <c r="O31" i="70"/>
  <c r="AE57" i="4"/>
  <c r="O65" i="46"/>
  <c r="AY22" i="4"/>
  <c r="M28" i="70"/>
  <c r="M30" i="70"/>
  <c r="M46" i="70"/>
  <c r="R48" i="160"/>
  <c r="M71" i="216"/>
  <c r="V59" i="4"/>
  <c r="M47" i="152"/>
  <c r="M49" i="152" s="1"/>
  <c r="M51" i="152"/>
  <c r="BY25" i="4"/>
  <c r="CE25" i="4"/>
  <c r="M46" i="112"/>
  <c r="M64" i="112"/>
  <c r="Q48" i="66"/>
  <c r="N33" i="190"/>
  <c r="N32" i="190"/>
  <c r="R32" i="50"/>
  <c r="N32" i="32"/>
  <c r="N29" i="32"/>
  <c r="O32" i="57"/>
  <c r="O29" i="57"/>
  <c r="O64" i="90"/>
  <c r="BJ25" i="4"/>
  <c r="O46" i="90"/>
  <c r="P29" i="208"/>
  <c r="P32" i="208"/>
  <c r="N32" i="188"/>
  <c r="N33" i="188"/>
  <c r="M29" i="164"/>
  <c r="M32" i="164"/>
  <c r="BL23" i="4"/>
  <c r="P48" i="57"/>
  <c r="O48" i="57"/>
  <c r="N29" i="164"/>
  <c r="N32" i="164"/>
  <c r="R29" i="210"/>
  <c r="R32" i="210"/>
  <c r="Q33" i="20"/>
  <c r="Q34" i="20"/>
  <c r="N47" i="194"/>
  <c r="N49" i="194" s="1"/>
  <c r="N51" i="194"/>
  <c r="P32" i="22"/>
  <c r="P29" i="22"/>
  <c r="BR25" i="4"/>
  <c r="O64" i="114"/>
  <c r="O46" i="114"/>
  <c r="P49" i="50"/>
  <c r="P52" i="50" s="1"/>
  <c r="N29" i="92"/>
  <c r="N32" i="92"/>
  <c r="Q55" i="210"/>
  <c r="Q49" i="210"/>
  <c r="M71" i="52"/>
  <c r="Q59" i="4"/>
  <c r="CH22" i="4"/>
  <c r="M30" i="192"/>
  <c r="M46" i="192" s="1"/>
  <c r="M28" i="192"/>
  <c r="F25" i="4"/>
  <c r="M68" i="16"/>
  <c r="O57" i="106"/>
  <c r="O53" i="106"/>
  <c r="BO47" i="4" s="1"/>
  <c r="O58" i="106"/>
  <c r="BO45" i="4"/>
  <c r="O52" i="106"/>
  <c r="BO46" i="4" s="1"/>
  <c r="O54" i="106"/>
  <c r="BO48" i="4" s="1"/>
  <c r="O55" i="106"/>
  <c r="BO49" i="4" s="1"/>
  <c r="O56" i="106"/>
  <c r="BO50" i="4" s="1"/>
  <c r="O29" i="210"/>
  <c r="O32" i="210"/>
  <c r="P49" i="59"/>
  <c r="P52" i="59" s="1"/>
  <c r="P55" i="59"/>
  <c r="P63" i="59" s="1"/>
  <c r="R32" i="66"/>
  <c r="R49" i="26"/>
  <c r="R52" i="26" s="1"/>
  <c r="R55" i="26"/>
  <c r="R63" i="26" s="1"/>
  <c r="N48" i="160"/>
  <c r="AQ25" i="4"/>
  <c r="N64" i="84"/>
  <c r="M31" i="194"/>
  <c r="O33" i="180"/>
  <c r="O32" i="180"/>
  <c r="Z23" i="4"/>
  <c r="M31" i="158"/>
  <c r="M48" i="214"/>
  <c r="U25" i="4"/>
  <c r="M68" i="214"/>
  <c r="R55" i="216"/>
  <c r="R63" i="216" s="1"/>
  <c r="R49" i="216"/>
  <c r="R52" i="216" s="1"/>
  <c r="N48" i="20"/>
  <c r="M46" i="106"/>
  <c r="BM25" i="4"/>
  <c r="M64" i="106"/>
  <c r="M28" i="212"/>
  <c r="T22" i="4"/>
  <c r="M31" i="212"/>
  <c r="M48" i="212" s="1"/>
  <c r="AC25" i="4"/>
  <c r="M64" i="46"/>
  <c r="AR23" i="4"/>
  <c r="O31" i="84"/>
  <c r="P29" i="20"/>
  <c r="P32" i="20"/>
  <c r="N28" i="86"/>
  <c r="AW22" i="4"/>
  <c r="N30" i="86"/>
  <c r="N46" i="86" s="1"/>
  <c r="O33" i="24"/>
  <c r="O34" i="24"/>
  <c r="W25" i="4"/>
  <c r="M46" i="54"/>
  <c r="M64" i="54"/>
  <c r="P48" i="16"/>
  <c r="AO23" i="4"/>
  <c r="O31" i="74"/>
  <c r="N47" i="150"/>
  <c r="N49" i="150" s="1"/>
  <c r="N51" i="150"/>
  <c r="M31" i="92"/>
  <c r="M69" i="92" s="1"/>
  <c r="M70" i="92" s="1"/>
  <c r="M28" i="92"/>
  <c r="E59" i="4"/>
  <c r="M71" i="18"/>
  <c r="AT22" i="4"/>
  <c r="N28" i="68"/>
  <c r="N30" i="68"/>
  <c r="N46" i="68" s="1"/>
  <c r="N46" i="44"/>
  <c r="R48" i="16"/>
  <c r="O33" i="150"/>
  <c r="O32" i="150"/>
  <c r="N51" i="182"/>
  <c r="N47" i="182"/>
  <c r="N49" i="182" s="1"/>
  <c r="Q49" i="22"/>
  <c r="Q52" i="22" s="1"/>
  <c r="Q55" i="22"/>
  <c r="Q63" i="22" s="1"/>
  <c r="Q48" i="208"/>
  <c r="O31" i="90"/>
  <c r="BJ23" i="4"/>
  <c r="M32" i="152"/>
  <c r="M33" i="152"/>
  <c r="BL25" i="4"/>
  <c r="M69" i="164"/>
  <c r="M48" i="164"/>
  <c r="Q48" i="50"/>
  <c r="N41" i="4"/>
  <c r="M49" i="82"/>
  <c r="M55" i="82"/>
  <c r="I25" i="4"/>
  <c r="M68" i="104"/>
  <c r="O51" i="202"/>
  <c r="O47" i="202"/>
  <c r="O49" i="202" s="1"/>
  <c r="P29" i="26"/>
  <c r="P32" i="26"/>
  <c r="AD25" i="4"/>
  <c r="N64" i="46"/>
  <c r="Q29" i="210"/>
  <c r="Q32" i="210"/>
  <c r="N28" i="216"/>
  <c r="N31" i="216"/>
  <c r="N68" i="216" s="1"/>
  <c r="N69" i="216" s="1"/>
  <c r="Q33" i="32"/>
  <c r="Q34" i="32"/>
  <c r="E22" i="4"/>
  <c r="M28" i="18"/>
  <c r="M31" i="18"/>
  <c r="M48" i="18" s="1"/>
  <c r="N29" i="18"/>
  <c r="N32" i="18"/>
  <c r="M32" i="198"/>
  <c r="M33" i="198"/>
  <c r="O32" i="198"/>
  <c r="O33" i="198"/>
  <c r="N46" i="106"/>
  <c r="BN25" i="4"/>
  <c r="N64" i="106"/>
  <c r="J59" i="4"/>
  <c r="M71" i="24"/>
  <c r="G23" i="4"/>
  <c r="M29" i="20"/>
  <c r="M32" i="20"/>
  <c r="BL59" i="4"/>
  <c r="M72" i="164"/>
  <c r="P29" i="66"/>
  <c r="P32" i="66"/>
  <c r="AQ23" i="4"/>
  <c r="N31" i="84"/>
  <c r="Q34" i="24"/>
  <c r="Q33" i="24"/>
  <c r="M28" i="148"/>
  <c r="M30" i="148"/>
  <c r="M64" i="148" s="1"/>
  <c r="M65" i="148" s="1"/>
  <c r="U23" i="4"/>
  <c r="M29" i="214"/>
  <c r="M32" i="214"/>
  <c r="AB57" i="4"/>
  <c r="O65" i="158"/>
  <c r="O48" i="160"/>
  <c r="O48" i="50"/>
  <c r="AC23" i="4"/>
  <c r="M31" i="46"/>
  <c r="R49" i="208"/>
  <c r="R52" i="208" s="1"/>
  <c r="R55" i="208"/>
  <c r="R63" i="208" s="1"/>
  <c r="Q49" i="216"/>
  <c r="Q55" i="216"/>
  <c r="M31" i="54"/>
  <c r="W23" i="4"/>
  <c r="O48" i="36"/>
  <c r="O48" i="216"/>
  <c r="N28" i="200"/>
  <c r="N30" i="200"/>
  <c r="N64" i="200" s="1"/>
  <c r="N65" i="200" s="1"/>
  <c r="O55" i="46"/>
  <c r="AE49" i="4" s="1"/>
  <c r="O53" i="46"/>
  <c r="AE47" i="4" s="1"/>
  <c r="AE45" i="4"/>
  <c r="O56" i="46"/>
  <c r="AE50" i="4" s="1"/>
  <c r="O58" i="46"/>
  <c r="O52" i="46"/>
  <c r="AE46" i="4" s="1"/>
  <c r="Q55" i="82"/>
  <c r="Q63" i="82" s="1"/>
  <c r="Q49" i="82"/>
  <c r="Q52" i="82" s="1"/>
  <c r="O29" i="26"/>
  <c r="O32" i="26"/>
  <c r="BY23" i="4"/>
  <c r="M31" i="112"/>
  <c r="CE23" i="4"/>
  <c r="R48" i="18"/>
  <c r="O47" i="118"/>
  <c r="O49" i="118" s="1"/>
  <c r="O51" i="118"/>
  <c r="BK59" i="4"/>
  <c r="M72" i="160"/>
  <c r="N25" i="4"/>
  <c r="M68" i="82"/>
  <c r="I23" i="4"/>
  <c r="M29" i="104"/>
  <c r="M32" i="104"/>
  <c r="N29" i="57"/>
  <c r="N32" i="57"/>
  <c r="U59" i="4"/>
  <c r="M71" i="214"/>
  <c r="O28" i="148"/>
  <c r="O30" i="148"/>
  <c r="O64" i="148" s="1"/>
  <c r="O65" i="148" s="1"/>
  <c r="CG22" i="4"/>
  <c r="O28" i="112"/>
  <c r="O30" i="112"/>
  <c r="O46" i="112" s="1"/>
  <c r="CA22" i="4"/>
  <c r="M51" i="180"/>
  <c r="M47" i="180"/>
  <c r="M49" i="180" s="1"/>
  <c r="N32" i="158"/>
  <c r="AA27" i="4" s="1"/>
  <c r="AA26" i="4"/>
  <c r="N33" i="158"/>
  <c r="AA28" i="4" s="1"/>
  <c r="N29" i="160"/>
  <c r="N32" i="160"/>
  <c r="M47" i="190"/>
  <c r="M49" i="190" s="1"/>
  <c r="M51" i="190"/>
  <c r="M48" i="59"/>
  <c r="P33" i="214"/>
  <c r="P34" i="214"/>
  <c r="O33" i="208"/>
  <c r="O34" i="208"/>
  <c r="P48" i="160"/>
  <c r="N29" i="104"/>
  <c r="N32" i="104"/>
  <c r="N32" i="210"/>
  <c r="N29" i="210"/>
  <c r="M29" i="16"/>
  <c r="F23" i="4"/>
  <c r="M32" i="16"/>
  <c r="M33" i="120"/>
  <c r="M32" i="120"/>
  <c r="P29" i="164"/>
  <c r="P32" i="164"/>
  <c r="O28" i="200"/>
  <c r="O30" i="200"/>
  <c r="O64" i="200" s="1"/>
  <c r="O65" i="200" s="1"/>
  <c r="O46" i="200"/>
  <c r="M71" i="50"/>
  <c r="O59" i="4"/>
  <c r="Q48" i="18"/>
  <c r="M46" i="44"/>
  <c r="M64" i="44"/>
  <c r="M65" i="44" s="1"/>
  <c r="P33" i="32"/>
  <c r="P34" i="32"/>
  <c r="Z25" i="4"/>
  <c r="M64" i="158"/>
  <c r="M46" i="158"/>
  <c r="R55" i="22"/>
  <c r="R63" i="22" s="1"/>
  <c r="R49" i="22"/>
  <c r="R52" i="22" s="1"/>
  <c r="N28" i="196"/>
  <c r="N30" i="196"/>
  <c r="N64" i="196" s="1"/>
  <c r="P33" i="92"/>
  <c r="P34" i="92"/>
  <c r="M71" i="208"/>
  <c r="L59" i="4"/>
  <c r="O48" i="22"/>
  <c r="N28" i="148"/>
  <c r="N30" i="148"/>
  <c r="N64" i="148" s="1"/>
  <c r="N65" i="148" s="1"/>
  <c r="O33" i="120"/>
  <c r="O32" i="120"/>
  <c r="G59" i="4"/>
  <c r="M71" i="20"/>
  <c r="M32" i="200"/>
  <c r="M33" i="200"/>
  <c r="N32" i="214"/>
  <c r="N29" i="214"/>
  <c r="M71" i="57"/>
  <c r="H59" i="4"/>
  <c r="O29" i="216"/>
  <c r="O32" i="216"/>
  <c r="CD22" i="4"/>
  <c r="O28" i="116"/>
  <c r="O30" i="116"/>
  <c r="O46" i="116" s="1"/>
  <c r="AV23" i="4"/>
  <c r="M31" i="86"/>
  <c r="O33" i="59"/>
  <c r="O34" i="59"/>
  <c r="BK22" i="4"/>
  <c r="M28" i="160"/>
  <c r="M31" i="160"/>
  <c r="M48" i="160" s="1"/>
  <c r="O28" i="192"/>
  <c r="CJ22" i="4"/>
  <c r="O30" i="192"/>
  <c r="O46" i="192" s="1"/>
  <c r="N31" i="44"/>
  <c r="AL25" i="4"/>
  <c r="O64" i="72"/>
  <c r="O46" i="72"/>
  <c r="O48" i="16"/>
  <c r="O30" i="88"/>
  <c r="BD22" i="4"/>
  <c r="O28" i="88"/>
  <c r="O46" i="88"/>
  <c r="O33" i="20"/>
  <c r="O34" i="20"/>
  <c r="N28" i="152"/>
  <c r="N30" i="152"/>
  <c r="N64" i="152" s="1"/>
  <c r="N65" i="152" s="1"/>
  <c r="O64" i="154"/>
  <c r="O65" i="154" s="1"/>
  <c r="Q29" i="208"/>
  <c r="Q32" i="208"/>
  <c r="M31" i="118"/>
  <c r="C12" i="155"/>
  <c r="Q32" i="164"/>
  <c r="P29" i="18"/>
  <c r="P32" i="18"/>
  <c r="P48" i="52"/>
  <c r="N31" i="194"/>
  <c r="N23" i="4"/>
  <c r="M29" i="82"/>
  <c r="M32" i="82"/>
  <c r="N29" i="16"/>
  <c r="N32" i="16"/>
  <c r="M48" i="208"/>
  <c r="L25" i="4"/>
  <c r="M68" i="208"/>
  <c r="O29" i="160"/>
  <c r="O32" i="160"/>
  <c r="N31" i="22"/>
  <c r="N68" i="22" s="1"/>
  <c r="N69" i="22" s="1"/>
  <c r="N28" i="22"/>
  <c r="AD23" i="4"/>
  <c r="N31" i="46"/>
  <c r="E12" i="155"/>
  <c r="AN25" i="4"/>
  <c r="N46" i="74"/>
  <c r="N64" i="74"/>
  <c r="N51" i="118"/>
  <c r="N47" i="118"/>
  <c r="N49" i="118" s="1"/>
  <c r="M29" i="59"/>
  <c r="M32" i="59"/>
  <c r="R23" i="4"/>
  <c r="Q29" i="52"/>
  <c r="Q32" i="52"/>
  <c r="P34" i="104"/>
  <c r="P33" i="104"/>
  <c r="N68" i="104"/>
  <c r="N69" i="104" s="1"/>
  <c r="N48" i="104"/>
  <c r="N29" i="66"/>
  <c r="N32" i="66"/>
  <c r="N33" i="120"/>
  <c r="N32" i="120"/>
  <c r="N32" i="198"/>
  <c r="N33" i="198"/>
  <c r="BN23" i="4"/>
  <c r="N31" i="106"/>
  <c r="Q33" i="92"/>
  <c r="Q34" i="92"/>
  <c r="O29" i="50"/>
  <c r="O32" i="50"/>
  <c r="Q48" i="52"/>
  <c r="AX25" i="4"/>
  <c r="O64" i="86"/>
  <c r="O46" i="86"/>
  <c r="M32" i="44"/>
  <c r="M33" i="44"/>
  <c r="M48" i="22"/>
  <c r="K25" i="4"/>
  <c r="M68" i="22"/>
  <c r="O29" i="92"/>
  <c r="O32" i="92"/>
  <c r="N49" i="82"/>
  <c r="N55" i="82"/>
  <c r="M59" i="4"/>
  <c r="M71" i="210"/>
  <c r="O32" i="22"/>
  <c r="O29" i="22"/>
  <c r="N48" i="50"/>
  <c r="P49" i="216"/>
  <c r="P55" i="216"/>
  <c r="M33" i="150"/>
  <c r="M32" i="150"/>
  <c r="O64" i="188"/>
  <c r="O65" i="188" s="1"/>
  <c r="O46" i="188"/>
  <c r="Q29" i="216"/>
  <c r="Q32" i="216"/>
  <c r="BU25" i="4"/>
  <c r="O46" i="108"/>
  <c r="O64" i="108"/>
  <c r="N68" i="214"/>
  <c r="N69" i="214" s="1"/>
  <c r="N48" i="214"/>
  <c r="AP25" i="4"/>
  <c r="M46" i="84"/>
  <c r="M64" i="84"/>
  <c r="O32" i="158"/>
  <c r="AB27" i="4" s="1"/>
  <c r="O33" i="158"/>
  <c r="AB28" i="4" s="1"/>
  <c r="AB26" i="4"/>
  <c r="P48" i="66"/>
  <c r="BG25" i="4"/>
  <c r="O64" i="78"/>
  <c r="O46" i="78"/>
  <c r="N47" i="188"/>
  <c r="N49" i="188" s="1"/>
  <c r="N51" i="188"/>
  <c r="O49" i="46"/>
  <c r="AE44" i="4" s="1"/>
  <c r="AE42" i="4"/>
  <c r="O28" i="190"/>
  <c r="O30" i="190"/>
  <c r="O64" i="190" s="1"/>
  <c r="O65" i="190" s="1"/>
  <c r="O31" i="72"/>
  <c r="AL23" i="4"/>
  <c r="R49" i="214"/>
  <c r="R52" i="214" s="1"/>
  <c r="R55" i="214"/>
  <c r="R63" i="214" s="1"/>
  <c r="Q33" i="36"/>
  <c r="Q34" i="36"/>
  <c r="P49" i="82"/>
  <c r="P55" i="82"/>
  <c r="M32" i="188"/>
  <c r="M33" i="188"/>
  <c r="BC22" i="4"/>
  <c r="N30" i="88"/>
  <c r="N46" i="88" s="1"/>
  <c r="N28" i="88"/>
  <c r="O46" i="194"/>
  <c r="L23" i="4"/>
  <c r="M29" i="208"/>
  <c r="M32" i="208"/>
  <c r="M61" i="104"/>
  <c r="I45" i="4"/>
  <c r="M62" i="104"/>
  <c r="I50" i="4" s="1"/>
  <c r="M57" i="104"/>
  <c r="I47" i="4" s="1"/>
  <c r="R52" i="20"/>
  <c r="R53" i="20" s="1"/>
  <c r="R50" i="20"/>
  <c r="P38" i="4"/>
  <c r="O58" i="54"/>
  <c r="O56" i="54"/>
  <c r="Y50" i="4" s="1"/>
  <c r="O55" i="54"/>
  <c r="Y49" i="4" s="1"/>
  <c r="R50" i="52"/>
  <c r="R52" i="52"/>
  <c r="R53" i="52" s="1"/>
  <c r="M58" i="74"/>
  <c r="AM45" i="4"/>
  <c r="M54" i="74"/>
  <c r="AM48" i="4" s="1"/>
  <c r="M53" i="74"/>
  <c r="AM47" i="4" s="1"/>
  <c r="M52" i="74"/>
  <c r="AM46" i="4" s="1"/>
  <c r="M55" i="74"/>
  <c r="AM49" i="4" s="1"/>
  <c r="M56" i="74"/>
  <c r="AM50" i="4" s="1"/>
  <c r="O61" i="26"/>
  <c r="O56" i="26"/>
  <c r="O62" i="26"/>
  <c r="O63" i="26"/>
  <c r="O57" i="26"/>
  <c r="O58" i="26"/>
  <c r="O59" i="26"/>
  <c r="O60" i="26" s="1"/>
  <c r="M58" i="110"/>
  <c r="BV45" i="4"/>
  <c r="M57" i="110"/>
  <c r="M56" i="110"/>
  <c r="BV50" i="4" s="1"/>
  <c r="M53" i="110"/>
  <c r="BV47" i="4" s="1"/>
  <c r="M54" i="110"/>
  <c r="BV48" i="4" s="1"/>
  <c r="M55" i="110"/>
  <c r="BV49" i="4" s="1"/>
  <c r="M52" i="110"/>
  <c r="BV46" i="4" s="1"/>
  <c r="O50" i="104"/>
  <c r="O52" i="104"/>
  <c r="O53" i="104" s="1"/>
  <c r="O50" i="24"/>
  <c r="O52" i="24"/>
  <c r="O53" i="24" s="1"/>
  <c r="P56" i="92"/>
  <c r="P58" i="92"/>
  <c r="P57" i="92"/>
  <c r="P62" i="92"/>
  <c r="P63" i="92"/>
  <c r="P59" i="92"/>
  <c r="P60" i="92" s="1"/>
  <c r="AM42" i="4"/>
  <c r="M49" i="74"/>
  <c r="AM44" i="4" s="1"/>
  <c r="M49" i="110"/>
  <c r="BV44" i="4" s="1"/>
  <c r="O61" i="104"/>
  <c r="O57" i="104"/>
  <c r="O62" i="104"/>
  <c r="O63" i="104"/>
  <c r="O59" i="104"/>
  <c r="O60" i="104" s="1"/>
  <c r="O56" i="104"/>
  <c r="O58" i="104"/>
  <c r="N50" i="57"/>
  <c r="N52" i="57"/>
  <c r="N53" i="57" s="1"/>
  <c r="P58" i="164"/>
  <c r="P56" i="164"/>
  <c r="P62" i="164"/>
  <c r="P63" i="164"/>
  <c r="P57" i="164"/>
  <c r="P59" i="164"/>
  <c r="P60" i="164" s="1"/>
  <c r="Q50" i="20"/>
  <c r="Q52" i="20"/>
  <c r="Q53" i="20" s="1"/>
  <c r="O63" i="24"/>
  <c r="O58" i="24"/>
  <c r="O62" i="24"/>
  <c r="O56" i="24"/>
  <c r="O57" i="24"/>
  <c r="O61" i="24"/>
  <c r="O59" i="24"/>
  <c r="O60" i="24" s="1"/>
  <c r="M62" i="150"/>
  <c r="M60" i="150"/>
  <c r="M61" i="150"/>
  <c r="M59" i="150"/>
  <c r="P50" i="92"/>
  <c r="P52" i="92"/>
  <c r="P53" i="92" s="1"/>
  <c r="O60" i="44"/>
  <c r="O59" i="44"/>
  <c r="O62" i="44"/>
  <c r="O61" i="44"/>
  <c r="Q50" i="104"/>
  <c r="Q52" i="104"/>
  <c r="Q53" i="104" s="1"/>
  <c r="N53" i="114"/>
  <c r="N58" i="114"/>
  <c r="N57" i="114"/>
  <c r="BQ45" i="4"/>
  <c r="N55" i="114"/>
  <c r="BQ49" i="4" s="1"/>
  <c r="H28" i="178" s="1"/>
  <c r="N52" i="114"/>
  <c r="BQ46" i="4" s="1"/>
  <c r="N54" i="114"/>
  <c r="BQ48" i="4" s="1"/>
  <c r="N56" i="114"/>
  <c r="BQ50" i="4" s="1"/>
  <c r="O59" i="150"/>
  <c r="O61" i="150"/>
  <c r="O60" i="150"/>
  <c r="O62" i="150"/>
  <c r="Q56" i="36"/>
  <c r="Q63" i="36"/>
  <c r="Q62" i="36"/>
  <c r="Q58" i="36"/>
  <c r="Q61" i="36"/>
  <c r="Q57" i="36"/>
  <c r="Q59" i="36"/>
  <c r="Q60" i="36" s="1"/>
  <c r="O50" i="164"/>
  <c r="O52" i="164"/>
  <c r="O53" i="164" s="1"/>
  <c r="P56" i="104"/>
  <c r="P63" i="104"/>
  <c r="P61" i="104"/>
  <c r="P58" i="104"/>
  <c r="P62" i="104"/>
  <c r="P57" i="104"/>
  <c r="P59" i="104"/>
  <c r="P60" i="104" s="1"/>
  <c r="N57" i="57"/>
  <c r="N63" i="57"/>
  <c r="N62" i="57"/>
  <c r="N59" i="57"/>
  <c r="N60" i="57" s="1"/>
  <c r="N58" i="57"/>
  <c r="N56" i="57"/>
  <c r="N61" i="57"/>
  <c r="O52" i="158"/>
  <c r="AB46" i="4" s="1"/>
  <c r="O55" i="158"/>
  <c r="AB49" i="4" s="1"/>
  <c r="O54" i="158"/>
  <c r="AB48" i="4" s="1"/>
  <c r="AB45" i="4"/>
  <c r="O58" i="158"/>
  <c r="O53" i="158"/>
  <c r="AB47" i="4" s="1"/>
  <c r="O56" i="158"/>
  <c r="AB50" i="4" s="1"/>
  <c r="P50" i="164"/>
  <c r="P52" i="164"/>
  <c r="P53" i="164" s="1"/>
  <c r="Q63" i="20"/>
  <c r="Q56" i="20"/>
  <c r="Q61" i="20"/>
  <c r="Q62" i="20"/>
  <c r="Q59" i="20"/>
  <c r="Q60" i="20" s="1"/>
  <c r="Q57" i="20"/>
  <c r="N58" i="78"/>
  <c r="BF45" i="4"/>
  <c r="N57" i="78"/>
  <c r="N56" i="78"/>
  <c r="BF50" i="4" s="1"/>
  <c r="N52" i="78"/>
  <c r="BF46" i="4" s="1"/>
  <c r="N53" i="78"/>
  <c r="BF47" i="4" s="1"/>
  <c r="N55" i="78"/>
  <c r="BF49" i="4" s="1"/>
  <c r="N54" i="78"/>
  <c r="BF48" i="4" s="1"/>
  <c r="O38" i="4"/>
  <c r="M48" i="50"/>
  <c r="N58" i="36"/>
  <c r="N62" i="36"/>
  <c r="N63" i="36"/>
  <c r="N57" i="36"/>
  <c r="N56" i="36"/>
  <c r="N61" i="36"/>
  <c r="N59" i="36"/>
  <c r="N60" i="36" s="1"/>
  <c r="Q61" i="104"/>
  <c r="N49" i="114"/>
  <c r="BQ44" i="4" s="1"/>
  <c r="BQ42" i="4"/>
  <c r="Q50" i="36"/>
  <c r="Q52" i="36"/>
  <c r="Q53" i="36" s="1"/>
  <c r="O58" i="164"/>
  <c r="O56" i="164"/>
  <c r="O63" i="164"/>
  <c r="O57" i="164"/>
  <c r="O62" i="164"/>
  <c r="O59" i="164"/>
  <c r="O60" i="164" s="1"/>
  <c r="P62" i="24"/>
  <c r="P57" i="24"/>
  <c r="P58" i="24"/>
  <c r="P63" i="24"/>
  <c r="P56" i="24"/>
  <c r="P61" i="24"/>
  <c r="P59" i="24"/>
  <c r="P60" i="24" s="1"/>
  <c r="P50" i="104"/>
  <c r="P52" i="104"/>
  <c r="P53" i="104" s="1"/>
  <c r="N50" i="16"/>
  <c r="N52" i="16"/>
  <c r="N53" i="16" s="1"/>
  <c r="O61" i="120"/>
  <c r="O60" i="120"/>
  <c r="O62" i="120"/>
  <c r="O59" i="120"/>
  <c r="M54" i="88"/>
  <c r="BB48" i="4" s="1"/>
  <c r="M53" i="88"/>
  <c r="BB47" i="4" s="1"/>
  <c r="M58" i="88"/>
  <c r="M55" i="88"/>
  <c r="BB49" i="4" s="1"/>
  <c r="BB45" i="4"/>
  <c r="M52" i="88"/>
  <c r="BB46" i="4" s="1"/>
  <c r="M57" i="88"/>
  <c r="M56" i="88"/>
  <c r="BB50" i="4" s="1"/>
  <c r="P50" i="36"/>
  <c r="P52" i="36"/>
  <c r="P53" i="36" s="1"/>
  <c r="AB42" i="4"/>
  <c r="BF42" i="4"/>
  <c r="N49" i="78"/>
  <c r="BF44" i="4" s="1"/>
  <c r="N50" i="36"/>
  <c r="N52" i="36"/>
  <c r="N53" i="36" s="1"/>
  <c r="Q64" i="32"/>
  <c r="Q66" i="32"/>
  <c r="Q65" i="32"/>
  <c r="M50" i="36"/>
  <c r="M52" i="36"/>
  <c r="M53" i="36" s="1"/>
  <c r="P50" i="24"/>
  <c r="P52" i="24"/>
  <c r="P53" i="24" s="1"/>
  <c r="O50" i="20"/>
  <c r="O52" i="20"/>
  <c r="O53" i="20" s="1"/>
  <c r="N61" i="16"/>
  <c r="N63" i="16"/>
  <c r="N56" i="16"/>
  <c r="N57" i="16"/>
  <c r="N59" i="16"/>
  <c r="N60" i="16" s="1"/>
  <c r="N62" i="16"/>
  <c r="M49" i="88"/>
  <c r="BB44" i="4" s="1"/>
  <c r="BB42" i="4"/>
  <c r="P57" i="36"/>
  <c r="P62" i="36"/>
  <c r="P56" i="36"/>
  <c r="P61" i="36"/>
  <c r="P58" i="36"/>
  <c r="P63" i="36"/>
  <c r="P59" i="36"/>
  <c r="P60" i="36" s="1"/>
  <c r="F54" i="4"/>
  <c r="M63" i="16"/>
  <c r="F45" i="4"/>
  <c r="M61" i="16"/>
  <c r="M62" i="16"/>
  <c r="F50" i="4" s="1"/>
  <c r="M59" i="16"/>
  <c r="M56" i="16"/>
  <c r="F46" i="4" s="1"/>
  <c r="M57" i="16"/>
  <c r="F47" i="4" s="1"/>
  <c r="M57" i="36"/>
  <c r="M63" i="36"/>
  <c r="M56" i="36"/>
  <c r="M58" i="36"/>
  <c r="M62" i="36"/>
  <c r="M61" i="36"/>
  <c r="M59" i="36"/>
  <c r="M60" i="36" s="1"/>
  <c r="M61" i="120"/>
  <c r="M60" i="120"/>
  <c r="M62" i="120"/>
  <c r="M59" i="120"/>
  <c r="N59" i="202"/>
  <c r="N61" i="202"/>
  <c r="N62" i="202"/>
  <c r="N60" i="202"/>
  <c r="AO45" i="4"/>
  <c r="O55" i="74"/>
  <c r="AO49" i="4" s="1"/>
  <c r="O58" i="74"/>
  <c r="O56" i="74"/>
  <c r="AO50" i="4" s="1"/>
  <c r="O54" i="74"/>
  <c r="AO48" i="4" s="1"/>
  <c r="O53" i="74"/>
  <c r="AO47" i="4" s="1"/>
  <c r="O52" i="74"/>
  <c r="AO46" i="4" s="1"/>
  <c r="O56" i="20"/>
  <c r="O63" i="20"/>
  <c r="O62" i="20"/>
  <c r="O61" i="20"/>
  <c r="O59" i="20"/>
  <c r="O60" i="20" s="1"/>
  <c r="O57" i="20"/>
  <c r="Q56" i="24"/>
  <c r="Q57" i="24"/>
  <c r="Q58" i="24"/>
  <c r="Q63" i="24"/>
  <c r="Q61" i="24"/>
  <c r="Q62" i="24"/>
  <c r="Q59" i="24"/>
  <c r="Q60" i="24" s="1"/>
  <c r="R61" i="36"/>
  <c r="R57" i="36"/>
  <c r="R63" i="36"/>
  <c r="R56" i="36"/>
  <c r="R62" i="36"/>
  <c r="R59" i="36"/>
  <c r="R60" i="36" s="1"/>
  <c r="R50" i="36"/>
  <c r="R52" i="36"/>
  <c r="R53" i="36" s="1"/>
  <c r="R50" i="24"/>
  <c r="R52" i="24"/>
  <c r="R53" i="24" s="1"/>
  <c r="N52" i="72"/>
  <c r="N55" i="72"/>
  <c r="AK45" i="4"/>
  <c r="N58" i="72"/>
  <c r="N54" i="72"/>
  <c r="AK48" i="4" s="1"/>
  <c r="N56" i="72"/>
  <c r="AK50" i="4" s="1"/>
  <c r="D17" i="155"/>
  <c r="N53" i="72"/>
  <c r="AO42" i="4"/>
  <c r="O49" i="74"/>
  <c r="AO44" i="4" s="1"/>
  <c r="F17" i="155"/>
  <c r="N54" i="158"/>
  <c r="AA48" i="4" s="1"/>
  <c r="AA45" i="4"/>
  <c r="N56" i="158"/>
  <c r="AA50" i="4" s="1"/>
  <c r="N58" i="158"/>
  <c r="N53" i="158"/>
  <c r="AA47" i="4" s="1"/>
  <c r="N52" i="158"/>
  <c r="AA46" i="4" s="1"/>
  <c r="N55" i="158"/>
  <c r="AA49" i="4" s="1"/>
  <c r="Q50" i="92"/>
  <c r="Q50" i="24"/>
  <c r="Q52" i="24"/>
  <c r="Q53" i="24" s="1"/>
  <c r="M50" i="104"/>
  <c r="R63" i="20"/>
  <c r="R57" i="20"/>
  <c r="R62" i="20"/>
  <c r="R56" i="20"/>
  <c r="R59" i="20"/>
  <c r="R60" i="20" s="1"/>
  <c r="R61" i="20"/>
  <c r="R61" i="24"/>
  <c r="R56" i="24"/>
  <c r="R57" i="24"/>
  <c r="R58" i="24"/>
  <c r="R62" i="24"/>
  <c r="R63" i="24"/>
  <c r="R59" i="24"/>
  <c r="R60" i="24" s="1"/>
  <c r="R63" i="52"/>
  <c r="R56" i="52"/>
  <c r="R57" i="52"/>
  <c r="R61" i="52"/>
  <c r="R62" i="52"/>
  <c r="R59" i="52"/>
  <c r="R60" i="52" s="1"/>
  <c r="AK42" i="4"/>
  <c r="N49" i="72"/>
  <c r="AK44" i="4" s="1"/>
  <c r="O50" i="26"/>
  <c r="O52" i="26"/>
  <c r="O53" i="26" s="1"/>
  <c r="Q41" i="4"/>
  <c r="M49" i="52"/>
  <c r="M55" i="52"/>
  <c r="O60" i="146"/>
  <c r="O59" i="146"/>
  <c r="O61" i="146"/>
  <c r="O62" i="146"/>
  <c r="N49" i="158"/>
  <c r="AA44" i="4" s="1"/>
  <c r="AA42" i="4"/>
  <c r="Q63" i="92"/>
  <c r="Q57" i="92"/>
  <c r="Q58" i="92"/>
  <c r="Q56" i="92"/>
  <c r="Q62" i="92"/>
  <c r="Q59" i="92"/>
  <c r="Q60" i="92" s="1"/>
  <c r="M52" i="198" l="1"/>
  <c r="M58" i="198"/>
  <c r="M54" i="198"/>
  <c r="M56" i="198"/>
  <c r="M57" i="198"/>
  <c r="M55" i="198"/>
  <c r="M53" i="198"/>
  <c r="M75" i="198" s="1"/>
  <c r="N49" i="26"/>
  <c r="N55" i="26"/>
  <c r="O49" i="54"/>
  <c r="Y44" i="4" s="1"/>
  <c r="O53" i="54"/>
  <c r="Y47" i="4" s="1"/>
  <c r="M56" i="104"/>
  <c r="I46" i="4" s="1"/>
  <c r="O50" i="59"/>
  <c r="O52" i="59"/>
  <c r="O53" i="59" s="1"/>
  <c r="N49" i="66"/>
  <c r="N55" i="66"/>
  <c r="CI41" i="4"/>
  <c r="N47" i="192"/>
  <c r="N51" i="192"/>
  <c r="O33" i="152"/>
  <c r="M52" i="16"/>
  <c r="Q56" i="104"/>
  <c r="Y45" i="4"/>
  <c r="I54" i="4"/>
  <c r="O55" i="52"/>
  <c r="O49" i="52"/>
  <c r="Q57" i="104"/>
  <c r="F42" i="4"/>
  <c r="Q58" i="104"/>
  <c r="M58" i="104"/>
  <c r="I48" i="4" s="1"/>
  <c r="M32" i="154"/>
  <c r="O53" i="198"/>
  <c r="O75" i="198" s="1"/>
  <c r="O56" i="198"/>
  <c r="O54" i="198"/>
  <c r="O58" i="198"/>
  <c r="O52" i="198"/>
  <c r="O57" i="198"/>
  <c r="O55" i="198"/>
  <c r="N57" i="146"/>
  <c r="N53" i="146"/>
  <c r="N56" i="146"/>
  <c r="N54" i="146"/>
  <c r="N55" i="146"/>
  <c r="N58" i="146"/>
  <c r="N52" i="146"/>
  <c r="Q62" i="104"/>
  <c r="Q59" i="104"/>
  <c r="Q60" i="104" s="1"/>
  <c r="O52" i="54"/>
  <c r="Y46" i="4" s="1"/>
  <c r="M63" i="104"/>
  <c r="N33" i="182"/>
  <c r="O32" i="194"/>
  <c r="Q55" i="16"/>
  <c r="Q49" i="16"/>
  <c r="I42" i="4"/>
  <c r="N49" i="164"/>
  <c r="N55" i="164"/>
  <c r="O59" i="59"/>
  <c r="O60" i="59" s="1"/>
  <c r="O61" i="59"/>
  <c r="O63" i="59"/>
  <c r="O57" i="59"/>
  <c r="O56" i="59"/>
  <c r="O62" i="59"/>
  <c r="CI57" i="4"/>
  <c r="N65" i="192"/>
  <c r="O49" i="92"/>
  <c r="O55" i="92"/>
  <c r="O47" i="68"/>
  <c r="O51" i="68"/>
  <c r="AU41" i="4"/>
  <c r="O31" i="148"/>
  <c r="O33" i="148" s="1"/>
  <c r="N31" i="200"/>
  <c r="N48" i="212"/>
  <c r="N55" i="212" s="1"/>
  <c r="M46" i="148"/>
  <c r="AU23" i="4"/>
  <c r="O31" i="68"/>
  <c r="N48" i="208"/>
  <c r="M31" i="148"/>
  <c r="AU25" i="4"/>
  <c r="O64" i="68"/>
  <c r="M31" i="146"/>
  <c r="M32" i="146" s="1"/>
  <c r="O31" i="200"/>
  <c r="O46" i="148"/>
  <c r="N46" i="200"/>
  <c r="P48" i="212"/>
  <c r="M33" i="110"/>
  <c r="BV28" i="4" s="1"/>
  <c r="N58" i="84"/>
  <c r="N60" i="84" s="1"/>
  <c r="N52" i="84"/>
  <c r="N54" i="84"/>
  <c r="AQ48" i="4" s="1"/>
  <c r="N56" i="84"/>
  <c r="AQ50" i="4" s="1"/>
  <c r="N55" i="84"/>
  <c r="N53" i="84"/>
  <c r="AQ42" i="4"/>
  <c r="O51" i="110"/>
  <c r="O47" i="110"/>
  <c r="BX41" i="4"/>
  <c r="BK41" i="4"/>
  <c r="M49" i="160"/>
  <c r="M55" i="160"/>
  <c r="O47" i="116"/>
  <c r="CD41" i="4"/>
  <c r="O51" i="116"/>
  <c r="M47" i="116"/>
  <c r="M51" i="116"/>
  <c r="CB41" i="4"/>
  <c r="N47" i="88"/>
  <c r="BC41" i="4"/>
  <c r="N51" i="88"/>
  <c r="M47" i="192"/>
  <c r="CH41" i="4"/>
  <c r="M51" i="192"/>
  <c r="BE41" i="4"/>
  <c r="M47" i="78"/>
  <c r="M51" i="78"/>
  <c r="O47" i="192"/>
  <c r="O51" i="192"/>
  <c r="CJ41" i="4"/>
  <c r="AW41" i="4"/>
  <c r="N51" i="86"/>
  <c r="N47" i="86"/>
  <c r="E41" i="4"/>
  <c r="M49" i="18"/>
  <c r="M55" i="18"/>
  <c r="T41" i="4"/>
  <c r="M49" i="212"/>
  <c r="M55" i="212"/>
  <c r="N47" i="110"/>
  <c r="BW41" i="4"/>
  <c r="N51" i="110"/>
  <c r="P57" i="82"/>
  <c r="P56" i="82"/>
  <c r="P62" i="82"/>
  <c r="P58" i="82"/>
  <c r="P61" i="82"/>
  <c r="P59" i="82"/>
  <c r="P60" i="82" s="1"/>
  <c r="P63" i="82"/>
  <c r="O46" i="190"/>
  <c r="O65" i="78"/>
  <c r="BG57" i="4"/>
  <c r="O51" i="188"/>
  <c r="O47" i="188"/>
  <c r="O49" i="188" s="1"/>
  <c r="O33" i="22"/>
  <c r="O34" i="22"/>
  <c r="O34" i="50"/>
  <c r="O33" i="50"/>
  <c r="Q34" i="52"/>
  <c r="Q33" i="52"/>
  <c r="AN41" i="4"/>
  <c r="E15" i="155"/>
  <c r="N47" i="74"/>
  <c r="N51" i="74"/>
  <c r="O33" i="160"/>
  <c r="O34" i="160"/>
  <c r="M33" i="118"/>
  <c r="M32" i="118"/>
  <c r="BK23" i="4"/>
  <c r="M29" i="160"/>
  <c r="M32" i="160"/>
  <c r="CD23" i="4"/>
  <c r="O31" i="116"/>
  <c r="N31" i="148"/>
  <c r="N31" i="196"/>
  <c r="I26" i="4"/>
  <c r="M34" i="104"/>
  <c r="I28" i="4" s="1"/>
  <c r="M33" i="104"/>
  <c r="I27" i="4" s="1"/>
  <c r="Q57" i="216"/>
  <c r="Q56" i="216"/>
  <c r="Q59" i="216"/>
  <c r="Q60" i="216" s="1"/>
  <c r="Q62" i="216"/>
  <c r="Q61" i="216"/>
  <c r="Q58" i="216"/>
  <c r="Q63" i="216"/>
  <c r="M33" i="20"/>
  <c r="G27" i="4" s="1"/>
  <c r="M34" i="20"/>
  <c r="G28" i="4" s="1"/>
  <c r="G26" i="4"/>
  <c r="N32" i="216"/>
  <c r="N29" i="216"/>
  <c r="O52" i="202"/>
  <c r="O53" i="202"/>
  <c r="O75" i="202" s="1"/>
  <c r="O54" i="202"/>
  <c r="O57" i="202"/>
  <c r="O55" i="202"/>
  <c r="O58" i="202"/>
  <c r="O56" i="202"/>
  <c r="M70" i="164"/>
  <c r="BL57" i="4"/>
  <c r="AT25" i="4"/>
  <c r="N64" i="68"/>
  <c r="N52" i="150"/>
  <c r="N56" i="150"/>
  <c r="N57" i="150"/>
  <c r="N55" i="150"/>
  <c r="N54" i="150"/>
  <c r="N58" i="150"/>
  <c r="N53" i="150"/>
  <c r="N75" i="150" s="1"/>
  <c r="O32" i="84"/>
  <c r="AR27" i="4" s="1"/>
  <c r="O33" i="84"/>
  <c r="AR28" i="4" s="1"/>
  <c r="AR26" i="4"/>
  <c r="M65" i="106"/>
  <c r="BM57" i="4"/>
  <c r="U41" i="4"/>
  <c r="M49" i="214"/>
  <c r="M55" i="214"/>
  <c r="N55" i="160"/>
  <c r="N49" i="160"/>
  <c r="F57" i="4"/>
  <c r="M69" i="16"/>
  <c r="M69" i="20"/>
  <c r="G57" i="4"/>
  <c r="N47" i="48"/>
  <c r="AH41" i="4"/>
  <c r="N51" i="48"/>
  <c r="M57" i="202"/>
  <c r="M54" i="202"/>
  <c r="M53" i="202"/>
  <c r="M75" i="202" s="1"/>
  <c r="M56" i="202"/>
  <c r="M52" i="202"/>
  <c r="M58" i="202"/>
  <c r="M55" i="202"/>
  <c r="P49" i="208"/>
  <c r="P55" i="208"/>
  <c r="Q33" i="214"/>
  <c r="Q34" i="214"/>
  <c r="M49" i="66"/>
  <c r="M55" i="66"/>
  <c r="BT25" i="4"/>
  <c r="N64" i="108"/>
  <c r="S57" i="4"/>
  <c r="M69" i="32"/>
  <c r="R32" i="212"/>
  <c r="O54" i="182"/>
  <c r="O56" i="182"/>
  <c r="O58" i="182"/>
  <c r="O53" i="182"/>
  <c r="O57" i="182"/>
  <c r="O55" i="182"/>
  <c r="O52" i="182"/>
  <c r="O51" i="152"/>
  <c r="O47" i="152"/>
  <c r="O49" i="152" s="1"/>
  <c r="N32" i="24"/>
  <c r="N29" i="24"/>
  <c r="Q29" i="212"/>
  <c r="Q32" i="212"/>
  <c r="O49" i="18"/>
  <c r="O55" i="18"/>
  <c r="M33" i="52"/>
  <c r="Q27" i="4" s="1"/>
  <c r="Q26" i="4"/>
  <c r="M34" i="52"/>
  <c r="Q28" i="4" s="1"/>
  <c r="X41" i="4"/>
  <c r="C15" i="155"/>
  <c r="N51" i="54"/>
  <c r="N47" i="54"/>
  <c r="M32" i="182"/>
  <c r="M33" i="182"/>
  <c r="AV57" i="4"/>
  <c r="M65" i="86"/>
  <c r="P57" i="32"/>
  <c r="P61" i="32"/>
  <c r="P59" i="32"/>
  <c r="P60" i="32" s="1"/>
  <c r="P63" i="32"/>
  <c r="P56" i="32"/>
  <c r="P62" i="32"/>
  <c r="BZ57" i="4"/>
  <c r="CF57" i="4"/>
  <c r="N65" i="112"/>
  <c r="N49" i="59"/>
  <c r="N55" i="59"/>
  <c r="H41" i="4"/>
  <c r="M55" i="57"/>
  <c r="M49" i="57"/>
  <c r="O47" i="194"/>
  <c r="O49" i="194" s="1"/>
  <c r="O51" i="194"/>
  <c r="P50" i="82"/>
  <c r="P52" i="82"/>
  <c r="P53" i="82" s="1"/>
  <c r="N49" i="214"/>
  <c r="N55" i="214"/>
  <c r="M55" i="22"/>
  <c r="M49" i="22"/>
  <c r="K41" i="4"/>
  <c r="Q34" i="208"/>
  <c r="Q33" i="208"/>
  <c r="O51" i="88"/>
  <c r="O47" i="88"/>
  <c r="BD41" i="4"/>
  <c r="N32" i="44"/>
  <c r="N33" i="44"/>
  <c r="O49" i="22"/>
  <c r="O55" i="22"/>
  <c r="M51" i="44"/>
  <c r="M47" i="44"/>
  <c r="M49" i="44" s="1"/>
  <c r="O33" i="200"/>
  <c r="O32" i="200"/>
  <c r="O51" i="148"/>
  <c r="O47" i="148"/>
  <c r="O49" i="148" s="1"/>
  <c r="O52" i="118"/>
  <c r="O55" i="118"/>
  <c r="O58" i="118"/>
  <c r="O57" i="118"/>
  <c r="O54" i="118"/>
  <c r="O56" i="118"/>
  <c r="O53" i="118"/>
  <c r="N51" i="200"/>
  <c r="N47" i="200"/>
  <c r="N49" i="200" s="1"/>
  <c r="Q50" i="216"/>
  <c r="Q52" i="216"/>
  <c r="Q53" i="216" s="1"/>
  <c r="E25" i="4"/>
  <c r="M68" i="18"/>
  <c r="Q33" i="210"/>
  <c r="Q34" i="210"/>
  <c r="M69" i="104"/>
  <c r="I57" i="4"/>
  <c r="AT23" i="4"/>
  <c r="N31" i="68"/>
  <c r="Z26" i="4"/>
  <c r="M33" i="158"/>
  <c r="Z28" i="4" s="1"/>
  <c r="M32" i="158"/>
  <c r="Z27" i="4" s="1"/>
  <c r="BR41" i="4"/>
  <c r="O47" i="114"/>
  <c r="O51" i="114"/>
  <c r="BL26" i="4"/>
  <c r="M34" i="164"/>
  <c r="BL28" i="4" s="1"/>
  <c r="M33" i="164"/>
  <c r="BL27" i="4" s="1"/>
  <c r="O65" i="90"/>
  <c r="BJ57" i="4"/>
  <c r="Q49" i="66"/>
  <c r="Q55" i="66"/>
  <c r="M49" i="46"/>
  <c r="AC44" i="4" s="1"/>
  <c r="AC42" i="4"/>
  <c r="BW23" i="4"/>
  <c r="N31" i="110"/>
  <c r="G41" i="4"/>
  <c r="M55" i="20"/>
  <c r="M49" i="20"/>
  <c r="AH57" i="4"/>
  <c r="N65" i="48"/>
  <c r="M51" i="196"/>
  <c r="M47" i="196"/>
  <c r="M49" i="196" s="1"/>
  <c r="P34" i="210"/>
  <c r="P33" i="210"/>
  <c r="BS26" i="4"/>
  <c r="M32" i="108"/>
  <c r="BS27" i="4" s="1"/>
  <c r="M33" i="108"/>
  <c r="BS28" i="4" s="1"/>
  <c r="BX25" i="4"/>
  <c r="O64" i="110"/>
  <c r="N52" i="190"/>
  <c r="N54" i="190"/>
  <c r="N57" i="190"/>
  <c r="N53" i="190"/>
  <c r="N56" i="190"/>
  <c r="N55" i="190"/>
  <c r="N58" i="190"/>
  <c r="N31" i="108"/>
  <c r="BT23" i="4"/>
  <c r="BP41" i="4"/>
  <c r="M51" i="114"/>
  <c r="M47" i="114"/>
  <c r="O50" i="208"/>
  <c r="O52" i="208"/>
  <c r="O53" i="208" s="1"/>
  <c r="M69" i="52"/>
  <c r="Q57" i="4"/>
  <c r="O63" i="32"/>
  <c r="O62" i="32"/>
  <c r="O59" i="32"/>
  <c r="O60" i="32" s="1"/>
  <c r="O61" i="32"/>
  <c r="O57" i="32"/>
  <c r="O56" i="32"/>
  <c r="BA41" i="4"/>
  <c r="O47" i="70"/>
  <c r="O51" i="70"/>
  <c r="Q55" i="160"/>
  <c r="Q63" i="160" s="1"/>
  <c r="Q49" i="160"/>
  <c r="Q52" i="160" s="1"/>
  <c r="N68" i="24"/>
  <c r="N69" i="24" s="1"/>
  <c r="N48" i="24"/>
  <c r="O33" i="18"/>
  <c r="O34" i="18"/>
  <c r="X57" i="4"/>
  <c r="N65" i="54"/>
  <c r="O33" i="118"/>
  <c r="O32" i="118"/>
  <c r="BS57" i="4"/>
  <c r="M65" i="108"/>
  <c r="AV41" i="4"/>
  <c r="M47" i="86"/>
  <c r="M51" i="86"/>
  <c r="M33" i="84"/>
  <c r="AP28" i="4" s="1"/>
  <c r="M32" i="84"/>
  <c r="AP27" i="4" s="1"/>
  <c r="AP26" i="4"/>
  <c r="Q34" i="16"/>
  <c r="Q33" i="16"/>
  <c r="J57" i="4"/>
  <c r="M69" i="24"/>
  <c r="O32" i="86"/>
  <c r="AX27" i="4" s="1"/>
  <c r="AX26" i="4"/>
  <c r="O33" i="86"/>
  <c r="AX28" i="4" s="1"/>
  <c r="O49" i="214"/>
  <c r="O55" i="214"/>
  <c r="AN26" i="4"/>
  <c r="N33" i="74"/>
  <c r="AN28" i="4" s="1"/>
  <c r="E13" i="155"/>
  <c r="N32" i="74"/>
  <c r="AN27" i="4" s="1"/>
  <c r="O31" i="190"/>
  <c r="P49" i="66"/>
  <c r="P55" i="66"/>
  <c r="N33" i="66"/>
  <c r="N34" i="66"/>
  <c r="L57" i="4"/>
  <c r="M69" i="208"/>
  <c r="N32" i="194"/>
  <c r="N33" i="194"/>
  <c r="BD23" i="4"/>
  <c r="O31" i="88"/>
  <c r="O34" i="216"/>
  <c r="O33" i="216"/>
  <c r="Q49" i="18"/>
  <c r="Q52" i="18" s="1"/>
  <c r="Q55" i="18"/>
  <c r="Q63" i="18" s="1"/>
  <c r="P33" i="164"/>
  <c r="P34" i="164"/>
  <c r="N33" i="210"/>
  <c r="N34" i="210"/>
  <c r="R41" i="4"/>
  <c r="M49" i="59"/>
  <c r="M55" i="59"/>
  <c r="U26" i="4"/>
  <c r="M33" i="214"/>
  <c r="U27" i="4" s="1"/>
  <c r="M34" i="214"/>
  <c r="U28" i="4" s="1"/>
  <c r="F13" i="155"/>
  <c r="N32" i="84"/>
  <c r="AQ27" i="4" s="1"/>
  <c r="AQ26" i="4"/>
  <c r="N33" i="84"/>
  <c r="AQ28" i="4" s="1"/>
  <c r="M29" i="18"/>
  <c r="E23" i="4"/>
  <c r="M32" i="18"/>
  <c r="N58" i="182"/>
  <c r="N55" i="182"/>
  <c r="N57" i="182"/>
  <c r="N56" i="182"/>
  <c r="N54" i="182"/>
  <c r="N53" i="182"/>
  <c r="N52" i="182"/>
  <c r="O33" i="74"/>
  <c r="AO28" i="4" s="1"/>
  <c r="AO26" i="4"/>
  <c r="O32" i="74"/>
  <c r="AO27" i="4" s="1"/>
  <c r="AC57" i="4"/>
  <c r="M65" i="46"/>
  <c r="M51" i="106"/>
  <c r="BM41" i="4"/>
  <c r="M47" i="106"/>
  <c r="O65" i="114"/>
  <c r="BR57" i="4"/>
  <c r="R33" i="210"/>
  <c r="R34" i="210"/>
  <c r="CE57" i="4"/>
  <c r="M65" i="112"/>
  <c r="BY57" i="4"/>
  <c r="M58" i="46"/>
  <c r="M53" i="46"/>
  <c r="AC47" i="4" s="1"/>
  <c r="M56" i="46"/>
  <c r="AC50" i="4" s="1"/>
  <c r="M52" i="46"/>
  <c r="AC46" i="4" s="1"/>
  <c r="AC45" i="4"/>
  <c r="M55" i="46"/>
  <c r="AC49" i="4" s="1"/>
  <c r="M33" i="66"/>
  <c r="M34" i="66"/>
  <c r="N47" i="198"/>
  <c r="N49" i="198" s="1"/>
  <c r="N51" i="198"/>
  <c r="CF26" i="4"/>
  <c r="BZ26" i="4"/>
  <c r="N32" i="112"/>
  <c r="N33" i="112"/>
  <c r="N32" i="78"/>
  <c r="BF27" i="4" s="1"/>
  <c r="BF26" i="4"/>
  <c r="N33" i="78"/>
  <c r="BF28" i="4" s="1"/>
  <c r="O59" i="208"/>
  <c r="O60" i="208" s="1"/>
  <c r="O58" i="208"/>
  <c r="O57" i="208"/>
  <c r="O56" i="208"/>
  <c r="O62" i="208"/>
  <c r="O63" i="208"/>
  <c r="O61" i="208"/>
  <c r="O52" i="32"/>
  <c r="O53" i="32" s="1"/>
  <c r="O50" i="32"/>
  <c r="O65" i="70"/>
  <c r="BA57" i="4"/>
  <c r="AI26" i="4"/>
  <c r="O32" i="48"/>
  <c r="AI27" i="4" s="1"/>
  <c r="O33" i="48"/>
  <c r="AI28" i="4" s="1"/>
  <c r="M47" i="108"/>
  <c r="BS41" i="4"/>
  <c r="M51" i="108"/>
  <c r="O25" i="4"/>
  <c r="M68" i="50"/>
  <c r="M32" i="57"/>
  <c r="M29" i="57"/>
  <c r="H23" i="4"/>
  <c r="N31" i="88"/>
  <c r="BC23" i="4"/>
  <c r="BU57" i="4"/>
  <c r="O65" i="108"/>
  <c r="N58" i="82"/>
  <c r="N57" i="82"/>
  <c r="N59" i="82"/>
  <c r="N60" i="82" s="1"/>
  <c r="N56" i="82"/>
  <c r="N62" i="82"/>
  <c r="N61" i="82"/>
  <c r="N63" i="82"/>
  <c r="M34" i="59"/>
  <c r="R28" i="4" s="1"/>
  <c r="M33" i="59"/>
  <c r="R27" i="4" s="1"/>
  <c r="R26" i="4"/>
  <c r="AD26" i="4"/>
  <c r="N33" i="46"/>
  <c r="AD28" i="4" s="1"/>
  <c r="N32" i="46"/>
  <c r="AD27" i="4" s="1"/>
  <c r="P49" i="52"/>
  <c r="P55" i="52"/>
  <c r="CJ25" i="4"/>
  <c r="O64" i="192"/>
  <c r="M47" i="158"/>
  <c r="Z41" i="4"/>
  <c r="M51" i="158"/>
  <c r="N33" i="104"/>
  <c r="N34" i="104"/>
  <c r="M55" i="190"/>
  <c r="M53" i="190"/>
  <c r="M54" i="190"/>
  <c r="M58" i="190"/>
  <c r="M52" i="190"/>
  <c r="M57" i="190"/>
  <c r="M56" i="190"/>
  <c r="M57" i="180"/>
  <c r="M58" i="180"/>
  <c r="M53" i="180"/>
  <c r="M75" i="180" s="1"/>
  <c r="M56" i="180"/>
  <c r="M52" i="180"/>
  <c r="M55" i="180"/>
  <c r="M54" i="180"/>
  <c r="O32" i="148"/>
  <c r="N57" i="4"/>
  <c r="M69" i="82"/>
  <c r="R55" i="18"/>
  <c r="R63" i="18" s="1"/>
  <c r="R49" i="18"/>
  <c r="R52" i="18" s="1"/>
  <c r="N33" i="200"/>
  <c r="N32" i="200"/>
  <c r="N65" i="46"/>
  <c r="AD57" i="4"/>
  <c r="M59" i="82"/>
  <c r="M63" i="82"/>
  <c r="N45" i="4"/>
  <c r="M57" i="82"/>
  <c r="N47" i="4" s="1"/>
  <c r="M58" i="82"/>
  <c r="N48" i="4" s="1"/>
  <c r="M62" i="82"/>
  <c r="N50" i="4" s="1"/>
  <c r="M61" i="82"/>
  <c r="M56" i="82"/>
  <c r="N46" i="4" s="1"/>
  <c r="N54" i="4"/>
  <c r="AW25" i="4"/>
  <c r="N64" i="86"/>
  <c r="N55" i="20"/>
  <c r="N49" i="20"/>
  <c r="M31" i="192"/>
  <c r="CH23" i="4"/>
  <c r="Q50" i="210"/>
  <c r="Q52" i="210"/>
  <c r="Q53" i="210" s="1"/>
  <c r="O34" i="57"/>
  <c r="O33" i="57"/>
  <c r="M51" i="112"/>
  <c r="CE41" i="4"/>
  <c r="M47" i="112"/>
  <c r="BY41" i="4"/>
  <c r="O33" i="70"/>
  <c r="BA28" i="4" s="1"/>
  <c r="O32" i="70"/>
  <c r="BA27" i="4" s="1"/>
  <c r="BA26" i="4"/>
  <c r="P55" i="26"/>
  <c r="P49" i="26"/>
  <c r="O49" i="66"/>
  <c r="O55" i="66"/>
  <c r="O51" i="180"/>
  <c r="O47" i="180"/>
  <c r="O49" i="180" s="1"/>
  <c r="N51" i="90"/>
  <c r="N47" i="90"/>
  <c r="BI41" i="4"/>
  <c r="O34" i="16"/>
  <c r="O33" i="16"/>
  <c r="AG57" i="4"/>
  <c r="M65" i="48"/>
  <c r="BX23" i="4"/>
  <c r="O31" i="110"/>
  <c r="M65" i="72"/>
  <c r="AJ57" i="4"/>
  <c r="J26" i="4"/>
  <c r="M34" i="24"/>
  <c r="J28" i="4" s="1"/>
  <c r="M33" i="24"/>
  <c r="J27" i="4" s="1"/>
  <c r="N46" i="154"/>
  <c r="BP25" i="4"/>
  <c r="M64" i="114"/>
  <c r="N55" i="208"/>
  <c r="N49" i="208"/>
  <c r="N34" i="26"/>
  <c r="N33" i="26"/>
  <c r="P33" i="82"/>
  <c r="P34" i="82"/>
  <c r="M51" i="182"/>
  <c r="M47" i="182"/>
  <c r="M49" i="182" s="1"/>
  <c r="M52" i="118"/>
  <c r="M56" i="118"/>
  <c r="M55" i="118"/>
  <c r="M54" i="118"/>
  <c r="M57" i="118"/>
  <c r="M53" i="118"/>
  <c r="M58" i="118"/>
  <c r="N47" i="180"/>
  <c r="N49" i="180" s="1"/>
  <c r="N51" i="180"/>
  <c r="BE25" i="4"/>
  <c r="M64" i="78"/>
  <c r="P58" i="214"/>
  <c r="P61" i="214"/>
  <c r="P59" i="214"/>
  <c r="P60" i="214" s="1"/>
  <c r="P62" i="214"/>
  <c r="P57" i="214"/>
  <c r="P63" i="214"/>
  <c r="P56" i="214"/>
  <c r="M55" i="216"/>
  <c r="M49" i="216"/>
  <c r="V41" i="4"/>
  <c r="O32" i="188"/>
  <c r="O33" i="188"/>
  <c r="O51" i="48"/>
  <c r="O47" i="48"/>
  <c r="AI41" i="4"/>
  <c r="M49" i="24"/>
  <c r="M55" i="24"/>
  <c r="J41" i="4"/>
  <c r="O23" i="4"/>
  <c r="M29" i="50"/>
  <c r="M32" i="50"/>
  <c r="BF57" i="4"/>
  <c r="N65" i="78"/>
  <c r="H25" i="4"/>
  <c r="M68" i="57"/>
  <c r="M56" i="32"/>
  <c r="S46" i="4" s="1"/>
  <c r="M63" i="32"/>
  <c r="M59" i="32"/>
  <c r="S45" i="4"/>
  <c r="M61" i="32"/>
  <c r="S54" i="4"/>
  <c r="M62" i="32"/>
  <c r="S50" i="4" s="1"/>
  <c r="M57" i="32"/>
  <c r="S47" i="4" s="1"/>
  <c r="BC25" i="4"/>
  <c r="N64" i="88"/>
  <c r="BU41" i="4"/>
  <c r="O47" i="108"/>
  <c r="O51" i="108"/>
  <c r="P57" i="216"/>
  <c r="P58" i="216"/>
  <c r="P61" i="216"/>
  <c r="P62" i="216"/>
  <c r="P56" i="216"/>
  <c r="P59" i="216"/>
  <c r="P60" i="216" s="1"/>
  <c r="P63" i="216"/>
  <c r="N50" i="82"/>
  <c r="N52" i="82"/>
  <c r="N53" i="82" s="1"/>
  <c r="AX41" i="4"/>
  <c r="O47" i="86"/>
  <c r="O51" i="86"/>
  <c r="BN26" i="4"/>
  <c r="N33" i="106"/>
  <c r="BN28" i="4" s="1"/>
  <c r="N32" i="106"/>
  <c r="BN27" i="4" s="1"/>
  <c r="N55" i="104"/>
  <c r="N49" i="104"/>
  <c r="M49" i="208"/>
  <c r="L41" i="4"/>
  <c r="M55" i="208"/>
  <c r="P33" i="18"/>
  <c r="P34" i="18"/>
  <c r="N46" i="152"/>
  <c r="BD25" i="4"/>
  <c r="O64" i="88"/>
  <c r="AV26" i="4"/>
  <c r="M33" i="86"/>
  <c r="AV28" i="4" s="1"/>
  <c r="M32" i="86"/>
  <c r="AV27" i="4" s="1"/>
  <c r="Z57" i="4"/>
  <c r="M65" i="158"/>
  <c r="O47" i="112"/>
  <c r="O51" i="112"/>
  <c r="CG41" i="4"/>
  <c r="CA41" i="4"/>
  <c r="AE51" i="4"/>
  <c r="O62" i="46"/>
  <c r="AE54" i="4"/>
  <c r="O59" i="46"/>
  <c r="O60" i="46"/>
  <c r="O61" i="46"/>
  <c r="O49" i="216"/>
  <c r="O55" i="216"/>
  <c r="AC26" i="4"/>
  <c r="M33" i="46"/>
  <c r="AC28" i="4" s="1"/>
  <c r="M32" i="46"/>
  <c r="AC27" i="4" s="1"/>
  <c r="P33" i="66"/>
  <c r="P34" i="66"/>
  <c r="M52" i="82"/>
  <c r="N42" i="4"/>
  <c r="M50" i="82"/>
  <c r="P55" i="16"/>
  <c r="P49" i="16"/>
  <c r="CH25" i="4"/>
  <c r="M64" i="192"/>
  <c r="Q63" i="210"/>
  <c r="Q59" i="210"/>
  <c r="Q60" i="210" s="1"/>
  <c r="Q57" i="210"/>
  <c r="Q56" i="210"/>
  <c r="Q58" i="210"/>
  <c r="Q62" i="210"/>
  <c r="Q61" i="210"/>
  <c r="N34" i="164"/>
  <c r="N33" i="164"/>
  <c r="R49" i="160"/>
  <c r="R52" i="160" s="1"/>
  <c r="R55" i="160"/>
  <c r="R63" i="160" s="1"/>
  <c r="Q33" i="66"/>
  <c r="Q34" i="66"/>
  <c r="M47" i="194"/>
  <c r="M49" i="194" s="1"/>
  <c r="M51" i="194"/>
  <c r="N47" i="116"/>
  <c r="N51" i="116"/>
  <c r="CC41" i="4"/>
  <c r="P63" i="22"/>
  <c r="P62" i="22"/>
  <c r="P57" i="22"/>
  <c r="P56" i="22"/>
  <c r="P61" i="22"/>
  <c r="P58" i="22"/>
  <c r="P59" i="22"/>
  <c r="P60" i="22" s="1"/>
  <c r="O33" i="212"/>
  <c r="O34" i="212"/>
  <c r="N47" i="70"/>
  <c r="AZ41" i="4"/>
  <c r="N51" i="70"/>
  <c r="BI25" i="4"/>
  <c r="N64" i="90"/>
  <c r="M51" i="48"/>
  <c r="M47" i="48"/>
  <c r="AG41" i="4"/>
  <c r="M55" i="210"/>
  <c r="M41" i="4"/>
  <c r="M49" i="210"/>
  <c r="M47" i="72"/>
  <c r="AJ41" i="4"/>
  <c r="M51" i="72"/>
  <c r="CB25" i="4"/>
  <c r="M64" i="116"/>
  <c r="P55" i="212"/>
  <c r="P49" i="212"/>
  <c r="N34" i="50"/>
  <c r="N33" i="50"/>
  <c r="M31" i="114"/>
  <c r="BP23" i="4"/>
  <c r="BR26" i="4"/>
  <c r="O33" i="114"/>
  <c r="BR28" i="4" s="1"/>
  <c r="O32" i="114"/>
  <c r="BR27" i="4" s="1"/>
  <c r="Q49" i="26"/>
  <c r="Q52" i="26" s="1"/>
  <c r="Q55" i="26"/>
  <c r="Q63" i="26" s="1"/>
  <c r="M32" i="72"/>
  <c r="AJ27" i="4" s="1"/>
  <c r="M33" i="72"/>
  <c r="AJ28" i="4" s="1"/>
  <c r="AJ26" i="4"/>
  <c r="O34" i="164"/>
  <c r="O33" i="164"/>
  <c r="BE23" i="4"/>
  <c r="M31" i="78"/>
  <c r="P50" i="214"/>
  <c r="P52" i="214"/>
  <c r="P53" i="214" s="1"/>
  <c r="V25" i="4"/>
  <c r="M68" i="216"/>
  <c r="AI57" i="4"/>
  <c r="O65" i="48"/>
  <c r="R57" i="4"/>
  <c r="M69" i="59"/>
  <c r="M52" i="32"/>
  <c r="M50" i="32"/>
  <c r="S42" i="4"/>
  <c r="O50" i="212"/>
  <c r="O52" i="212"/>
  <c r="O53" i="212" s="1"/>
  <c r="N52" i="188"/>
  <c r="N57" i="188"/>
  <c r="N58" i="188"/>
  <c r="N55" i="188"/>
  <c r="N54" i="188"/>
  <c r="N56" i="188"/>
  <c r="N53" i="188"/>
  <c r="P50" i="216"/>
  <c r="P52" i="216"/>
  <c r="P53" i="216" s="1"/>
  <c r="O34" i="92"/>
  <c r="O33" i="92"/>
  <c r="O65" i="86"/>
  <c r="AX57" i="4"/>
  <c r="N48" i="22"/>
  <c r="N34" i="16"/>
  <c r="N33" i="16"/>
  <c r="O49" i="16"/>
  <c r="O55" i="16"/>
  <c r="CJ23" i="4"/>
  <c r="O31" i="192"/>
  <c r="P55" i="160"/>
  <c r="P49" i="160"/>
  <c r="N34" i="160"/>
  <c r="N33" i="160"/>
  <c r="M32" i="112"/>
  <c r="CE26" i="4"/>
  <c r="BY26" i="4"/>
  <c r="M33" i="112"/>
  <c r="O49" i="36"/>
  <c r="O55" i="36"/>
  <c r="M51" i="148"/>
  <c r="M47" i="148"/>
  <c r="M49" i="148" s="1"/>
  <c r="BN57" i="4"/>
  <c r="N65" i="106"/>
  <c r="P34" i="26"/>
  <c r="P33" i="26"/>
  <c r="BJ26" i="4"/>
  <c r="O33" i="90"/>
  <c r="BJ28" i="4" s="1"/>
  <c r="O32" i="90"/>
  <c r="BJ27" i="4" s="1"/>
  <c r="R55" i="16"/>
  <c r="R63" i="16" s="1"/>
  <c r="R49" i="16"/>
  <c r="R52" i="16" s="1"/>
  <c r="M48" i="92"/>
  <c r="W57" i="4"/>
  <c r="M65" i="54"/>
  <c r="N31" i="86"/>
  <c r="AW23" i="4"/>
  <c r="T25" i="4"/>
  <c r="M68" i="212"/>
  <c r="M33" i="194"/>
  <c r="M32" i="194"/>
  <c r="BO54" i="4"/>
  <c r="O61" i="106"/>
  <c r="BO51" i="4"/>
  <c r="O60" i="106"/>
  <c r="O59" i="106"/>
  <c r="O62" i="106"/>
  <c r="N33" i="92"/>
  <c r="N34" i="92"/>
  <c r="P34" i="22"/>
  <c r="P33" i="22"/>
  <c r="P34" i="208"/>
  <c r="P33" i="208"/>
  <c r="N33" i="32"/>
  <c r="N34" i="32"/>
  <c r="AY41" i="4"/>
  <c r="M47" i="70"/>
  <c r="M51" i="70"/>
  <c r="AR57" i="4"/>
  <c r="O65" i="84"/>
  <c r="O52" i="210"/>
  <c r="O53" i="210" s="1"/>
  <c r="O50" i="210"/>
  <c r="P34" i="52"/>
  <c r="P33" i="52"/>
  <c r="P52" i="22"/>
  <c r="P53" i="22" s="1"/>
  <c r="P50" i="22"/>
  <c r="AZ25" i="4"/>
  <c r="N64" i="70"/>
  <c r="N31" i="90"/>
  <c r="BI23" i="4"/>
  <c r="BH41" i="4"/>
  <c r="M51" i="90"/>
  <c r="M47" i="90"/>
  <c r="M23" i="4"/>
  <c r="M29" i="210"/>
  <c r="M32" i="210"/>
  <c r="AO57" i="4"/>
  <c r="O65" i="74"/>
  <c r="BM26" i="4"/>
  <c r="M33" i="106"/>
  <c r="BM28" i="4" s="1"/>
  <c r="M32" i="106"/>
  <c r="BM27" i="4" s="1"/>
  <c r="CB23" i="4"/>
  <c r="M31" i="116"/>
  <c r="N31" i="154"/>
  <c r="O57" i="196"/>
  <c r="O58" i="196"/>
  <c r="AH26" i="4"/>
  <c r="N33" i="48"/>
  <c r="AH28" i="4" s="1"/>
  <c r="N32" i="48"/>
  <c r="AH27" i="4" s="1"/>
  <c r="M47" i="68"/>
  <c r="AS41" i="4"/>
  <c r="M51" i="68"/>
  <c r="N32" i="208"/>
  <c r="N29" i="208"/>
  <c r="P62" i="210"/>
  <c r="P59" i="210"/>
  <c r="P60" i="210" s="1"/>
  <c r="P57" i="210"/>
  <c r="P61" i="210"/>
  <c r="P63" i="210"/>
  <c r="P56" i="210"/>
  <c r="P58" i="210"/>
  <c r="Q50" i="214"/>
  <c r="Q52" i="214"/>
  <c r="Q53" i="214" s="1"/>
  <c r="O33" i="214"/>
  <c r="O34" i="214"/>
  <c r="S26" i="4"/>
  <c r="M34" i="32"/>
  <c r="S28" i="4" s="1"/>
  <c r="M33" i="32"/>
  <c r="S27" i="4" s="1"/>
  <c r="P25" i="4"/>
  <c r="M68" i="26"/>
  <c r="P49" i="18"/>
  <c r="P55" i="18"/>
  <c r="R34" i="52"/>
  <c r="R33" i="52"/>
  <c r="O33" i="52"/>
  <c r="O34" i="52"/>
  <c r="V23" i="4"/>
  <c r="M29" i="216"/>
  <c r="M32" i="216"/>
  <c r="P34" i="216"/>
  <c r="P33" i="216"/>
  <c r="P33" i="57"/>
  <c r="P34" i="57"/>
  <c r="O57" i="212"/>
  <c r="O58" i="212"/>
  <c r="O62" i="212"/>
  <c r="O59" i="212"/>
  <c r="O60" i="212" s="1"/>
  <c r="O56" i="212"/>
  <c r="O61" i="212"/>
  <c r="O63" i="212"/>
  <c r="M33" i="208"/>
  <c r="L27" i="4" s="1"/>
  <c r="M34" i="208"/>
  <c r="L28" i="4" s="1"/>
  <c r="L26" i="4"/>
  <c r="AP57" i="4"/>
  <c r="M65" i="84"/>
  <c r="Q34" i="216"/>
  <c r="Q33" i="216"/>
  <c r="N55" i="50"/>
  <c r="N49" i="50"/>
  <c r="N58" i="118"/>
  <c r="N53" i="118"/>
  <c r="N57" i="118"/>
  <c r="N56" i="118"/>
  <c r="N55" i="118"/>
  <c r="N52" i="118"/>
  <c r="N54" i="118"/>
  <c r="N32" i="22"/>
  <c r="N29" i="22"/>
  <c r="N31" i="152"/>
  <c r="AL41" i="4"/>
  <c r="O47" i="72"/>
  <c r="O51" i="72"/>
  <c r="N46" i="148"/>
  <c r="N46" i="196"/>
  <c r="F26" i="4"/>
  <c r="M34" i="16"/>
  <c r="F28" i="4" s="1"/>
  <c r="M33" i="16"/>
  <c r="F27" i="4" s="1"/>
  <c r="CG25" i="4"/>
  <c r="CA25" i="4"/>
  <c r="O64" i="112"/>
  <c r="N33" i="57"/>
  <c r="N34" i="57"/>
  <c r="O49" i="50"/>
  <c r="O55" i="50"/>
  <c r="N34" i="18"/>
  <c r="N33" i="18"/>
  <c r="N48" i="216"/>
  <c r="Q55" i="50"/>
  <c r="Q63" i="50" s="1"/>
  <c r="Q49" i="50"/>
  <c r="Q52" i="50" s="1"/>
  <c r="Q49" i="208"/>
  <c r="Q55" i="208"/>
  <c r="N51" i="44"/>
  <c r="N47" i="44"/>
  <c r="N49" i="44" s="1"/>
  <c r="M32" i="92"/>
  <c r="M29" i="92"/>
  <c r="W41" i="4"/>
  <c r="M47" i="54"/>
  <c r="M51" i="54"/>
  <c r="P34" i="20"/>
  <c r="P33" i="20"/>
  <c r="U57" i="4"/>
  <c r="M69" i="214"/>
  <c r="N65" i="84"/>
  <c r="AQ57" i="4"/>
  <c r="O33" i="210"/>
  <c r="O34" i="210"/>
  <c r="N58" i="194"/>
  <c r="N53" i="194"/>
  <c r="N75" i="194" s="1"/>
  <c r="N55" i="194"/>
  <c r="N52" i="194"/>
  <c r="N57" i="194"/>
  <c r="N54" i="194"/>
  <c r="N56" i="194"/>
  <c r="O49" i="57"/>
  <c r="O55" i="57"/>
  <c r="M57" i="152"/>
  <c r="M58" i="152"/>
  <c r="M54" i="152"/>
  <c r="M56" i="152"/>
  <c r="M53" i="152"/>
  <c r="M55" i="152"/>
  <c r="M52" i="152"/>
  <c r="AY25" i="4"/>
  <c r="M64" i="70"/>
  <c r="AR41" i="4"/>
  <c r="O47" i="84"/>
  <c r="O51" i="84"/>
  <c r="P34" i="16"/>
  <c r="P33" i="16"/>
  <c r="O63" i="210"/>
  <c r="O61" i="210"/>
  <c r="O62" i="210"/>
  <c r="O57" i="210"/>
  <c r="O56" i="210"/>
  <c r="O58" i="210"/>
  <c r="O59" i="210"/>
  <c r="O60" i="210" s="1"/>
  <c r="CC25" i="4"/>
  <c r="N64" i="116"/>
  <c r="N34" i="20"/>
  <c r="N33" i="20"/>
  <c r="N49" i="210"/>
  <c r="N55" i="210"/>
  <c r="BH25" i="4"/>
  <c r="M64" i="90"/>
  <c r="M47" i="154"/>
  <c r="M49" i="154" s="1"/>
  <c r="M51" i="154"/>
  <c r="M25" i="4"/>
  <c r="M68" i="210"/>
  <c r="M33" i="202"/>
  <c r="M32" i="202"/>
  <c r="P29" i="212"/>
  <c r="P32" i="212"/>
  <c r="N49" i="18"/>
  <c r="N55" i="18"/>
  <c r="R48" i="212"/>
  <c r="AS25" i="4"/>
  <c r="M64" i="68"/>
  <c r="R63" i="210"/>
  <c r="R61" i="210"/>
  <c r="R62" i="210"/>
  <c r="R57" i="210"/>
  <c r="R56" i="210"/>
  <c r="R59" i="210"/>
  <c r="R60" i="210" s="1"/>
  <c r="R58" i="210"/>
  <c r="N32" i="54"/>
  <c r="X27" i="4" s="1"/>
  <c r="C13" i="155"/>
  <c r="X26" i="4"/>
  <c r="N33" i="54"/>
  <c r="X28" i="4" s="1"/>
  <c r="P52" i="210"/>
  <c r="P53" i="210" s="1"/>
  <c r="P50" i="210"/>
  <c r="Q62" i="214"/>
  <c r="Q56" i="214"/>
  <c r="Q58" i="214"/>
  <c r="Q59" i="214"/>
  <c r="Q60" i="214" s="1"/>
  <c r="Q61" i="214"/>
  <c r="Q63" i="214"/>
  <c r="Q57" i="214"/>
  <c r="N34" i="82"/>
  <c r="N33" i="82"/>
  <c r="Q48" i="212"/>
  <c r="P23" i="4"/>
  <c r="M29" i="26"/>
  <c r="M32" i="26"/>
  <c r="N68" i="52"/>
  <c r="N69" i="52" s="1"/>
  <c r="N48" i="52"/>
  <c r="O33" i="78"/>
  <c r="BG28" i="4" s="1"/>
  <c r="BG26" i="4"/>
  <c r="O32" i="78"/>
  <c r="BG27" i="4" s="1"/>
  <c r="N55" i="92"/>
  <c r="N49" i="92"/>
  <c r="N34" i="59"/>
  <c r="N33" i="59"/>
  <c r="M33" i="22"/>
  <c r="K27" i="4" s="1"/>
  <c r="M34" i="22"/>
  <c r="K28" i="4" s="1"/>
  <c r="K26" i="4"/>
  <c r="M53" i="200"/>
  <c r="M75" i="200" s="1"/>
  <c r="M52" i="200"/>
  <c r="M55" i="200"/>
  <c r="M57" i="200"/>
  <c r="M54" i="200"/>
  <c r="M56" i="200"/>
  <c r="M58" i="200"/>
  <c r="M46" i="146"/>
  <c r="N29" i="212"/>
  <c r="N32" i="212"/>
  <c r="AD42" i="4"/>
  <c r="N49" i="46"/>
  <c r="AD44" i="4" s="1"/>
  <c r="O55" i="154"/>
  <c r="O54" i="154"/>
  <c r="O52" i="154"/>
  <c r="O58" i="154"/>
  <c r="O53" i="154"/>
  <c r="O57" i="154"/>
  <c r="O56" i="154"/>
  <c r="AL26" i="4"/>
  <c r="O33" i="72"/>
  <c r="AL28" i="4" s="1"/>
  <c r="O32" i="72"/>
  <c r="AL27" i="4" s="1"/>
  <c r="BG41" i="4"/>
  <c r="O47" i="78"/>
  <c r="O51" i="78"/>
  <c r="M47" i="84"/>
  <c r="M51" i="84"/>
  <c r="AP41" i="4"/>
  <c r="K57" i="4"/>
  <c r="M69" i="22"/>
  <c r="Q49" i="52"/>
  <c r="Q55" i="52"/>
  <c r="N65" i="74"/>
  <c r="AN57" i="4"/>
  <c r="N26" i="4"/>
  <c r="M33" i="82"/>
  <c r="N27" i="4" s="1"/>
  <c r="M34" i="82"/>
  <c r="N28" i="4" s="1"/>
  <c r="O65" i="72"/>
  <c r="AL57" i="4"/>
  <c r="BK25" i="4"/>
  <c r="M69" i="160"/>
  <c r="CD25" i="4"/>
  <c r="O64" i="116"/>
  <c r="N34" i="214"/>
  <c r="N33" i="214"/>
  <c r="O47" i="200"/>
  <c r="O49" i="200" s="1"/>
  <c r="O51" i="200"/>
  <c r="O31" i="112"/>
  <c r="CG23" i="4"/>
  <c r="CA23" i="4"/>
  <c r="O34" i="26"/>
  <c r="O33" i="26"/>
  <c r="W26" i="4"/>
  <c r="M33" i="54"/>
  <c r="W28" i="4" s="1"/>
  <c r="M32" i="54"/>
  <c r="W27" i="4" s="1"/>
  <c r="O49" i="160"/>
  <c r="O55" i="160"/>
  <c r="M32" i="148"/>
  <c r="M33" i="148"/>
  <c r="BN41" i="4"/>
  <c r="N47" i="106"/>
  <c r="N51" i="106"/>
  <c r="M49" i="164"/>
  <c r="BL41" i="4"/>
  <c r="M55" i="164"/>
  <c r="AT41" i="4"/>
  <c r="N51" i="68"/>
  <c r="N47" i="68"/>
  <c r="M29" i="212"/>
  <c r="T23" i="4"/>
  <c r="M32" i="212"/>
  <c r="P49" i="57"/>
  <c r="P55" i="57"/>
  <c r="O47" i="90"/>
  <c r="BJ41" i="4"/>
  <c r="O51" i="90"/>
  <c r="AY23" i="4"/>
  <c r="M31" i="70"/>
  <c r="BW25" i="4"/>
  <c r="N64" i="110"/>
  <c r="P33" i="160"/>
  <c r="P34" i="160"/>
  <c r="CC23" i="4"/>
  <c r="N31" i="116"/>
  <c r="AZ23" i="4"/>
  <c r="N31" i="70"/>
  <c r="N49" i="32"/>
  <c r="N55" i="32"/>
  <c r="M31" i="90"/>
  <c r="BH23" i="4"/>
  <c r="O33" i="36"/>
  <c r="O34" i="36"/>
  <c r="P49" i="20"/>
  <c r="P55" i="20"/>
  <c r="O34" i="82"/>
  <c r="O33" i="82"/>
  <c r="BT41" i="4"/>
  <c r="N47" i="108"/>
  <c r="N51" i="108"/>
  <c r="AS23" i="4"/>
  <c r="M31" i="68"/>
  <c r="R52" i="210"/>
  <c r="R53" i="210" s="1"/>
  <c r="R50" i="210"/>
  <c r="AG26" i="4"/>
  <c r="M32" i="48"/>
  <c r="AG27" i="4" s="1"/>
  <c r="M33" i="48"/>
  <c r="AG28" i="4" s="1"/>
  <c r="O33" i="108"/>
  <c r="BU28" i="4" s="1"/>
  <c r="BU26" i="4"/>
  <c r="O32" i="108"/>
  <c r="BU27" i="4" s="1"/>
  <c r="M51" i="188"/>
  <c r="M47" i="188"/>
  <c r="M49" i="188" s="1"/>
  <c r="N32" i="52"/>
  <c r="N29" i="52"/>
  <c r="P52" i="32"/>
  <c r="P53" i="32" s="1"/>
  <c r="P50" i="32"/>
  <c r="N47" i="112"/>
  <c r="N51" i="112"/>
  <c r="BZ41" i="4"/>
  <c r="CF41" i="4"/>
  <c r="O49" i="82"/>
  <c r="O55" i="82"/>
  <c r="N51" i="120"/>
  <c r="N47" i="120"/>
  <c r="N49" i="120" s="1"/>
  <c r="O33" i="66"/>
  <c r="O34" i="66"/>
  <c r="N58" i="46"/>
  <c r="N55" i="46"/>
  <c r="AD49" i="4" s="1"/>
  <c r="L32" i="5" s="1"/>
  <c r="N52" i="46"/>
  <c r="AD46" i="4" s="1"/>
  <c r="N53" i="46"/>
  <c r="AD47" i="4" s="1"/>
  <c r="AD45" i="4"/>
  <c r="N56" i="46"/>
  <c r="AD50" i="4" s="1"/>
  <c r="Q66" i="92"/>
  <c r="Q67" i="92"/>
  <c r="Q65" i="92"/>
  <c r="Q64" i="92"/>
  <c r="AK49" i="4"/>
  <c r="D20" i="155"/>
  <c r="N65" i="16"/>
  <c r="N66" i="16"/>
  <c r="N64" i="16"/>
  <c r="M61" i="88"/>
  <c r="M59" i="88"/>
  <c r="M62" i="88"/>
  <c r="BB54" i="4"/>
  <c r="BB51" i="4"/>
  <c r="M60" i="88"/>
  <c r="M49" i="50"/>
  <c r="O41" i="4"/>
  <c r="M55" i="50"/>
  <c r="P65" i="92"/>
  <c r="P67" i="92"/>
  <c r="P66" i="92"/>
  <c r="P64" i="92"/>
  <c r="AQ46" i="4"/>
  <c r="F18" i="155"/>
  <c r="D18" i="155"/>
  <c r="AK46" i="4"/>
  <c r="Q64" i="104"/>
  <c r="Q65" i="104"/>
  <c r="Q66" i="104"/>
  <c r="N60" i="78"/>
  <c r="BF54" i="4"/>
  <c r="N61" i="78"/>
  <c r="BF51" i="4"/>
  <c r="N59" i="78"/>
  <c r="N62" i="78"/>
  <c r="M61" i="110"/>
  <c r="BW54" i="4"/>
  <c r="M59" i="110"/>
  <c r="M62" i="110"/>
  <c r="BV54" i="4"/>
  <c r="BV51" i="4"/>
  <c r="BX54" i="4"/>
  <c r="M60" i="110"/>
  <c r="Q45" i="4"/>
  <c r="M63" i="52"/>
  <c r="M59" i="52"/>
  <c r="Q54" i="4"/>
  <c r="M61" i="52"/>
  <c r="M62" i="52"/>
  <c r="Q50" i="4" s="1"/>
  <c r="M57" i="52"/>
  <c r="Q47" i="4" s="1"/>
  <c r="M56" i="52"/>
  <c r="Q46" i="4" s="1"/>
  <c r="M53" i="104"/>
  <c r="I44" i="4"/>
  <c r="AQ51" i="4"/>
  <c r="AQ54" i="4"/>
  <c r="D19" i="155"/>
  <c r="AK47" i="4"/>
  <c r="F51" i="4"/>
  <c r="M64" i="16"/>
  <c r="M66" i="16"/>
  <c r="M65" i="16"/>
  <c r="N62" i="114"/>
  <c r="N61" i="114"/>
  <c r="N59" i="114"/>
  <c r="BQ51" i="4"/>
  <c r="BQ54" i="4"/>
  <c r="N60" i="114"/>
  <c r="M66" i="104"/>
  <c r="I51" i="4"/>
  <c r="M64" i="104"/>
  <c r="M65" i="104"/>
  <c r="M52" i="52"/>
  <c r="Q42" i="4"/>
  <c r="M50" i="52"/>
  <c r="R64" i="24"/>
  <c r="R66" i="24"/>
  <c r="R65" i="24"/>
  <c r="M66" i="36"/>
  <c r="M65" i="36"/>
  <c r="M64" i="36"/>
  <c r="Q65" i="20"/>
  <c r="Q64" i="20"/>
  <c r="Q66" i="20"/>
  <c r="Q66" i="36"/>
  <c r="Q64" i="36"/>
  <c r="Q65" i="36"/>
  <c r="N75" i="114"/>
  <c r="BQ47" i="4"/>
  <c r="Y51" i="4"/>
  <c r="O61" i="54"/>
  <c r="O62" i="54"/>
  <c r="O59" i="54"/>
  <c r="O60" i="54"/>
  <c r="Y54" i="4"/>
  <c r="I49" i="4"/>
  <c r="C32" i="5" s="1"/>
  <c r="M60" i="104"/>
  <c r="F44" i="4"/>
  <c r="M53" i="16"/>
  <c r="Q66" i="24"/>
  <c r="Q65" i="24"/>
  <c r="Q64" i="24"/>
  <c r="AB54" i="4"/>
  <c r="AB51" i="4"/>
  <c r="O60" i="158"/>
  <c r="O61" i="158"/>
  <c r="O59" i="158"/>
  <c r="O62" i="158"/>
  <c r="O66" i="24"/>
  <c r="O64" i="24"/>
  <c r="O65" i="24"/>
  <c r="O66" i="26"/>
  <c r="O64" i="26"/>
  <c r="O65" i="26"/>
  <c r="P41" i="4"/>
  <c r="M49" i="26"/>
  <c r="M55" i="26"/>
  <c r="AQ49" i="4"/>
  <c r="F20" i="155"/>
  <c r="P65" i="36"/>
  <c r="P64" i="36"/>
  <c r="P66" i="36"/>
  <c r="O64" i="164"/>
  <c r="O66" i="164"/>
  <c r="O65" i="164"/>
  <c r="O67" i="164"/>
  <c r="N64" i="36"/>
  <c r="N66" i="36"/>
  <c r="N65" i="36"/>
  <c r="P65" i="104"/>
  <c r="P66" i="104"/>
  <c r="P64" i="104"/>
  <c r="P64" i="164"/>
  <c r="P65" i="164"/>
  <c r="P66" i="164"/>
  <c r="P67" i="164"/>
  <c r="R64" i="20"/>
  <c r="R66" i="20"/>
  <c r="R65" i="20"/>
  <c r="N59" i="158"/>
  <c r="N60" i="158"/>
  <c r="N61" i="158"/>
  <c r="AA54" i="4"/>
  <c r="AA51" i="4"/>
  <c r="N62" i="158"/>
  <c r="AQ47" i="4"/>
  <c r="F19" i="155"/>
  <c r="AK51" i="4"/>
  <c r="N61" i="72"/>
  <c r="AK54" i="4"/>
  <c r="N60" i="72"/>
  <c r="N59" i="72"/>
  <c r="N62" i="72"/>
  <c r="R66" i="36"/>
  <c r="R65" i="36"/>
  <c r="R64" i="36"/>
  <c r="O65" i="20"/>
  <c r="O64" i="20"/>
  <c r="O66" i="20"/>
  <c r="M60" i="16"/>
  <c r="F49" i="4"/>
  <c r="B32" i="5" s="1"/>
  <c r="P65" i="24"/>
  <c r="P64" i="24"/>
  <c r="P66" i="24"/>
  <c r="N64" i="57"/>
  <c r="N66" i="57"/>
  <c r="N65" i="57"/>
  <c r="M60" i="74"/>
  <c r="AM54" i="4"/>
  <c r="M59" i="74"/>
  <c r="M61" i="74"/>
  <c r="M62" i="74"/>
  <c r="AM51" i="4"/>
  <c r="R66" i="52"/>
  <c r="R64" i="52"/>
  <c r="R65" i="52"/>
  <c r="O62" i="74"/>
  <c r="O61" i="74"/>
  <c r="AO51" i="4"/>
  <c r="O60" i="74"/>
  <c r="O59" i="74"/>
  <c r="AO54" i="4"/>
  <c r="O66" i="104"/>
  <c r="O64" i="104"/>
  <c r="O65" i="104"/>
  <c r="N62" i="84" l="1"/>
  <c r="N49" i="212"/>
  <c r="M33" i="146"/>
  <c r="N52" i="164"/>
  <c r="N53" i="164" s="1"/>
  <c r="N50" i="164"/>
  <c r="N50" i="66"/>
  <c r="N52" i="66"/>
  <c r="N53" i="66" s="1"/>
  <c r="Q50" i="16"/>
  <c r="Q52" i="16"/>
  <c r="Q53" i="16" s="1"/>
  <c r="N58" i="164"/>
  <c r="N63" i="164"/>
  <c r="N62" i="164"/>
  <c r="N56" i="164"/>
  <c r="N57" i="164"/>
  <c r="N59" i="164"/>
  <c r="N60" i="164" s="1"/>
  <c r="N57" i="66"/>
  <c r="N59" i="66"/>
  <c r="N60" i="66" s="1"/>
  <c r="N63" i="66"/>
  <c r="N62" i="66"/>
  <c r="N58" i="66"/>
  <c r="N56" i="66"/>
  <c r="N61" i="84"/>
  <c r="N59" i="84"/>
  <c r="Q56" i="16"/>
  <c r="Q63" i="16"/>
  <c r="Q59" i="16"/>
  <c r="Q60" i="16" s="1"/>
  <c r="Q62" i="16"/>
  <c r="Q61" i="16"/>
  <c r="Q57" i="16"/>
  <c r="N62" i="146"/>
  <c r="N59" i="146"/>
  <c r="N60" i="146"/>
  <c r="N61" i="146"/>
  <c r="N52" i="26"/>
  <c r="N53" i="26" s="1"/>
  <c r="N50" i="26"/>
  <c r="O64" i="59"/>
  <c r="O66" i="59"/>
  <c r="O65" i="59"/>
  <c r="O62" i="198"/>
  <c r="O61" i="198"/>
  <c r="O59" i="198"/>
  <c r="O60" i="198"/>
  <c r="N57" i="192"/>
  <c r="N58" i="192"/>
  <c r="N56" i="192"/>
  <c r="CI50" i="4" s="1"/>
  <c r="N54" i="192"/>
  <c r="CI48" i="4" s="1"/>
  <c r="N53" i="192"/>
  <c r="N52" i="192"/>
  <c r="CI46" i="4" s="1"/>
  <c r="N55" i="192"/>
  <c r="CI49" i="4" s="1"/>
  <c r="K28" i="178" s="1"/>
  <c r="CI45" i="4"/>
  <c r="O62" i="92"/>
  <c r="O56" i="92"/>
  <c r="O57" i="92"/>
  <c r="O58" i="92"/>
  <c r="O59" i="92"/>
  <c r="O60" i="92" s="1"/>
  <c r="O63" i="92"/>
  <c r="O50" i="52"/>
  <c r="O52" i="52"/>
  <c r="O53" i="52" s="1"/>
  <c r="N49" i="192"/>
  <c r="CI44" i="4" s="1"/>
  <c r="CI42" i="4"/>
  <c r="M61" i="198"/>
  <c r="M59" i="198"/>
  <c r="M60" i="198"/>
  <c r="M62" i="198"/>
  <c r="O50" i="92"/>
  <c r="O52" i="92"/>
  <c r="O53" i="92" s="1"/>
  <c r="O56" i="52"/>
  <c r="O57" i="52"/>
  <c r="O61" i="52"/>
  <c r="O62" i="52"/>
  <c r="O63" i="52"/>
  <c r="O59" i="52"/>
  <c r="O60" i="52" s="1"/>
  <c r="N56" i="26"/>
  <c r="N61" i="26"/>
  <c r="N58" i="26"/>
  <c r="N59" i="26"/>
  <c r="N60" i="26" s="1"/>
  <c r="N57" i="26"/>
  <c r="N62" i="26"/>
  <c r="N63" i="26"/>
  <c r="O65" i="68"/>
  <c r="AU57" i="4"/>
  <c r="O56" i="68"/>
  <c r="AU50" i="4" s="1"/>
  <c r="AU45" i="4"/>
  <c r="O58" i="68"/>
  <c r="O57" i="68"/>
  <c r="O52" i="68"/>
  <c r="AU46" i="4" s="1"/>
  <c r="O55" i="68"/>
  <c r="AU49" i="4" s="1"/>
  <c r="O53" i="68"/>
  <c r="AU47" i="4" s="1"/>
  <c r="O54" i="68"/>
  <c r="AU48" i="4" s="1"/>
  <c r="O33" i="68"/>
  <c r="AU28" i="4" s="1"/>
  <c r="O32" i="68"/>
  <c r="AU27" i="4" s="1"/>
  <c r="AU26" i="4"/>
  <c r="AU42" i="4"/>
  <c r="O49" i="68"/>
  <c r="AU44" i="4" s="1"/>
  <c r="BZ42" i="4"/>
  <c r="CF42" i="4"/>
  <c r="N49" i="112"/>
  <c r="N33" i="116"/>
  <c r="CC28" i="4" s="1"/>
  <c r="N32" i="116"/>
  <c r="CC27" i="4" s="1"/>
  <c r="CC26" i="4"/>
  <c r="O55" i="90"/>
  <c r="BJ49" i="4" s="1"/>
  <c r="O52" i="90"/>
  <c r="BJ46" i="4" s="1"/>
  <c r="O58" i="90"/>
  <c r="O54" i="90"/>
  <c r="BJ48" i="4" s="1"/>
  <c r="O56" i="90"/>
  <c r="BJ50" i="4" s="1"/>
  <c r="BJ45" i="4"/>
  <c r="O57" i="90"/>
  <c r="O53" i="90"/>
  <c r="BJ47" i="4" s="1"/>
  <c r="AT42" i="4"/>
  <c r="N49" i="68"/>
  <c r="AT44" i="4" s="1"/>
  <c r="P26" i="4"/>
  <c r="M33" i="26"/>
  <c r="P27" i="4" s="1"/>
  <c r="M34" i="26"/>
  <c r="P28" i="4" s="1"/>
  <c r="AR45" i="4"/>
  <c r="O55" i="84"/>
  <c r="AR49" i="4" s="1"/>
  <c r="O53" i="84"/>
  <c r="AR47" i="4" s="1"/>
  <c r="O56" i="84"/>
  <c r="AR50" i="4" s="1"/>
  <c r="O58" i="84"/>
  <c r="O54" i="84"/>
  <c r="AR48" i="4" s="1"/>
  <c r="O52" i="84"/>
  <c r="AR46" i="4" s="1"/>
  <c r="N49" i="216"/>
  <c r="N55" i="216"/>
  <c r="AL42" i="4"/>
  <c r="O49" i="72"/>
  <c r="AL44" i="4" s="1"/>
  <c r="V26" i="4"/>
  <c r="M33" i="216"/>
  <c r="V27" i="4" s="1"/>
  <c r="M34" i="216"/>
  <c r="V28" i="4" s="1"/>
  <c r="P50" i="18"/>
  <c r="P52" i="18"/>
  <c r="P53" i="18" s="1"/>
  <c r="BO56" i="4"/>
  <c r="BO53" i="4"/>
  <c r="M69" i="212"/>
  <c r="T57" i="4"/>
  <c r="P62" i="212"/>
  <c r="P58" i="212"/>
  <c r="P56" i="212"/>
  <c r="P63" i="212"/>
  <c r="P59" i="212"/>
  <c r="P60" i="212" s="1"/>
  <c r="P61" i="212"/>
  <c r="P57" i="212"/>
  <c r="M62" i="210"/>
  <c r="M50" i="4" s="1"/>
  <c r="M58" i="210"/>
  <c r="M48" i="4" s="1"/>
  <c r="M54" i="4"/>
  <c r="M56" i="210"/>
  <c r="M46" i="4" s="1"/>
  <c r="M59" i="210"/>
  <c r="M63" i="210"/>
  <c r="M45" i="4"/>
  <c r="M61" i="210"/>
  <c r="M57" i="210"/>
  <c r="M47" i="4" s="1"/>
  <c r="AZ42" i="4"/>
  <c r="N49" i="70"/>
  <c r="AZ44" i="4" s="1"/>
  <c r="O61" i="216"/>
  <c r="O58" i="216"/>
  <c r="O57" i="216"/>
  <c r="O59" i="216"/>
  <c r="O60" i="216" s="1"/>
  <c r="O62" i="216"/>
  <c r="O56" i="216"/>
  <c r="O63" i="216"/>
  <c r="M50" i="208"/>
  <c r="M52" i="208"/>
  <c r="L42" i="4"/>
  <c r="M52" i="24"/>
  <c r="J42" i="4"/>
  <c r="M50" i="24"/>
  <c r="M59" i="216"/>
  <c r="V45" i="4"/>
  <c r="M62" i="216"/>
  <c r="V50" i="4" s="1"/>
  <c r="M56" i="216"/>
  <c r="V46" i="4" s="1"/>
  <c r="M57" i="216"/>
  <c r="V47" i="4" s="1"/>
  <c r="M61" i="216"/>
  <c r="M58" i="216"/>
  <c r="V48" i="4" s="1"/>
  <c r="M63" i="216"/>
  <c r="V54" i="4"/>
  <c r="M65" i="78"/>
  <c r="BE57" i="4"/>
  <c r="P52" i="26"/>
  <c r="P53" i="26" s="1"/>
  <c r="P50" i="26"/>
  <c r="M55" i="112"/>
  <c r="M52" i="112"/>
  <c r="M56" i="112"/>
  <c r="M54" i="112"/>
  <c r="BY45" i="4"/>
  <c r="M58" i="112"/>
  <c r="M53" i="112"/>
  <c r="M57" i="112"/>
  <c r="CE45" i="4"/>
  <c r="N62" i="20"/>
  <c r="N56" i="20"/>
  <c r="N59" i="20"/>
  <c r="N60" i="20" s="1"/>
  <c r="N63" i="20"/>
  <c r="N61" i="20"/>
  <c r="N57" i="20"/>
  <c r="M60" i="190"/>
  <c r="M62" i="190"/>
  <c r="M59" i="190"/>
  <c r="M61" i="190"/>
  <c r="Z42" i="4"/>
  <c r="M49" i="158"/>
  <c r="Z44" i="4" s="1"/>
  <c r="M33" i="57"/>
  <c r="H27" i="4" s="1"/>
  <c r="H26" i="4"/>
  <c r="M34" i="57"/>
  <c r="H28" i="4" s="1"/>
  <c r="BZ27" i="4"/>
  <c r="CF27" i="4"/>
  <c r="O33" i="88"/>
  <c r="BD28" i="4" s="1"/>
  <c r="O32" i="88"/>
  <c r="BD27" i="4" s="1"/>
  <c r="BD26" i="4"/>
  <c r="P58" i="66"/>
  <c r="P57" i="66"/>
  <c r="P62" i="66"/>
  <c r="P56" i="66"/>
  <c r="P63" i="66"/>
  <c r="P59" i="66"/>
  <c r="P60" i="66" s="1"/>
  <c r="O50" i="214"/>
  <c r="O52" i="214"/>
  <c r="O53" i="214" s="1"/>
  <c r="M58" i="114"/>
  <c r="M56" i="114"/>
  <c r="BP50" i="4" s="1"/>
  <c r="M54" i="114"/>
  <c r="BP48" i="4" s="1"/>
  <c r="M52" i="114"/>
  <c r="BP46" i="4" s="1"/>
  <c r="M55" i="114"/>
  <c r="BP49" i="4" s="1"/>
  <c r="M53" i="114"/>
  <c r="BP45" i="4"/>
  <c r="M57" i="114"/>
  <c r="M69" i="18"/>
  <c r="E57" i="4"/>
  <c r="BD42" i="4"/>
  <c r="O49" i="88"/>
  <c r="BD44" i="4" s="1"/>
  <c r="N50" i="214"/>
  <c r="N52" i="214"/>
  <c r="N53" i="214" s="1"/>
  <c r="H54" i="4"/>
  <c r="M62" i="57"/>
  <c r="H50" i="4" s="1"/>
  <c r="M58" i="57"/>
  <c r="H48" i="4" s="1"/>
  <c r="M63" i="57"/>
  <c r="M59" i="57"/>
  <c r="M57" i="57"/>
  <c r="H47" i="4" s="1"/>
  <c r="M61" i="57"/>
  <c r="M56" i="57"/>
  <c r="H46" i="4" s="1"/>
  <c r="H45" i="4"/>
  <c r="O57" i="18"/>
  <c r="O62" i="18"/>
  <c r="O59" i="18"/>
  <c r="O60" i="18" s="1"/>
  <c r="O63" i="18"/>
  <c r="O56" i="18"/>
  <c r="O61" i="18"/>
  <c r="P56" i="208"/>
  <c r="P62" i="208"/>
  <c r="P61" i="208"/>
  <c r="P57" i="208"/>
  <c r="P63" i="208"/>
  <c r="P59" i="208"/>
  <c r="P60" i="208" s="1"/>
  <c r="P58" i="208"/>
  <c r="N50" i="160"/>
  <c r="N52" i="160"/>
  <c r="N53" i="160" s="1"/>
  <c r="T42" i="4"/>
  <c r="M52" i="212"/>
  <c r="M50" i="212"/>
  <c r="M49" i="192"/>
  <c r="CH44" i="4" s="1"/>
  <c r="CH42" i="4"/>
  <c r="N58" i="108"/>
  <c r="N55" i="108"/>
  <c r="BT49" i="4" s="1"/>
  <c r="N56" i="108"/>
  <c r="BT50" i="4" s="1"/>
  <c r="N54" i="108"/>
  <c r="BT48" i="4" s="1"/>
  <c r="N53" i="108"/>
  <c r="BT47" i="4" s="1"/>
  <c r="N57" i="108"/>
  <c r="BT45" i="4"/>
  <c r="N52" i="108"/>
  <c r="BT46" i="4" s="1"/>
  <c r="N54" i="68"/>
  <c r="AT48" i="4" s="1"/>
  <c r="N52" i="68"/>
  <c r="AT46" i="4" s="1"/>
  <c r="N56" i="68"/>
  <c r="AT50" i="4" s="1"/>
  <c r="N53" i="68"/>
  <c r="AT47" i="4" s="1"/>
  <c r="N55" i="68"/>
  <c r="AT49" i="4" s="1"/>
  <c r="AT45" i="4"/>
  <c r="N58" i="68"/>
  <c r="N57" i="68"/>
  <c r="CD57" i="4"/>
  <c r="O65" i="116"/>
  <c r="AP45" i="4"/>
  <c r="M56" i="84"/>
  <c r="AP50" i="4" s="1"/>
  <c r="M53" i="84"/>
  <c r="AP47" i="4" s="1"/>
  <c r="M58" i="84"/>
  <c r="M54" i="84"/>
  <c r="AP48" i="4" s="1"/>
  <c r="M55" i="84"/>
  <c r="AP49" i="4" s="1"/>
  <c r="M52" i="84"/>
  <c r="AP46" i="4" s="1"/>
  <c r="N50" i="92"/>
  <c r="N52" i="92"/>
  <c r="N53" i="92" s="1"/>
  <c r="R66" i="210"/>
  <c r="R65" i="210"/>
  <c r="R64" i="210"/>
  <c r="N59" i="210"/>
  <c r="N60" i="210" s="1"/>
  <c r="N58" i="210"/>
  <c r="N63" i="210"/>
  <c r="N56" i="210"/>
  <c r="N62" i="210"/>
  <c r="N57" i="210"/>
  <c r="N61" i="210"/>
  <c r="O49" i="84"/>
  <c r="AR44" i="4" s="1"/>
  <c r="AR42" i="4"/>
  <c r="M34" i="92"/>
  <c r="M33" i="92"/>
  <c r="P57" i="4"/>
  <c r="M69" i="26"/>
  <c r="O61" i="196"/>
  <c r="O59" i="196"/>
  <c r="M56" i="148"/>
  <c r="M58" i="148"/>
  <c r="M57" i="148"/>
  <c r="M55" i="148"/>
  <c r="M52" i="148"/>
  <c r="M54" i="148"/>
  <c r="M53" i="148"/>
  <c r="CB57" i="4"/>
  <c r="M65" i="116"/>
  <c r="P64" i="22"/>
  <c r="P66" i="22"/>
  <c r="P65" i="22"/>
  <c r="O52" i="216"/>
  <c r="O53" i="216" s="1"/>
  <c r="O50" i="216"/>
  <c r="BD57" i="4"/>
  <c r="O65" i="88"/>
  <c r="N50" i="104"/>
  <c r="N52" i="104"/>
  <c r="N53" i="104" s="1"/>
  <c r="N50" i="208"/>
  <c r="N52" i="208"/>
  <c r="N53" i="208" s="1"/>
  <c r="P62" i="26"/>
  <c r="P59" i="26"/>
  <c r="P60" i="26" s="1"/>
  <c r="P57" i="26"/>
  <c r="P63" i="26"/>
  <c r="P61" i="26"/>
  <c r="P56" i="26"/>
  <c r="P58" i="26"/>
  <c r="N65" i="86"/>
  <c r="AW57" i="4"/>
  <c r="CJ57" i="4"/>
  <c r="O65" i="192"/>
  <c r="M69" i="50"/>
  <c r="O57" i="4"/>
  <c r="P52" i="66"/>
  <c r="P53" i="66" s="1"/>
  <c r="P50" i="66"/>
  <c r="BW26" i="4"/>
  <c r="N33" i="110"/>
  <c r="BW28" i="4" s="1"/>
  <c r="N32" i="110"/>
  <c r="BW27" i="4" s="1"/>
  <c r="O58" i="88"/>
  <c r="O57" i="88"/>
  <c r="O55" i="88"/>
  <c r="BD49" i="4" s="1"/>
  <c r="BD45" i="4"/>
  <c r="O56" i="88"/>
  <c r="BD50" i="4" s="1"/>
  <c r="O53" i="88"/>
  <c r="BD47" i="4" s="1"/>
  <c r="O54" i="88"/>
  <c r="BD48" i="4" s="1"/>
  <c r="O52" i="88"/>
  <c r="BD46" i="4" s="1"/>
  <c r="P66" i="32"/>
  <c r="P65" i="32"/>
  <c r="P64" i="32"/>
  <c r="X42" i="4"/>
  <c r="N49" i="54"/>
  <c r="X44" i="4" s="1"/>
  <c r="O50" i="18"/>
  <c r="O52" i="18"/>
  <c r="O53" i="18" s="1"/>
  <c r="P50" i="208"/>
  <c r="P52" i="208"/>
  <c r="P53" i="208" s="1"/>
  <c r="AH45" i="4"/>
  <c r="N56" i="48"/>
  <c r="AH50" i="4" s="1"/>
  <c r="N55" i="48"/>
  <c r="AH49" i="4" s="1"/>
  <c r="N32" i="5" s="1"/>
  <c r="N53" i="48"/>
  <c r="AH47" i="4" s="1"/>
  <c r="N52" i="48"/>
  <c r="AH46" i="4" s="1"/>
  <c r="N54" i="48"/>
  <c r="AH48" i="4" s="1"/>
  <c r="N58" i="48"/>
  <c r="N63" i="160"/>
  <c r="N62" i="160"/>
  <c r="N56" i="160"/>
  <c r="N57" i="160"/>
  <c r="N58" i="160"/>
  <c r="N59" i="160"/>
  <c r="N60" i="160" s="1"/>
  <c r="N65" i="68"/>
  <c r="AT57" i="4"/>
  <c r="Q65" i="216"/>
  <c r="Q64" i="216"/>
  <c r="Q66" i="216"/>
  <c r="O52" i="188"/>
  <c r="O54" i="188"/>
  <c r="O57" i="188"/>
  <c r="O56" i="188"/>
  <c r="O58" i="188"/>
  <c r="O53" i="188"/>
  <c r="O55" i="188"/>
  <c r="O53" i="192"/>
  <c r="O58" i="192"/>
  <c r="O56" i="192"/>
  <c r="CJ50" i="4" s="1"/>
  <c r="O55" i="192"/>
  <c r="CJ49" i="4" s="1"/>
  <c r="O52" i="192"/>
  <c r="CJ46" i="4" s="1"/>
  <c r="CJ45" i="4"/>
  <c r="O54" i="192"/>
  <c r="CJ48" i="4" s="1"/>
  <c r="O57" i="192"/>
  <c r="N54" i="88"/>
  <c r="BC48" i="4" s="1"/>
  <c r="N56" i="88"/>
  <c r="BC50" i="4" s="1"/>
  <c r="N58" i="88"/>
  <c r="BC45" i="4"/>
  <c r="N52" i="88"/>
  <c r="BC46" i="4" s="1"/>
  <c r="N53" i="88"/>
  <c r="BC47" i="4" s="1"/>
  <c r="N57" i="88"/>
  <c r="N55" i="88"/>
  <c r="BC49" i="4" s="1"/>
  <c r="D28" i="178" s="1"/>
  <c r="CD42" i="4"/>
  <c r="O49" i="116"/>
  <c r="CD44" i="4" s="1"/>
  <c r="N52" i="120"/>
  <c r="N57" i="120"/>
  <c r="N54" i="120"/>
  <c r="N56" i="120"/>
  <c r="N58" i="120"/>
  <c r="N55" i="120"/>
  <c r="N53" i="120"/>
  <c r="BT42" i="4"/>
  <c r="N49" i="108"/>
  <c r="BT44" i="4" s="1"/>
  <c r="O49" i="90"/>
  <c r="BJ44" i="4" s="1"/>
  <c r="BJ42" i="4"/>
  <c r="AP42" i="4"/>
  <c r="M49" i="84"/>
  <c r="AP44" i="4" s="1"/>
  <c r="N34" i="212"/>
  <c r="N33" i="212"/>
  <c r="N57" i="92"/>
  <c r="N56" i="92"/>
  <c r="N58" i="92"/>
  <c r="N63" i="92"/>
  <c r="N59" i="92"/>
  <c r="N60" i="92" s="1"/>
  <c r="N62" i="92"/>
  <c r="AS57" i="4"/>
  <c r="M65" i="68"/>
  <c r="N52" i="210"/>
  <c r="N53" i="210" s="1"/>
  <c r="N50" i="210"/>
  <c r="M61" i="152"/>
  <c r="M62" i="152"/>
  <c r="M59" i="152"/>
  <c r="M60" i="152"/>
  <c r="N32" i="152"/>
  <c r="N33" i="152"/>
  <c r="N34" i="208"/>
  <c r="N33" i="208"/>
  <c r="N32" i="90"/>
  <c r="BI27" i="4" s="1"/>
  <c r="N33" i="90"/>
  <c r="BI28" i="4" s="1"/>
  <c r="BI26" i="4"/>
  <c r="BO55" i="4"/>
  <c r="BO52" i="4"/>
  <c r="O61" i="36"/>
  <c r="O58" i="36"/>
  <c r="O56" i="36"/>
  <c r="O63" i="36"/>
  <c r="O59" i="36"/>
  <c r="O60" i="36" s="1"/>
  <c r="O57" i="36"/>
  <c r="O62" i="36"/>
  <c r="P50" i="160"/>
  <c r="P52" i="160"/>
  <c r="P53" i="160" s="1"/>
  <c r="N49" i="22"/>
  <c r="N55" i="22"/>
  <c r="M49" i="48"/>
  <c r="AG44" i="4" s="1"/>
  <c r="AG42" i="4"/>
  <c r="M53" i="82"/>
  <c r="N44" i="4"/>
  <c r="O54" i="112"/>
  <c r="O58" i="112"/>
  <c r="O55" i="112"/>
  <c r="CG45" i="4"/>
  <c r="O56" i="112"/>
  <c r="O57" i="112"/>
  <c r="CA45" i="4"/>
  <c r="O52" i="112"/>
  <c r="O53" i="112"/>
  <c r="N63" i="104"/>
  <c r="N59" i="104"/>
  <c r="N60" i="104" s="1"/>
  <c r="N57" i="104"/>
  <c r="N58" i="104"/>
  <c r="N62" i="104"/>
  <c r="N61" i="104"/>
  <c r="N56" i="104"/>
  <c r="O58" i="108"/>
  <c r="O56" i="108"/>
  <c r="BU50" i="4" s="1"/>
  <c r="O54" i="108"/>
  <c r="BU48" i="4" s="1"/>
  <c r="O53" i="108"/>
  <c r="BU47" i="4" s="1"/>
  <c r="O55" i="108"/>
  <c r="BU49" i="4" s="1"/>
  <c r="O52" i="108"/>
  <c r="BU46" i="4" s="1"/>
  <c r="O57" i="108"/>
  <c r="BU45" i="4"/>
  <c r="AI42" i="4"/>
  <c r="O49" i="48"/>
  <c r="AI44" i="4" s="1"/>
  <c r="P64" i="214"/>
  <c r="P65" i="214"/>
  <c r="P66" i="214"/>
  <c r="N54" i="180"/>
  <c r="N52" i="180"/>
  <c r="N53" i="180"/>
  <c r="N75" i="180" s="1"/>
  <c r="N56" i="180"/>
  <c r="N58" i="180"/>
  <c r="N57" i="180"/>
  <c r="N55" i="180"/>
  <c r="N56" i="208"/>
  <c r="N61" i="208"/>
  <c r="N58" i="208"/>
  <c r="N59" i="208"/>
  <c r="N60" i="208" s="1"/>
  <c r="N62" i="208"/>
  <c r="N63" i="208"/>
  <c r="N57" i="208"/>
  <c r="BI42" i="4"/>
  <c r="N49" i="90"/>
  <c r="BI44" i="4" s="1"/>
  <c r="M64" i="82"/>
  <c r="N51" i="4"/>
  <c r="M65" i="82"/>
  <c r="M66" i="82"/>
  <c r="N61" i="182"/>
  <c r="N62" i="182"/>
  <c r="N59" i="182"/>
  <c r="N60" i="182"/>
  <c r="O33" i="190"/>
  <c r="O32" i="190"/>
  <c r="O54" i="70"/>
  <c r="BA48" i="4" s="1"/>
  <c r="O55" i="70"/>
  <c r="BA49" i="4" s="1"/>
  <c r="O52" i="70"/>
  <c r="BA46" i="4" s="1"/>
  <c r="O53" i="70"/>
  <c r="BA47" i="4" s="1"/>
  <c r="O56" i="70"/>
  <c r="BA50" i="4" s="1"/>
  <c r="BA45" i="4"/>
  <c r="O58" i="70"/>
  <c r="O57" i="70"/>
  <c r="O65" i="32"/>
  <c r="O64" i="32"/>
  <c r="O66" i="32"/>
  <c r="N32" i="68"/>
  <c r="AT27" i="4" s="1"/>
  <c r="AT26" i="4"/>
  <c r="N33" i="68"/>
  <c r="AT28" i="4" s="1"/>
  <c r="O61" i="118"/>
  <c r="O59" i="118"/>
  <c r="O60" i="118"/>
  <c r="O62" i="118"/>
  <c r="M58" i="44"/>
  <c r="M52" i="44"/>
  <c r="M54" i="44"/>
  <c r="M56" i="44"/>
  <c r="M55" i="44"/>
  <c r="M53" i="44"/>
  <c r="N61" i="59"/>
  <c r="N56" i="59"/>
  <c r="N59" i="59"/>
  <c r="N60" i="59" s="1"/>
  <c r="N57" i="59"/>
  <c r="N62" i="59"/>
  <c r="N63" i="59"/>
  <c r="N55" i="54"/>
  <c r="N54" i="54"/>
  <c r="X48" i="4" s="1"/>
  <c r="N52" i="54"/>
  <c r="N56" i="54"/>
  <c r="X50" i="4" s="1"/>
  <c r="X45" i="4"/>
  <c r="C17" i="155"/>
  <c r="N53" i="54"/>
  <c r="N58" i="54"/>
  <c r="Q33" i="212"/>
  <c r="Q34" i="212"/>
  <c r="BT57" i="4"/>
  <c r="N65" i="108"/>
  <c r="M61" i="214"/>
  <c r="M58" i="214"/>
  <c r="U48" i="4" s="1"/>
  <c r="M63" i="214"/>
  <c r="U54" i="4"/>
  <c r="U45" i="4"/>
  <c r="M56" i="214"/>
  <c r="U46" i="4" s="1"/>
  <c r="M59" i="214"/>
  <c r="M62" i="214"/>
  <c r="U50" i="4" s="1"/>
  <c r="M57" i="214"/>
  <c r="U47" i="4" s="1"/>
  <c r="K1" i="87"/>
  <c r="K1" i="111"/>
  <c r="E54" i="4"/>
  <c r="K1" i="211"/>
  <c r="M63" i="18"/>
  <c r="K1" i="21"/>
  <c r="M59" i="18"/>
  <c r="K1" i="23"/>
  <c r="K1" i="19"/>
  <c r="K1" i="31"/>
  <c r="M62" i="18"/>
  <c r="E50" i="4" s="1"/>
  <c r="K1" i="49"/>
  <c r="K1" i="56"/>
  <c r="K1" i="153"/>
  <c r="K1" i="45"/>
  <c r="K1" i="15"/>
  <c r="K1" i="189"/>
  <c r="K1" i="207"/>
  <c r="K1" i="73"/>
  <c r="M56" i="18"/>
  <c r="E46" i="4" s="1"/>
  <c r="M57" i="18"/>
  <c r="E47" i="4" s="1"/>
  <c r="K1" i="195"/>
  <c r="K1" i="69"/>
  <c r="K1" i="53"/>
  <c r="K1" i="83"/>
  <c r="K1" i="109"/>
  <c r="K1" i="149"/>
  <c r="K1" i="159"/>
  <c r="K1" i="209"/>
  <c r="K1" i="191"/>
  <c r="E45" i="4"/>
  <c r="K1" i="65"/>
  <c r="K1" i="193"/>
  <c r="K1" i="147"/>
  <c r="K1" i="105"/>
  <c r="K1" i="58"/>
  <c r="K1" i="81"/>
  <c r="K1" i="119"/>
  <c r="K1" i="145"/>
  <c r="K1" i="85"/>
  <c r="K1" i="213"/>
  <c r="K1" i="25"/>
  <c r="K1" i="103"/>
  <c r="K1" i="163"/>
  <c r="K1" i="17"/>
  <c r="K1" i="89"/>
  <c r="M61" i="18"/>
  <c r="K1" i="115"/>
  <c r="K1" i="35"/>
  <c r="K1" i="157"/>
  <c r="K1" i="181"/>
  <c r="K1" i="187"/>
  <c r="K1" i="71"/>
  <c r="K1" i="91"/>
  <c r="K1" i="51"/>
  <c r="K1" i="67"/>
  <c r="K1" i="113"/>
  <c r="K1" i="151"/>
  <c r="K1" i="107"/>
  <c r="K1" i="215"/>
  <c r="K1" i="47"/>
  <c r="K1" i="179"/>
  <c r="K1" i="77"/>
  <c r="K1" i="197"/>
  <c r="K1" i="117"/>
  <c r="CJ42" i="4"/>
  <c r="O49" i="192"/>
  <c r="CJ44" i="4" s="1"/>
  <c r="M63" i="160"/>
  <c r="M62" i="160"/>
  <c r="BK50" i="4" s="1"/>
  <c r="M58" i="160"/>
  <c r="M59" i="160"/>
  <c r="BK45" i="4"/>
  <c r="M57" i="160"/>
  <c r="BK47" i="4" s="1"/>
  <c r="M56" i="160"/>
  <c r="BK46" i="4" s="1"/>
  <c r="O63" i="82"/>
  <c r="O58" i="82"/>
  <c r="O59" i="82"/>
  <c r="O60" i="82" s="1"/>
  <c r="O61" i="82"/>
  <c r="O56" i="82"/>
  <c r="O62" i="82"/>
  <c r="O57" i="82"/>
  <c r="M32" i="90"/>
  <c r="BH27" i="4" s="1"/>
  <c r="M33" i="90"/>
  <c r="BH28" i="4" s="1"/>
  <c r="BH26" i="4"/>
  <c r="P56" i="57"/>
  <c r="P58" i="57"/>
  <c r="P57" i="57"/>
  <c r="P61" i="57"/>
  <c r="P59" i="57"/>
  <c r="P60" i="57" s="1"/>
  <c r="P62" i="57"/>
  <c r="P63" i="57"/>
  <c r="M56" i="164"/>
  <c r="BL46" i="4" s="1"/>
  <c r="M63" i="164"/>
  <c r="M57" i="164"/>
  <c r="BL47" i="4" s="1"/>
  <c r="BL45" i="4"/>
  <c r="M58" i="164"/>
  <c r="M62" i="164"/>
  <c r="BL50" i="4" s="1"/>
  <c r="M59" i="164"/>
  <c r="O56" i="160"/>
  <c r="O63" i="160"/>
  <c r="O62" i="160"/>
  <c r="O57" i="160"/>
  <c r="O58" i="160"/>
  <c r="O59" i="160"/>
  <c r="O60" i="160" s="1"/>
  <c r="M70" i="160"/>
  <c r="BK57" i="4"/>
  <c r="O55" i="78"/>
  <c r="BG49" i="4" s="1"/>
  <c r="O58" i="78"/>
  <c r="O57" i="78"/>
  <c r="BG45" i="4"/>
  <c r="O56" i="78"/>
  <c r="BG50" i="4" s="1"/>
  <c r="O53" i="78"/>
  <c r="BG47" i="4" s="1"/>
  <c r="O52" i="78"/>
  <c r="BG46" i="4" s="1"/>
  <c r="O54" i="78"/>
  <c r="BG48" i="4" s="1"/>
  <c r="Q49" i="212"/>
  <c r="Q55" i="212"/>
  <c r="M69" i="210"/>
  <c r="M57" i="4"/>
  <c r="AY57" i="4"/>
  <c r="M65" i="70"/>
  <c r="N52" i="44"/>
  <c r="N55" i="44"/>
  <c r="N53" i="44"/>
  <c r="N58" i="44"/>
  <c r="N56" i="44"/>
  <c r="N54" i="44"/>
  <c r="O63" i="50"/>
  <c r="O58" i="50"/>
  <c r="O57" i="50"/>
  <c r="O56" i="50"/>
  <c r="O61" i="50"/>
  <c r="O62" i="50"/>
  <c r="O59" i="50"/>
  <c r="O60" i="50" s="1"/>
  <c r="N60" i="118"/>
  <c r="N59" i="118"/>
  <c r="N62" i="118"/>
  <c r="N61" i="118"/>
  <c r="M54" i="68"/>
  <c r="AS48" i="4" s="1"/>
  <c r="M56" i="68"/>
  <c r="AS50" i="4" s="1"/>
  <c r="M52" i="68"/>
  <c r="AS46" i="4" s="1"/>
  <c r="M55" i="68"/>
  <c r="AS49" i="4" s="1"/>
  <c r="M53" i="68"/>
  <c r="AS47" i="4" s="1"/>
  <c r="M58" i="68"/>
  <c r="M57" i="68"/>
  <c r="AS45" i="4"/>
  <c r="N32" i="154"/>
  <c r="N33" i="154"/>
  <c r="M34" i="210"/>
  <c r="M28" i="4" s="1"/>
  <c r="M33" i="210"/>
  <c r="M27" i="4" s="1"/>
  <c r="M26" i="4"/>
  <c r="AZ57" i="4"/>
  <c r="N65" i="70"/>
  <c r="AW26" i="4"/>
  <c r="N33" i="86"/>
  <c r="AW28" i="4" s="1"/>
  <c r="N32" i="86"/>
  <c r="AW27" i="4" s="1"/>
  <c r="O52" i="36"/>
  <c r="O53" i="36" s="1"/>
  <c r="O50" i="36"/>
  <c r="P59" i="160"/>
  <c r="P60" i="160" s="1"/>
  <c r="P63" i="160"/>
  <c r="P58" i="160"/>
  <c r="P57" i="160"/>
  <c r="P56" i="160"/>
  <c r="P62" i="160"/>
  <c r="V57" i="4"/>
  <c r="M69" i="216"/>
  <c r="AJ45" i="4"/>
  <c r="M56" i="72"/>
  <c r="AJ50" i="4" s="1"/>
  <c r="M53" i="72"/>
  <c r="AJ47" i="4" s="1"/>
  <c r="M55" i="72"/>
  <c r="AJ49" i="4" s="1"/>
  <c r="M54" i="72"/>
  <c r="AJ48" i="4" s="1"/>
  <c r="M52" i="72"/>
  <c r="AJ46" i="4" s="1"/>
  <c r="M58" i="72"/>
  <c r="M58" i="48"/>
  <c r="AG45" i="4"/>
  <c r="M56" i="48"/>
  <c r="AG50" i="4" s="1"/>
  <c r="M55" i="48"/>
  <c r="AG49" i="4" s="1"/>
  <c r="M52" i="48"/>
  <c r="AG46" i="4" s="1"/>
  <c r="M53" i="48"/>
  <c r="AG47" i="4" s="1"/>
  <c r="M54" i="48"/>
  <c r="AG48" i="4" s="1"/>
  <c r="N57" i="116"/>
  <c r="CC45" i="4"/>
  <c r="N53" i="116"/>
  <c r="CC47" i="4" s="1"/>
  <c r="N58" i="116"/>
  <c r="N55" i="116"/>
  <c r="CC49" i="4" s="1"/>
  <c r="I28" i="178" s="1"/>
  <c r="N56" i="116"/>
  <c r="CC50" i="4" s="1"/>
  <c r="N54" i="116"/>
  <c r="CC48" i="4" s="1"/>
  <c r="N52" i="116"/>
  <c r="CC46" i="4" s="1"/>
  <c r="Q66" i="210"/>
  <c r="Q65" i="210"/>
  <c r="Q64" i="210"/>
  <c r="AE52" i="4"/>
  <c r="AE55" i="4"/>
  <c r="CG42" i="4"/>
  <c r="O49" i="112"/>
  <c r="CA42" i="4"/>
  <c r="N51" i="152"/>
  <c r="N47" i="152"/>
  <c r="N49" i="152" s="1"/>
  <c r="P66" i="216"/>
  <c r="P65" i="216"/>
  <c r="P64" i="216"/>
  <c r="BU42" i="4"/>
  <c r="O49" i="108"/>
  <c r="BU44" i="4" s="1"/>
  <c r="O26" i="4"/>
  <c r="M33" i="50"/>
  <c r="O27" i="4" s="1"/>
  <c r="M34" i="50"/>
  <c r="O28" i="4" s="1"/>
  <c r="O55" i="48"/>
  <c r="AI49" i="4" s="1"/>
  <c r="O56" i="48"/>
  <c r="AI50" i="4" s="1"/>
  <c r="O53" i="48"/>
  <c r="AI47" i="4" s="1"/>
  <c r="O52" i="48"/>
  <c r="AI46" i="4" s="1"/>
  <c r="O54" i="48"/>
  <c r="AI48" i="4" s="1"/>
  <c r="O58" i="48"/>
  <c r="AI45" i="4"/>
  <c r="BP57" i="4"/>
  <c r="M65" i="114"/>
  <c r="BX26" i="4"/>
  <c r="O33" i="110"/>
  <c r="BX28" i="4" s="1"/>
  <c r="O32" i="110"/>
  <c r="BX27" i="4" s="1"/>
  <c r="N55" i="90"/>
  <c r="BI49" i="4" s="1"/>
  <c r="E28" i="178" s="1"/>
  <c r="N58" i="90"/>
  <c r="N57" i="90"/>
  <c r="BI45" i="4"/>
  <c r="N56" i="90"/>
  <c r="BI50" i="4" s="1"/>
  <c r="N54" i="90"/>
  <c r="BI48" i="4" s="1"/>
  <c r="N52" i="90"/>
  <c r="BI46" i="4" s="1"/>
  <c r="N53" i="90"/>
  <c r="BI47" i="4" s="1"/>
  <c r="N49" i="4"/>
  <c r="M60" i="82"/>
  <c r="M60" i="180"/>
  <c r="M61" i="180"/>
  <c r="M62" i="180"/>
  <c r="M59" i="180"/>
  <c r="P57" i="52"/>
  <c r="P61" i="52"/>
  <c r="P56" i="52"/>
  <c r="P62" i="52"/>
  <c r="P59" i="52"/>
  <c r="P60" i="52" s="1"/>
  <c r="P63" i="52"/>
  <c r="N66" i="82"/>
  <c r="N65" i="82"/>
  <c r="N64" i="82"/>
  <c r="M57" i="108"/>
  <c r="M58" i="108"/>
  <c r="M52" i="108"/>
  <c r="BS46" i="4" s="1"/>
  <c r="M56" i="108"/>
  <c r="BS50" i="4" s="1"/>
  <c r="BS45" i="4"/>
  <c r="M53" i="108"/>
  <c r="BS47" i="4" s="1"/>
  <c r="M55" i="108"/>
  <c r="BS49" i="4" s="1"/>
  <c r="M54" i="108"/>
  <c r="BS48" i="4" s="1"/>
  <c r="N53" i="198"/>
  <c r="N75" i="198" s="1"/>
  <c r="N55" i="198"/>
  <c r="N58" i="198"/>
  <c r="N56" i="198"/>
  <c r="N54" i="198"/>
  <c r="N57" i="198"/>
  <c r="N52" i="198"/>
  <c r="E26" i="4"/>
  <c r="M33" i="18"/>
  <c r="E27" i="4" s="1"/>
  <c r="M34" i="18"/>
  <c r="E28" i="4" s="1"/>
  <c r="M57" i="86"/>
  <c r="AV45" i="4"/>
  <c r="M53" i="86"/>
  <c r="M56" i="86"/>
  <c r="AV50" i="4" s="1"/>
  <c r="M58" i="86"/>
  <c r="M55" i="86"/>
  <c r="AV49" i="4" s="1"/>
  <c r="M54" i="86"/>
  <c r="AV48" i="4" s="1"/>
  <c r="M52" i="86"/>
  <c r="AV46" i="4" s="1"/>
  <c r="O49" i="70"/>
  <c r="BA44" i="4" s="1"/>
  <c r="BA42" i="4"/>
  <c r="BT26" i="4"/>
  <c r="N32" i="108"/>
  <c r="BT27" i="4" s="1"/>
  <c r="N33" i="108"/>
  <c r="BT28" i="4" s="1"/>
  <c r="O65" i="110"/>
  <c r="BX57" i="4"/>
  <c r="M57" i="196"/>
  <c r="M58" i="196"/>
  <c r="O56" i="22"/>
  <c r="O57" i="22"/>
  <c r="O58" i="22"/>
  <c r="O62" i="22"/>
  <c r="O59" i="22"/>
  <c r="O60" i="22" s="1"/>
  <c r="O61" i="22"/>
  <c r="O63" i="22"/>
  <c r="O57" i="194"/>
  <c r="O54" i="194"/>
  <c r="O58" i="194"/>
  <c r="O56" i="194"/>
  <c r="O55" i="194"/>
  <c r="O52" i="194"/>
  <c r="O53" i="194"/>
  <c r="O75" i="194" s="1"/>
  <c r="N50" i="59"/>
  <c r="N52" i="59"/>
  <c r="N53" i="59" s="1"/>
  <c r="M62" i="202"/>
  <c r="M59" i="202"/>
  <c r="M61" i="202"/>
  <c r="M60" i="202"/>
  <c r="AH42" i="4"/>
  <c r="N49" i="48"/>
  <c r="AH44" i="4" s="1"/>
  <c r="M52" i="214"/>
  <c r="U42" i="4"/>
  <c r="M50" i="214"/>
  <c r="N61" i="150"/>
  <c r="N60" i="150"/>
  <c r="N62" i="150"/>
  <c r="N59" i="150"/>
  <c r="E42" i="4"/>
  <c r="M50" i="18"/>
  <c r="M52" i="18"/>
  <c r="M55" i="78"/>
  <c r="BE49" i="4" s="1"/>
  <c r="M56" i="78"/>
  <c r="BE50" i="4" s="1"/>
  <c r="M52" i="78"/>
  <c r="BE46" i="4" s="1"/>
  <c r="M53" i="78"/>
  <c r="BE47" i="4" s="1"/>
  <c r="M54" i="78"/>
  <c r="BE48" i="4" s="1"/>
  <c r="M58" i="78"/>
  <c r="BE45" i="4"/>
  <c r="M57" i="78"/>
  <c r="BC42" i="4"/>
  <c r="N49" i="88"/>
  <c r="BC44" i="4" s="1"/>
  <c r="M50" i="160"/>
  <c r="BK42" i="4"/>
  <c r="M52" i="160"/>
  <c r="O50" i="82"/>
  <c r="O52" i="82"/>
  <c r="O53" i="82" s="1"/>
  <c r="N34" i="52"/>
  <c r="N33" i="52"/>
  <c r="N62" i="32"/>
  <c r="N63" i="32"/>
  <c r="N56" i="32"/>
  <c r="N61" i="32"/>
  <c r="N57" i="32"/>
  <c r="N59" i="32"/>
  <c r="N60" i="32" s="1"/>
  <c r="N65" i="110"/>
  <c r="BW57" i="4"/>
  <c r="P50" i="57"/>
  <c r="P52" i="57"/>
  <c r="P53" i="57" s="1"/>
  <c r="O50" i="160"/>
  <c r="O52" i="160"/>
  <c r="O53" i="160" s="1"/>
  <c r="CG26" i="4"/>
  <c r="O32" i="112"/>
  <c r="O33" i="112"/>
  <c r="CA26" i="4"/>
  <c r="Q62" i="52"/>
  <c r="Q59" i="52"/>
  <c r="Q60" i="52" s="1"/>
  <c r="Q63" i="52"/>
  <c r="Q61" i="52"/>
  <c r="Q57" i="52"/>
  <c r="Q56" i="52"/>
  <c r="BG42" i="4"/>
  <c r="O49" i="78"/>
  <c r="BG44" i="4" s="1"/>
  <c r="O59" i="154"/>
  <c r="O61" i="154"/>
  <c r="O60" i="154"/>
  <c r="O62" i="154"/>
  <c r="M47" i="146"/>
  <c r="M49" i="146" s="1"/>
  <c r="M51" i="146"/>
  <c r="R55" i="212"/>
  <c r="R63" i="212" s="1"/>
  <c r="R49" i="212"/>
  <c r="R52" i="212" s="1"/>
  <c r="O56" i="57"/>
  <c r="O58" i="57"/>
  <c r="O57" i="57"/>
  <c r="O61" i="57"/>
  <c r="O62" i="57"/>
  <c r="O63" i="57"/>
  <c r="O59" i="57"/>
  <c r="O60" i="57" s="1"/>
  <c r="N62" i="194"/>
  <c r="N60" i="194"/>
  <c r="N59" i="194"/>
  <c r="N61" i="194"/>
  <c r="Q63" i="208"/>
  <c r="Q58" i="208"/>
  <c r="Q56" i="208"/>
  <c r="Q59" i="208"/>
  <c r="Q60" i="208" s="1"/>
  <c r="Q57" i="208"/>
  <c r="Q61" i="208"/>
  <c r="Q62" i="208"/>
  <c r="O50" i="50"/>
  <c r="O52" i="50"/>
  <c r="O53" i="50" s="1"/>
  <c r="N33" i="22"/>
  <c r="N34" i="22"/>
  <c r="N52" i="50"/>
  <c r="N53" i="50" s="1"/>
  <c r="N50" i="50"/>
  <c r="P65" i="210"/>
  <c r="P64" i="210"/>
  <c r="P66" i="210"/>
  <c r="M33" i="116"/>
  <c r="CB28" i="4" s="1"/>
  <c r="M32" i="116"/>
  <c r="CB27" i="4" s="1"/>
  <c r="CB26" i="4"/>
  <c r="CE28" i="4"/>
  <c r="BY28" i="4"/>
  <c r="CJ26" i="4"/>
  <c r="O33" i="192"/>
  <c r="CJ28" i="4" s="1"/>
  <c r="O32" i="192"/>
  <c r="CJ27" i="4" s="1"/>
  <c r="S44" i="4"/>
  <c r="M53" i="32"/>
  <c r="M32" i="114"/>
  <c r="BP27" i="4" s="1"/>
  <c r="BP26" i="4"/>
  <c r="M33" i="114"/>
  <c r="BP28" i="4" s="1"/>
  <c r="N65" i="90"/>
  <c r="BI57" i="4"/>
  <c r="CC42" i="4"/>
  <c r="N49" i="116"/>
  <c r="CC44" i="4" s="1"/>
  <c r="M65" i="192"/>
  <c r="CH57" i="4"/>
  <c r="M60" i="32"/>
  <c r="S49" i="4"/>
  <c r="G32" i="5" s="1"/>
  <c r="M61" i="118"/>
  <c r="M60" i="118"/>
  <c r="M62" i="118"/>
  <c r="M59" i="118"/>
  <c r="M54" i="182"/>
  <c r="M53" i="182"/>
  <c r="M55" i="182"/>
  <c r="M52" i="182"/>
  <c r="M57" i="182"/>
  <c r="M58" i="182"/>
  <c r="M56" i="182"/>
  <c r="P50" i="52"/>
  <c r="P52" i="52"/>
  <c r="P53" i="52" s="1"/>
  <c r="M61" i="46"/>
  <c r="AC54" i="4"/>
  <c r="M60" i="46"/>
  <c r="M62" i="46"/>
  <c r="M59" i="46"/>
  <c r="AC51" i="4"/>
  <c r="BM42" i="4"/>
  <c r="M49" i="106"/>
  <c r="BM44" i="4" s="1"/>
  <c r="AV42" i="4"/>
  <c r="M49" i="86"/>
  <c r="AV44" i="4" s="1"/>
  <c r="N60" i="190"/>
  <c r="N62" i="190"/>
  <c r="N59" i="190"/>
  <c r="N61" i="190"/>
  <c r="O52" i="114"/>
  <c r="BR46" i="4" s="1"/>
  <c r="O56" i="114"/>
  <c r="BR50" i="4" s="1"/>
  <c r="O57" i="114"/>
  <c r="BR45" i="4"/>
  <c r="O53" i="114"/>
  <c r="O58" i="114"/>
  <c r="O55" i="114"/>
  <c r="BR49" i="4" s="1"/>
  <c r="O54" i="114"/>
  <c r="BR48" i="4" s="1"/>
  <c r="O52" i="22"/>
  <c r="O53" i="22" s="1"/>
  <c r="O50" i="22"/>
  <c r="O61" i="182"/>
  <c r="O60" i="182"/>
  <c r="O59" i="182"/>
  <c r="O62" i="182"/>
  <c r="M63" i="66"/>
  <c r="M56" i="66"/>
  <c r="M62" i="66"/>
  <c r="M59" i="66"/>
  <c r="M60" i="66" s="1"/>
  <c r="M58" i="66"/>
  <c r="M57" i="66"/>
  <c r="N33" i="148"/>
  <c r="N32" i="148"/>
  <c r="O51" i="190"/>
  <c r="O47" i="190"/>
  <c r="O49" i="190" s="1"/>
  <c r="BW45" i="4"/>
  <c r="N52" i="110"/>
  <c r="BW46" i="4" s="1"/>
  <c r="N56" i="110"/>
  <c r="BW50" i="4" s="1"/>
  <c r="N54" i="110"/>
  <c r="BW48" i="4" s="1"/>
  <c r="N53" i="110"/>
  <c r="BW47" i="4" s="1"/>
  <c r="N55" i="110"/>
  <c r="BW49" i="4" s="1"/>
  <c r="N58" i="110"/>
  <c r="N57" i="110"/>
  <c r="M49" i="78"/>
  <c r="BE44" i="4" s="1"/>
  <c r="BE42" i="4"/>
  <c r="N50" i="32"/>
  <c r="N52" i="32"/>
  <c r="N53" i="32" s="1"/>
  <c r="M34" i="212"/>
  <c r="T28" i="4" s="1"/>
  <c r="T26" i="4"/>
  <c r="M33" i="212"/>
  <c r="T27" i="4" s="1"/>
  <c r="BL42" i="4"/>
  <c r="M52" i="164"/>
  <c r="M50" i="164"/>
  <c r="O55" i="200"/>
  <c r="O57" i="200"/>
  <c r="O52" i="200"/>
  <c r="O58" i="200"/>
  <c r="O53" i="200"/>
  <c r="O75" i="200" s="1"/>
  <c r="O56" i="200"/>
  <c r="O54" i="200"/>
  <c r="Q52" i="52"/>
  <c r="Q53" i="52" s="1"/>
  <c r="Q50" i="52"/>
  <c r="M62" i="200"/>
  <c r="M59" i="200"/>
  <c r="M61" i="200"/>
  <c r="M60" i="200"/>
  <c r="N59" i="18"/>
  <c r="N60" i="18" s="1"/>
  <c r="N63" i="18"/>
  <c r="N57" i="18"/>
  <c r="N61" i="18"/>
  <c r="N56" i="18"/>
  <c r="N62" i="18"/>
  <c r="M56" i="154"/>
  <c r="M53" i="154"/>
  <c r="M57" i="154"/>
  <c r="M54" i="154"/>
  <c r="M58" i="154"/>
  <c r="M52" i="154"/>
  <c r="M55" i="154"/>
  <c r="CC57" i="4"/>
  <c r="N65" i="116"/>
  <c r="O66" i="210"/>
  <c r="O64" i="210"/>
  <c r="O65" i="210"/>
  <c r="O50" i="57"/>
  <c r="O52" i="57"/>
  <c r="O53" i="57" s="1"/>
  <c r="M55" i="54"/>
  <c r="W49" i="4" s="1"/>
  <c r="W45" i="4"/>
  <c r="M58" i="54"/>
  <c r="M54" i="54"/>
  <c r="W48" i="4" s="1"/>
  <c r="M52" i="54"/>
  <c r="W46" i="4" s="1"/>
  <c r="M53" i="54"/>
  <c r="W47" i="4" s="1"/>
  <c r="M56" i="54"/>
  <c r="W50" i="4" s="1"/>
  <c r="Q52" i="208"/>
  <c r="Q53" i="208" s="1"/>
  <c r="Q50" i="208"/>
  <c r="N51" i="196"/>
  <c r="N47" i="196"/>
  <c r="N49" i="196" s="1"/>
  <c r="N62" i="50"/>
  <c r="N61" i="50"/>
  <c r="N59" i="50"/>
  <c r="N60" i="50" s="1"/>
  <c r="N58" i="50"/>
  <c r="N63" i="50"/>
  <c r="N57" i="50"/>
  <c r="N56" i="50"/>
  <c r="O64" i="212"/>
  <c r="O66" i="212"/>
  <c r="O65" i="212"/>
  <c r="M49" i="68"/>
  <c r="AS44" i="4" s="1"/>
  <c r="AS42" i="4"/>
  <c r="M55" i="70"/>
  <c r="AY49" i="4" s="1"/>
  <c r="M53" i="70"/>
  <c r="AY47" i="4" s="1"/>
  <c r="M58" i="70"/>
  <c r="M57" i="70"/>
  <c r="AY45" i="4"/>
  <c r="M54" i="70"/>
  <c r="AY48" i="4" s="1"/>
  <c r="M52" i="70"/>
  <c r="AY46" i="4" s="1"/>
  <c r="M56" i="70"/>
  <c r="AY50" i="4" s="1"/>
  <c r="N59" i="188"/>
  <c r="N62" i="188"/>
  <c r="N61" i="188"/>
  <c r="N60" i="188"/>
  <c r="N52" i="212"/>
  <c r="N53" i="212" s="1"/>
  <c r="N50" i="212"/>
  <c r="M49" i="72"/>
  <c r="AJ44" i="4" s="1"/>
  <c r="AJ42" i="4"/>
  <c r="M55" i="194"/>
  <c r="M52" i="194"/>
  <c r="M54" i="194"/>
  <c r="M56" i="194"/>
  <c r="M57" i="194"/>
  <c r="M58" i="194"/>
  <c r="M53" i="194"/>
  <c r="M75" i="194" s="1"/>
  <c r="BC57" i="4"/>
  <c r="N65" i="88"/>
  <c r="M65" i="32"/>
  <c r="M64" i="32"/>
  <c r="S51" i="4"/>
  <c r="M66" i="32"/>
  <c r="N47" i="154"/>
  <c r="N49" i="154" s="1"/>
  <c r="N51" i="154"/>
  <c r="O57" i="180"/>
  <c r="O55" i="180"/>
  <c r="O52" i="180"/>
  <c r="O58" i="180"/>
  <c r="O56" i="180"/>
  <c r="O54" i="180"/>
  <c r="O53" i="180"/>
  <c r="O75" i="180" s="1"/>
  <c r="N33" i="88"/>
  <c r="BC28" i="4" s="1"/>
  <c r="N32" i="88"/>
  <c r="BC27" i="4" s="1"/>
  <c r="BC26" i="4"/>
  <c r="BS42" i="4"/>
  <c r="M49" i="108"/>
  <c r="BS44" i="4" s="1"/>
  <c r="R45" i="4"/>
  <c r="R54" i="4"/>
  <c r="M56" i="59"/>
  <c r="R46" i="4" s="1"/>
  <c r="M61" i="59"/>
  <c r="M63" i="59"/>
  <c r="M62" i="59"/>
  <c r="R50" i="4" s="1"/>
  <c r="M57" i="59"/>
  <c r="R47" i="4" s="1"/>
  <c r="M59" i="59"/>
  <c r="Q57" i="66"/>
  <c r="Q63" i="66"/>
  <c r="Q58" i="66"/>
  <c r="Q62" i="66"/>
  <c r="Q56" i="66"/>
  <c r="Q59" i="66"/>
  <c r="Q60" i="66" s="1"/>
  <c r="BR42" i="4"/>
  <c r="O49" i="114"/>
  <c r="BR44" i="4" s="1"/>
  <c r="N58" i="200"/>
  <c r="N56" i="200"/>
  <c r="N54" i="200"/>
  <c r="N53" i="200"/>
  <c r="N75" i="200" s="1"/>
  <c r="N52" i="200"/>
  <c r="N57" i="200"/>
  <c r="N55" i="200"/>
  <c r="K42" i="4"/>
  <c r="M50" i="22"/>
  <c r="M52" i="22"/>
  <c r="N33" i="24"/>
  <c r="N34" i="24"/>
  <c r="M50" i="66"/>
  <c r="M52" i="66"/>
  <c r="M53" i="66" s="1"/>
  <c r="N33" i="216"/>
  <c r="N34" i="216"/>
  <c r="CD26" i="4"/>
  <c r="O33" i="116"/>
  <c r="CD28" i="4" s="1"/>
  <c r="O32" i="116"/>
  <c r="CD27" i="4" s="1"/>
  <c r="P64" i="82"/>
  <c r="P65" i="82"/>
  <c r="P66" i="82"/>
  <c r="N49" i="86"/>
  <c r="AW44" i="4" s="1"/>
  <c r="AW42" i="4"/>
  <c r="M57" i="116"/>
  <c r="M56" i="116"/>
  <c r="CB50" i="4" s="1"/>
  <c r="M54" i="116"/>
  <c r="CB48" i="4" s="1"/>
  <c r="M52" i="116"/>
  <c r="CB46" i="4" s="1"/>
  <c r="M55" i="116"/>
  <c r="CB49" i="4" s="1"/>
  <c r="M53" i="116"/>
  <c r="CB47" i="4" s="1"/>
  <c r="M58" i="116"/>
  <c r="CB45" i="4"/>
  <c r="N61" i="46"/>
  <c r="N62" i="46"/>
  <c r="N60" i="46"/>
  <c r="AD51" i="4"/>
  <c r="AD54" i="4"/>
  <c r="N59" i="46"/>
  <c r="M55" i="188"/>
  <c r="M58" i="188"/>
  <c r="M56" i="188"/>
  <c r="M52" i="188"/>
  <c r="M54" i="188"/>
  <c r="M57" i="188"/>
  <c r="M53" i="188"/>
  <c r="P56" i="20"/>
  <c r="P62" i="20"/>
  <c r="P63" i="20"/>
  <c r="P57" i="20"/>
  <c r="P59" i="20"/>
  <c r="P60" i="20" s="1"/>
  <c r="P61" i="20"/>
  <c r="N32" i="70"/>
  <c r="AZ27" i="4" s="1"/>
  <c r="N33" i="70"/>
  <c r="AZ28" i="4" s="1"/>
  <c r="AZ26" i="4"/>
  <c r="AY26" i="4"/>
  <c r="M33" i="70"/>
  <c r="AY28" i="4" s="1"/>
  <c r="M32" i="70"/>
  <c r="AY27" i="4" s="1"/>
  <c r="N58" i="106"/>
  <c r="N53" i="106"/>
  <c r="BN47" i="4" s="1"/>
  <c r="BN45" i="4"/>
  <c r="N57" i="106"/>
  <c r="N56" i="106"/>
  <c r="BN50" i="4" s="1"/>
  <c r="N52" i="106"/>
  <c r="BN46" i="4" s="1"/>
  <c r="N55" i="106"/>
  <c r="BN49" i="4" s="1"/>
  <c r="G28" i="178" s="1"/>
  <c r="N54" i="106"/>
  <c r="BN48" i="4" s="1"/>
  <c r="N49" i="52"/>
  <c r="N55" i="52"/>
  <c r="N52" i="18"/>
  <c r="N53" i="18" s="1"/>
  <c r="N50" i="18"/>
  <c r="M49" i="54"/>
  <c r="W44" i="4" s="1"/>
  <c r="W42" i="4"/>
  <c r="N47" i="148"/>
  <c r="N49" i="148" s="1"/>
  <c r="N51" i="148"/>
  <c r="M49" i="90"/>
  <c r="BH44" i="4" s="1"/>
  <c r="BH42" i="4"/>
  <c r="M49" i="70"/>
  <c r="AY44" i="4" s="1"/>
  <c r="AY42" i="4"/>
  <c r="M55" i="92"/>
  <c r="M49" i="92"/>
  <c r="O57" i="16"/>
  <c r="O63" i="16"/>
  <c r="O62" i="16"/>
  <c r="O56" i="16"/>
  <c r="O61" i="16"/>
  <c r="O59" i="16"/>
  <c r="O60" i="16" s="1"/>
  <c r="N56" i="212"/>
  <c r="N57" i="212"/>
  <c r="N63" i="212"/>
  <c r="N58" i="212"/>
  <c r="N59" i="212"/>
  <c r="N60" i="212" s="1"/>
  <c r="N61" i="212"/>
  <c r="N62" i="212"/>
  <c r="M50" i="210"/>
  <c r="M52" i="210"/>
  <c r="M42" i="4"/>
  <c r="N53" i="70"/>
  <c r="AZ47" i="4" s="1"/>
  <c r="N58" i="70"/>
  <c r="AZ45" i="4"/>
  <c r="N57" i="70"/>
  <c r="N52" i="70"/>
  <c r="AZ46" i="4" s="1"/>
  <c r="N56" i="70"/>
  <c r="AZ50" i="4" s="1"/>
  <c r="N54" i="70"/>
  <c r="AZ48" i="4" s="1"/>
  <c r="N55" i="70"/>
  <c r="AZ49" i="4" s="1"/>
  <c r="P50" i="16"/>
  <c r="P52" i="16"/>
  <c r="P53" i="16" s="1"/>
  <c r="AE56" i="4"/>
  <c r="AE53" i="4"/>
  <c r="M58" i="208"/>
  <c r="L48" i="4" s="1"/>
  <c r="M57" i="208"/>
  <c r="L47" i="4" s="1"/>
  <c r="M63" i="208"/>
  <c r="M56" i="208"/>
  <c r="L46" i="4" s="1"/>
  <c r="L45" i="4"/>
  <c r="L54" i="4"/>
  <c r="M61" i="208"/>
  <c r="M59" i="208"/>
  <c r="M62" i="208"/>
  <c r="L50" i="4" s="1"/>
  <c r="O52" i="86"/>
  <c r="AX46" i="4" s="1"/>
  <c r="O58" i="86"/>
  <c r="O57" i="86"/>
  <c r="O53" i="86"/>
  <c r="AX45" i="4"/>
  <c r="O56" i="86"/>
  <c r="AX50" i="4" s="1"/>
  <c r="O54" i="86"/>
  <c r="AX48" i="4" s="1"/>
  <c r="O55" i="86"/>
  <c r="AX49" i="4" s="1"/>
  <c r="O58" i="66"/>
  <c r="O56" i="66"/>
  <c r="O59" i="66"/>
  <c r="O60" i="66" s="1"/>
  <c r="O63" i="66"/>
  <c r="O57" i="66"/>
  <c r="O62" i="66"/>
  <c r="M49" i="112"/>
  <c r="BY42" i="4"/>
  <c r="CE42" i="4"/>
  <c r="M33" i="192"/>
  <c r="CH28" i="4" s="1"/>
  <c r="CH26" i="4"/>
  <c r="M32" i="192"/>
  <c r="CH27" i="4" s="1"/>
  <c r="M56" i="158"/>
  <c r="Z50" i="4" s="1"/>
  <c r="M58" i="158"/>
  <c r="Z45" i="4"/>
  <c r="M54" i="158"/>
  <c r="Z48" i="4" s="1"/>
  <c r="M55" i="158"/>
  <c r="Z49" i="4" s="1"/>
  <c r="M52" i="158"/>
  <c r="Z46" i="4" s="1"/>
  <c r="M53" i="158"/>
  <c r="Z47" i="4" s="1"/>
  <c r="O65" i="208"/>
  <c r="O66" i="208"/>
  <c r="O64" i="208"/>
  <c r="M54" i="106"/>
  <c r="BM48" i="4" s="1"/>
  <c r="M57" i="106"/>
  <c r="M55" i="106"/>
  <c r="BM49" i="4" s="1"/>
  <c r="M52" i="106"/>
  <c r="BM46" i="4" s="1"/>
  <c r="M58" i="106"/>
  <c r="M53" i="106"/>
  <c r="BM47" i="4" s="1"/>
  <c r="M56" i="106"/>
  <c r="BM50" i="4" s="1"/>
  <c r="BM45" i="4"/>
  <c r="M50" i="59"/>
  <c r="R42" i="4"/>
  <c r="M52" i="59"/>
  <c r="N49" i="24"/>
  <c r="N55" i="24"/>
  <c r="M52" i="20"/>
  <c r="G42" i="4"/>
  <c r="M50" i="20"/>
  <c r="Q50" i="66"/>
  <c r="Q52" i="66"/>
  <c r="Q53" i="66" s="1"/>
  <c r="O52" i="148"/>
  <c r="O58" i="148"/>
  <c r="O57" i="148"/>
  <c r="O53" i="148"/>
  <c r="O54" i="148"/>
  <c r="O55" i="148"/>
  <c r="O56" i="148"/>
  <c r="K45" i="4"/>
  <c r="M58" i="22"/>
  <c r="K48" i="4" s="1"/>
  <c r="K54" i="4"/>
  <c r="M61" i="22"/>
  <c r="M63" i="22"/>
  <c r="M59" i="22"/>
  <c r="M62" i="22"/>
  <c r="K50" i="4" s="1"/>
  <c r="M56" i="22"/>
  <c r="K46" i="4" s="1"/>
  <c r="M57" i="22"/>
  <c r="K47" i="4" s="1"/>
  <c r="O60" i="202"/>
  <c r="O61" i="202"/>
  <c r="O62" i="202"/>
  <c r="O59" i="202"/>
  <c r="N58" i="74"/>
  <c r="E17" i="155"/>
  <c r="N54" i="74"/>
  <c r="AN48" i="4" s="1"/>
  <c r="N53" i="74"/>
  <c r="N56" i="74"/>
  <c r="AN50" i="4" s="1"/>
  <c r="AN45" i="4"/>
  <c r="N55" i="74"/>
  <c r="N52" i="74"/>
  <c r="N49" i="110"/>
  <c r="BW44" i="4" s="1"/>
  <c r="BW42" i="4"/>
  <c r="N55" i="86"/>
  <c r="AW49" i="4" s="1"/>
  <c r="C28" i="178" s="1"/>
  <c r="N57" i="86"/>
  <c r="AW45" i="4"/>
  <c r="N58" i="86"/>
  <c r="N53" i="86"/>
  <c r="N54" i="86"/>
  <c r="AW48" i="4" s="1"/>
  <c r="N56" i="86"/>
  <c r="AW50" i="4" s="1"/>
  <c r="N52" i="86"/>
  <c r="AW46" i="4" s="1"/>
  <c r="CH45" i="4"/>
  <c r="M58" i="192"/>
  <c r="M55" i="192"/>
  <c r="CH49" i="4" s="1"/>
  <c r="M54" i="192"/>
  <c r="CH48" i="4" s="1"/>
  <c r="M56" i="192"/>
  <c r="CH50" i="4" s="1"/>
  <c r="M52" i="192"/>
  <c r="CH46" i="4" s="1"/>
  <c r="M57" i="192"/>
  <c r="M53" i="192"/>
  <c r="M49" i="116"/>
  <c r="CB44" i="4" s="1"/>
  <c r="CB42" i="4"/>
  <c r="O49" i="110"/>
  <c r="BX44" i="4" s="1"/>
  <c r="BX42" i="4"/>
  <c r="N56" i="112"/>
  <c r="N52" i="112"/>
  <c r="N57" i="112"/>
  <c r="CF45" i="4"/>
  <c r="N54" i="112"/>
  <c r="N53" i="112"/>
  <c r="N55" i="112"/>
  <c r="N58" i="112"/>
  <c r="BZ45" i="4"/>
  <c r="AS26" i="4"/>
  <c r="M33" i="68"/>
  <c r="AS28" i="4" s="1"/>
  <c r="M32" i="68"/>
  <c r="AS27" i="4" s="1"/>
  <c r="P50" i="20"/>
  <c r="P52" i="20"/>
  <c r="P53" i="20" s="1"/>
  <c r="BN42" i="4"/>
  <c r="N49" i="106"/>
  <c r="BN44" i="4" s="1"/>
  <c r="Q66" i="214"/>
  <c r="Q65" i="214"/>
  <c r="Q64" i="214"/>
  <c r="P33" i="212"/>
  <c r="P34" i="212"/>
  <c r="BH57" i="4"/>
  <c r="M65" i="90"/>
  <c r="CG57" i="4"/>
  <c r="CA57" i="4"/>
  <c r="O65" i="112"/>
  <c r="O58" i="72"/>
  <c r="O56" i="72"/>
  <c r="AL50" i="4" s="1"/>
  <c r="O52" i="72"/>
  <c r="AL46" i="4" s="1"/>
  <c r="O53" i="72"/>
  <c r="AL47" i="4" s="1"/>
  <c r="O54" i="72"/>
  <c r="AL48" i="4" s="1"/>
  <c r="O55" i="72"/>
  <c r="AL49" i="4" s="1"/>
  <c r="AL45" i="4"/>
  <c r="P56" i="18"/>
  <c r="P59" i="18"/>
  <c r="P60" i="18" s="1"/>
  <c r="P63" i="18"/>
  <c r="P61" i="18"/>
  <c r="P62" i="18"/>
  <c r="P57" i="18"/>
  <c r="M56" i="90"/>
  <c r="BH50" i="4" s="1"/>
  <c r="M54" i="90"/>
  <c r="BH48" i="4" s="1"/>
  <c r="M53" i="90"/>
  <c r="BH47" i="4" s="1"/>
  <c r="M57" i="90"/>
  <c r="M58" i="90"/>
  <c r="M55" i="90"/>
  <c r="BH49" i="4" s="1"/>
  <c r="BH45" i="4"/>
  <c r="M52" i="90"/>
  <c r="BH46" i="4" s="1"/>
  <c r="BY27" i="4"/>
  <c r="CE27" i="4"/>
  <c r="O50" i="16"/>
  <c r="O52" i="16"/>
  <c r="O53" i="16" s="1"/>
  <c r="M32" i="78"/>
  <c r="BE27" i="4" s="1"/>
  <c r="BE26" i="4"/>
  <c r="M33" i="78"/>
  <c r="BE28" i="4" s="1"/>
  <c r="P50" i="212"/>
  <c r="P52" i="212"/>
  <c r="P53" i="212" s="1"/>
  <c r="P62" i="16"/>
  <c r="P56" i="16"/>
  <c r="P61" i="16"/>
  <c r="P59" i="16"/>
  <c r="P60" i="16" s="1"/>
  <c r="P63" i="16"/>
  <c r="P57" i="16"/>
  <c r="AX42" i="4"/>
  <c r="O49" i="86"/>
  <c r="AX44" i="4" s="1"/>
  <c r="M69" i="57"/>
  <c r="H57" i="4"/>
  <c r="J45" i="4"/>
  <c r="M61" i="24"/>
  <c r="J54" i="4"/>
  <c r="M63" i="24"/>
  <c r="M58" i="24"/>
  <c r="J48" i="4" s="1"/>
  <c r="M62" i="24"/>
  <c r="J50" i="4" s="1"/>
  <c r="M56" i="24"/>
  <c r="J46" i="4" s="1"/>
  <c r="M59" i="24"/>
  <c r="M57" i="24"/>
  <c r="J47" i="4" s="1"/>
  <c r="M52" i="216"/>
  <c r="V42" i="4"/>
  <c r="M50" i="216"/>
  <c r="O50" i="66"/>
  <c r="O52" i="66"/>
  <c r="O53" i="66" s="1"/>
  <c r="N50" i="20"/>
  <c r="N52" i="20"/>
  <c r="N53" i="20" s="1"/>
  <c r="BZ28" i="4"/>
  <c r="CF28" i="4"/>
  <c r="O56" i="214"/>
  <c r="O62" i="214"/>
  <c r="O58" i="214"/>
  <c r="O61" i="214"/>
  <c r="O57" i="214"/>
  <c r="O63" i="214"/>
  <c r="O59" i="214"/>
  <c r="O60" i="214" s="1"/>
  <c r="M49" i="114"/>
  <c r="BP44" i="4" s="1"/>
  <c r="BP42" i="4"/>
  <c r="M63" i="20"/>
  <c r="M62" i="20"/>
  <c r="G50" i="4" s="1"/>
  <c r="M61" i="20"/>
  <c r="G45" i="4"/>
  <c r="G54" i="4"/>
  <c r="M57" i="20"/>
  <c r="G47" i="4" s="1"/>
  <c r="M59" i="20"/>
  <c r="M56" i="20"/>
  <c r="G46" i="4" s="1"/>
  <c r="N57" i="214"/>
  <c r="N59" i="214"/>
  <c r="N60" i="214" s="1"/>
  <c r="N62" i="214"/>
  <c r="N61" i="214"/>
  <c r="N58" i="214"/>
  <c r="N63" i="214"/>
  <c r="N56" i="214"/>
  <c r="H42" i="4"/>
  <c r="M52" i="57"/>
  <c r="M50" i="57"/>
  <c r="O57" i="152"/>
  <c r="O52" i="152"/>
  <c r="O54" i="152"/>
  <c r="O56" i="152"/>
  <c r="O55" i="152"/>
  <c r="O58" i="152"/>
  <c r="O53" i="152"/>
  <c r="M34" i="160"/>
  <c r="BK28" i="4" s="1"/>
  <c r="M33" i="160"/>
  <c r="BK27" i="4" s="1"/>
  <c r="BK26" i="4"/>
  <c r="AN42" i="4"/>
  <c r="N49" i="74"/>
  <c r="AN44" i="4" s="1"/>
  <c r="M57" i="212"/>
  <c r="T47" i="4" s="1"/>
  <c r="M59" i="212"/>
  <c r="T45" i="4"/>
  <c r="M61" i="212"/>
  <c r="M62" i="212"/>
  <c r="T50" i="4" s="1"/>
  <c r="M56" i="212"/>
  <c r="T46" i="4" s="1"/>
  <c r="M63" i="212"/>
  <c r="M58" i="212"/>
  <c r="T48" i="4" s="1"/>
  <c r="T54" i="4"/>
  <c r="O56" i="116"/>
  <c r="CD50" i="4" s="1"/>
  <c r="O57" i="116"/>
  <c r="O53" i="116"/>
  <c r="CD47" i="4" s="1"/>
  <c r="O54" i="116"/>
  <c r="CD48" i="4" s="1"/>
  <c r="O52" i="116"/>
  <c r="CD46" i="4" s="1"/>
  <c r="O55" i="116"/>
  <c r="CD49" i="4" s="1"/>
  <c r="O58" i="116"/>
  <c r="CD45" i="4"/>
  <c r="O52" i="110"/>
  <c r="BX46" i="4" s="1"/>
  <c r="O55" i="110"/>
  <c r="BX49" i="4" s="1"/>
  <c r="O53" i="110"/>
  <c r="BX47" i="4" s="1"/>
  <c r="O57" i="110"/>
  <c r="BX45" i="4"/>
  <c r="O56" i="110"/>
  <c r="BX50" i="4" s="1"/>
  <c r="O58" i="110"/>
  <c r="O54" i="110"/>
  <c r="BX48" i="4" s="1"/>
  <c r="AM53" i="4"/>
  <c r="AM56" i="4"/>
  <c r="AM52" i="4"/>
  <c r="AM55" i="4"/>
  <c r="I55" i="4"/>
  <c r="I52" i="4"/>
  <c r="F55" i="4"/>
  <c r="F52" i="4"/>
  <c r="BV56" i="4"/>
  <c r="BV53" i="4"/>
  <c r="BW56" i="4"/>
  <c r="BX56" i="4"/>
  <c r="BB53" i="4"/>
  <c r="BB56" i="4"/>
  <c r="F53" i="4"/>
  <c r="F56" i="4"/>
  <c r="AO55" i="4"/>
  <c r="AO52" i="4"/>
  <c r="Y55" i="4"/>
  <c r="Y52" i="4"/>
  <c r="BF52" i="4"/>
  <c r="BF55" i="4"/>
  <c r="O45" i="4"/>
  <c r="M63" i="50"/>
  <c r="M58" i="50"/>
  <c r="O48" i="4" s="1"/>
  <c r="O54" i="4"/>
  <c r="M59" i="50"/>
  <c r="M56" i="50"/>
  <c r="O46" i="4" s="1"/>
  <c r="M61" i="50"/>
  <c r="M57" i="50"/>
  <c r="O47" i="4" s="1"/>
  <c r="M62" i="50"/>
  <c r="O50" i="4" s="1"/>
  <c r="AO53" i="4"/>
  <c r="AO56" i="4"/>
  <c r="AA55" i="4"/>
  <c r="AA52" i="4"/>
  <c r="I53" i="4"/>
  <c r="I56" i="4"/>
  <c r="AQ55" i="4"/>
  <c r="AQ52" i="4"/>
  <c r="AB53" i="4"/>
  <c r="AB56" i="4"/>
  <c r="BQ56" i="4"/>
  <c r="BQ53" i="4"/>
  <c r="BW55" i="4"/>
  <c r="BX55" i="4"/>
  <c r="BV52" i="4"/>
  <c r="BV55" i="4"/>
  <c r="M52" i="50"/>
  <c r="M50" i="50"/>
  <c r="O42" i="4"/>
  <c r="AK56" i="4"/>
  <c r="AK53" i="4"/>
  <c r="M53" i="52"/>
  <c r="Q44" i="4"/>
  <c r="AQ56" i="4"/>
  <c r="AQ53" i="4"/>
  <c r="BF56" i="4"/>
  <c r="BF53" i="4"/>
  <c r="BB52" i="4"/>
  <c r="BB55" i="4"/>
  <c r="AK55" i="4"/>
  <c r="AK52" i="4"/>
  <c r="M50" i="26"/>
  <c r="P42" i="4"/>
  <c r="M52" i="26"/>
  <c r="M60" i="52"/>
  <c r="Q49" i="4"/>
  <c r="I32" i="5" s="1"/>
  <c r="Y53" i="4"/>
  <c r="Y56" i="4"/>
  <c r="M58" i="26"/>
  <c r="P48" i="4" s="1"/>
  <c r="M63" i="26"/>
  <c r="M57" i="26"/>
  <c r="P47" i="4" s="1"/>
  <c r="P45" i="4"/>
  <c r="P54" i="4"/>
  <c r="M61" i="26"/>
  <c r="M59" i="26"/>
  <c r="M56" i="26"/>
  <c r="P46" i="4" s="1"/>
  <c r="M62" i="26"/>
  <c r="P50" i="4" s="1"/>
  <c r="AA56" i="4"/>
  <c r="AA53" i="4"/>
  <c r="AB55" i="4"/>
  <c r="AB52" i="4"/>
  <c r="BQ52" i="4"/>
  <c r="BQ55" i="4"/>
  <c r="M66" i="52"/>
  <c r="M65" i="52"/>
  <c r="M64" i="52"/>
  <c r="Q51" i="4"/>
  <c r="O66" i="92" l="1"/>
  <c r="O67" i="92"/>
  <c r="O65" i="92"/>
  <c r="O64" i="92"/>
  <c r="N64" i="26"/>
  <c r="N66" i="26"/>
  <c r="N65" i="26"/>
  <c r="O65" i="52"/>
  <c r="O64" i="52"/>
  <c r="O66" i="52"/>
  <c r="N75" i="192"/>
  <c r="CI47" i="4"/>
  <c r="N62" i="192"/>
  <c r="N61" i="192"/>
  <c r="N60" i="192"/>
  <c r="N59" i="192"/>
  <c r="CI54" i="4"/>
  <c r="CI51" i="4"/>
  <c r="N66" i="164"/>
  <c r="N64" i="164"/>
  <c r="N65" i="164"/>
  <c r="N67" i="164"/>
  <c r="N65" i="66"/>
  <c r="N67" i="66"/>
  <c r="N64" i="66"/>
  <c r="N66" i="66"/>
  <c r="Q66" i="16"/>
  <c r="Q65" i="16"/>
  <c r="Q64" i="16"/>
  <c r="O62" i="68"/>
  <c r="O60" i="68"/>
  <c r="O61" i="68"/>
  <c r="AU54" i="4"/>
  <c r="AU51" i="4"/>
  <c r="O59" i="68"/>
  <c r="M60" i="212"/>
  <c r="T49" i="4"/>
  <c r="J32" i="5" s="1"/>
  <c r="O60" i="152"/>
  <c r="O62" i="152"/>
  <c r="O59" i="152"/>
  <c r="O61" i="152"/>
  <c r="P66" i="16"/>
  <c r="P64" i="16"/>
  <c r="P65" i="16"/>
  <c r="CF48" i="4"/>
  <c r="BZ48" i="4"/>
  <c r="BY44" i="4"/>
  <c r="CE44" i="4"/>
  <c r="L49" i="4"/>
  <c r="M60" i="208"/>
  <c r="N56" i="52"/>
  <c r="N61" i="52"/>
  <c r="N63" i="52"/>
  <c r="N57" i="52"/>
  <c r="N62" i="52"/>
  <c r="N59" i="52"/>
  <c r="N60" i="52" s="1"/>
  <c r="AD55" i="4"/>
  <c r="AD52" i="4"/>
  <c r="M61" i="194"/>
  <c r="M62" i="194"/>
  <c r="M59" i="194"/>
  <c r="M60" i="194"/>
  <c r="Q65" i="52"/>
  <c r="Q64" i="52"/>
  <c r="Q66" i="52"/>
  <c r="M61" i="86"/>
  <c r="AV54" i="4"/>
  <c r="AV51" i="4"/>
  <c r="M60" i="86"/>
  <c r="M59" i="86"/>
  <c r="M62" i="86"/>
  <c r="N62" i="116"/>
  <c r="CC54" i="4"/>
  <c r="N61" i="116"/>
  <c r="N59" i="116"/>
  <c r="CC51" i="4"/>
  <c r="N60" i="116"/>
  <c r="P64" i="160"/>
  <c r="P66" i="160"/>
  <c r="P65" i="160"/>
  <c r="P67" i="160"/>
  <c r="AS54" i="4"/>
  <c r="AS51" i="4"/>
  <c r="M60" i="68"/>
  <c r="M62" i="68"/>
  <c r="M59" i="68"/>
  <c r="M61" i="68"/>
  <c r="O66" i="50"/>
  <c r="O64" i="50"/>
  <c r="O65" i="50"/>
  <c r="BK49" i="4"/>
  <c r="M60" i="160"/>
  <c r="E49" i="4"/>
  <c r="M60" i="18"/>
  <c r="N53" i="4"/>
  <c r="N56" i="4"/>
  <c r="O62" i="108"/>
  <c r="BU53" i="4" s="1"/>
  <c r="O61" i="108"/>
  <c r="BU51" i="4"/>
  <c r="O59" i="108"/>
  <c r="O60" i="108"/>
  <c r="BU52" i="4" s="1"/>
  <c r="CG47" i="4"/>
  <c r="CA47" i="4"/>
  <c r="CA48" i="4"/>
  <c r="CG48" i="4"/>
  <c r="P64" i="26"/>
  <c r="P66" i="26"/>
  <c r="P65" i="26"/>
  <c r="M53" i="212"/>
  <c r="T44" i="4"/>
  <c r="N65" i="20"/>
  <c r="N66" i="20"/>
  <c r="N64" i="20"/>
  <c r="O66" i="216"/>
  <c r="O64" i="216"/>
  <c r="O65" i="216"/>
  <c r="O59" i="84"/>
  <c r="O60" i="84"/>
  <c r="AR51" i="4"/>
  <c r="O62" i="84"/>
  <c r="O61" i="84"/>
  <c r="AR54" i="4"/>
  <c r="G49" i="4"/>
  <c r="M60" i="20"/>
  <c r="M53" i="216"/>
  <c r="V44" i="4"/>
  <c r="M60" i="90"/>
  <c r="BH51" i="4"/>
  <c r="BH54" i="4"/>
  <c r="M62" i="90"/>
  <c r="M61" i="90"/>
  <c r="M59" i="90"/>
  <c r="P66" i="18"/>
  <c r="P65" i="18"/>
  <c r="P64" i="18"/>
  <c r="M75" i="192"/>
  <c r="CH47" i="4"/>
  <c r="M61" i="158"/>
  <c r="Z54" i="4"/>
  <c r="M62" i="158"/>
  <c r="M59" i="158"/>
  <c r="M60" i="158"/>
  <c r="Z51" i="4"/>
  <c r="N50" i="52"/>
  <c r="N52" i="52"/>
  <c r="N53" i="52" s="1"/>
  <c r="N62" i="106"/>
  <c r="BN54" i="4"/>
  <c r="BN51" i="4"/>
  <c r="N59" i="106"/>
  <c r="N61" i="106"/>
  <c r="N60" i="106"/>
  <c r="AD56" i="4"/>
  <c r="AD53" i="4"/>
  <c r="M53" i="22"/>
  <c r="K44" i="4"/>
  <c r="Q64" i="66"/>
  <c r="Q66" i="66"/>
  <c r="Q67" i="66"/>
  <c r="Q65" i="66"/>
  <c r="S56" i="4"/>
  <c r="S53" i="4"/>
  <c r="BW51" i="4"/>
  <c r="N59" i="110"/>
  <c r="N61" i="110"/>
  <c r="N62" i="110"/>
  <c r="BW53" i="4" s="1"/>
  <c r="N60" i="110"/>
  <c r="BW52" i="4" s="1"/>
  <c r="O55" i="190"/>
  <c r="O53" i="190"/>
  <c r="O57" i="190"/>
  <c r="O52" i="190"/>
  <c r="O56" i="190"/>
  <c r="O58" i="190"/>
  <c r="O54" i="190"/>
  <c r="M65" i="66"/>
  <c r="M64" i="66"/>
  <c r="M66" i="66"/>
  <c r="M67" i="66"/>
  <c r="M62" i="182"/>
  <c r="M60" i="182"/>
  <c r="M61" i="182"/>
  <c r="M59" i="182"/>
  <c r="N64" i="32"/>
  <c r="N65" i="32"/>
  <c r="N66" i="32"/>
  <c r="BK54" i="4"/>
  <c r="BK48" i="4"/>
  <c r="M60" i="214"/>
  <c r="U49" i="4"/>
  <c r="K32" i="5" s="1"/>
  <c r="C18" i="155"/>
  <c r="X46" i="4"/>
  <c r="N55" i="4"/>
  <c r="N52" i="4"/>
  <c r="CA46" i="4"/>
  <c r="CG46" i="4"/>
  <c r="N60" i="120"/>
  <c r="N61" i="120"/>
  <c r="N59" i="120"/>
  <c r="N62" i="120"/>
  <c r="N67" i="160"/>
  <c r="N64" i="160"/>
  <c r="N66" i="160"/>
  <c r="N65" i="160"/>
  <c r="O62" i="88"/>
  <c r="O61" i="88"/>
  <c r="O59" i="88"/>
  <c r="BD51" i="4"/>
  <c r="O60" i="88"/>
  <c r="BD54" i="4"/>
  <c r="CE48" i="4"/>
  <c r="BY48" i="4"/>
  <c r="V49" i="4"/>
  <c r="M60" i="216"/>
  <c r="O59" i="110"/>
  <c r="BX51" i="4"/>
  <c r="O60" i="110"/>
  <c r="BX52" i="4" s="1"/>
  <c r="O62" i="110"/>
  <c r="BX53" i="4" s="1"/>
  <c r="O61" i="110"/>
  <c r="CD54" i="4"/>
  <c r="O61" i="116"/>
  <c r="O62" i="116"/>
  <c r="O60" i="116"/>
  <c r="O59" i="116"/>
  <c r="CD51" i="4"/>
  <c r="N64" i="214"/>
  <c r="N66" i="214"/>
  <c r="N65" i="214"/>
  <c r="O61" i="72"/>
  <c r="AL51" i="4"/>
  <c r="O59" i="72"/>
  <c r="AL54" i="4"/>
  <c r="O60" i="72"/>
  <c r="O62" i="72"/>
  <c r="N61" i="74"/>
  <c r="AN51" i="4"/>
  <c r="N60" i="74"/>
  <c r="N62" i="74"/>
  <c r="AN54" i="4"/>
  <c r="N59" i="74"/>
  <c r="K49" i="4"/>
  <c r="D32" i="5" s="1"/>
  <c r="M60" i="22"/>
  <c r="N59" i="70"/>
  <c r="N61" i="70"/>
  <c r="AZ51" i="4"/>
  <c r="AZ54" i="4"/>
  <c r="N62" i="70"/>
  <c r="N60" i="70"/>
  <c r="O65" i="16"/>
  <c r="O66" i="16"/>
  <c r="O64" i="16"/>
  <c r="N55" i="148"/>
  <c r="N57" i="148"/>
  <c r="N53" i="148"/>
  <c r="N54" i="148"/>
  <c r="N52" i="148"/>
  <c r="N58" i="148"/>
  <c r="N56" i="148"/>
  <c r="N61" i="200"/>
  <c r="N60" i="200"/>
  <c r="N59" i="200"/>
  <c r="N62" i="200"/>
  <c r="W54" i="4"/>
  <c r="M61" i="54"/>
  <c r="M62" i="54"/>
  <c r="M59" i="54"/>
  <c r="M60" i="54"/>
  <c r="W51" i="4"/>
  <c r="O59" i="200"/>
  <c r="O62" i="200"/>
  <c r="O61" i="200"/>
  <c r="O60" i="200"/>
  <c r="O61" i="114"/>
  <c r="BR54" i="4"/>
  <c r="BR51" i="4"/>
  <c r="O62" i="114"/>
  <c r="O59" i="114"/>
  <c r="O60" i="114"/>
  <c r="AC53" i="4"/>
  <c r="AC56" i="4"/>
  <c r="O61" i="194"/>
  <c r="O60" i="194"/>
  <c r="O59" i="194"/>
  <c r="O62" i="194"/>
  <c r="M75" i="86"/>
  <c r="AV47" i="4"/>
  <c r="P65" i="52"/>
  <c r="P66" i="52"/>
  <c r="P64" i="52"/>
  <c r="M62" i="48"/>
  <c r="M61" i="48"/>
  <c r="M59" i="48"/>
  <c r="AG51" i="4"/>
  <c r="AG54" i="4"/>
  <c r="M60" i="48"/>
  <c r="M64" i="164"/>
  <c r="M65" i="164"/>
  <c r="BL56" i="4"/>
  <c r="M67" i="164"/>
  <c r="BL53" i="4" s="1"/>
  <c r="M66" i="164"/>
  <c r="BL51" i="4"/>
  <c r="E51" i="4"/>
  <c r="M66" i="18"/>
  <c r="M64" i="18"/>
  <c r="M65" i="18"/>
  <c r="O60" i="188"/>
  <c r="O59" i="188"/>
  <c r="O62" i="188"/>
  <c r="O61" i="188"/>
  <c r="N60" i="48"/>
  <c r="AH51" i="4"/>
  <c r="AH54" i="4"/>
  <c r="N59" i="48"/>
  <c r="N61" i="48"/>
  <c r="N62" i="48"/>
  <c r="BP47" i="4"/>
  <c r="M75" i="114"/>
  <c r="BY50" i="4"/>
  <c r="CE50" i="4"/>
  <c r="V51" i="4"/>
  <c r="M66" i="216"/>
  <c r="M65" i="216"/>
  <c r="M64" i="216"/>
  <c r="M65" i="212"/>
  <c r="M64" i="212"/>
  <c r="T51" i="4"/>
  <c r="M66" i="212"/>
  <c r="O66" i="214"/>
  <c r="O65" i="214"/>
  <c r="O64" i="214"/>
  <c r="M60" i="24"/>
  <c r="J49" i="4"/>
  <c r="E32" i="5" s="1"/>
  <c r="BZ46" i="4"/>
  <c r="CF46" i="4"/>
  <c r="E18" i="155"/>
  <c r="AN46" i="4"/>
  <c r="M66" i="22"/>
  <c r="M65" i="22"/>
  <c r="K51" i="4"/>
  <c r="M64" i="22"/>
  <c r="M53" i="20"/>
  <c r="G44" i="4"/>
  <c r="O65" i="66"/>
  <c r="O67" i="66"/>
  <c r="O66" i="66"/>
  <c r="O64" i="66"/>
  <c r="AX47" i="4"/>
  <c r="O75" i="86"/>
  <c r="N66" i="212"/>
  <c r="N65" i="212"/>
  <c r="N64" i="212"/>
  <c r="P65" i="20"/>
  <c r="P64" i="20"/>
  <c r="P66" i="20"/>
  <c r="M59" i="188"/>
  <c r="M62" i="188"/>
  <c r="M60" i="188"/>
  <c r="M61" i="188"/>
  <c r="M60" i="59"/>
  <c r="R49" i="4"/>
  <c r="F32" i="5" s="1"/>
  <c r="O62" i="180"/>
  <c r="O60" i="180"/>
  <c r="O61" i="180"/>
  <c r="O59" i="180"/>
  <c r="AY51" i="4"/>
  <c r="AY54" i="4"/>
  <c r="M60" i="70"/>
  <c r="M61" i="70"/>
  <c r="M62" i="70"/>
  <c r="M59" i="70"/>
  <c r="N57" i="196"/>
  <c r="N58" i="196"/>
  <c r="O75" i="114"/>
  <c r="BR47" i="4"/>
  <c r="AC52" i="4"/>
  <c r="AC55" i="4"/>
  <c r="N58" i="152"/>
  <c r="N54" i="152"/>
  <c r="N52" i="152"/>
  <c r="N55" i="152"/>
  <c r="N56" i="152"/>
  <c r="N57" i="152"/>
  <c r="N53" i="152"/>
  <c r="AJ54" i="4"/>
  <c r="M59" i="72"/>
  <c r="AJ51" i="4"/>
  <c r="M62" i="72"/>
  <c r="M60" i="72"/>
  <c r="M61" i="72"/>
  <c r="N61" i="44"/>
  <c r="N60" i="44"/>
  <c r="N62" i="44"/>
  <c r="N59" i="44"/>
  <c r="Q61" i="212"/>
  <c r="Q57" i="212"/>
  <c r="Q62" i="212"/>
  <c r="Q59" i="212"/>
  <c r="Q60" i="212" s="1"/>
  <c r="Q63" i="212"/>
  <c r="Q58" i="212"/>
  <c r="Q56" i="212"/>
  <c r="O60" i="78"/>
  <c r="O61" i="78"/>
  <c r="O59" i="78"/>
  <c r="BG51" i="4"/>
  <c r="BG54" i="4"/>
  <c r="O62" i="78"/>
  <c r="O66" i="160"/>
  <c r="O64" i="160"/>
  <c r="O67" i="160"/>
  <c r="O65" i="160"/>
  <c r="M65" i="160"/>
  <c r="BK56" i="4"/>
  <c r="M64" i="160"/>
  <c r="BK51" i="4"/>
  <c r="M66" i="160"/>
  <c r="M67" i="160"/>
  <c r="BK53" i="4" s="1"/>
  <c r="X49" i="4"/>
  <c r="M32" i="5" s="1"/>
  <c r="C20" i="155"/>
  <c r="BA51" i="4"/>
  <c r="O61" i="70"/>
  <c r="O60" i="70"/>
  <c r="O62" i="70"/>
  <c r="O59" i="70"/>
  <c r="BA54" i="4"/>
  <c r="N64" i="92"/>
  <c r="N66" i="92"/>
  <c r="N67" i="92"/>
  <c r="N65" i="92"/>
  <c r="P66" i="66"/>
  <c r="P65" i="66"/>
  <c r="P67" i="66"/>
  <c r="P64" i="66"/>
  <c r="CE46" i="4"/>
  <c r="BY46" i="4"/>
  <c r="BZ50" i="4"/>
  <c r="CF50" i="4"/>
  <c r="N75" i="86"/>
  <c r="AW47" i="4"/>
  <c r="E20" i="155"/>
  <c r="AN49" i="4"/>
  <c r="N62" i="24"/>
  <c r="N56" i="24"/>
  <c r="N61" i="24"/>
  <c r="N58" i="24"/>
  <c r="N59" i="24"/>
  <c r="N60" i="24" s="1"/>
  <c r="N57" i="24"/>
  <c r="N63" i="24"/>
  <c r="BM51" i="4"/>
  <c r="M62" i="106"/>
  <c r="M59" i="106"/>
  <c r="BM54" i="4"/>
  <c r="M60" i="106"/>
  <c r="M61" i="106"/>
  <c r="M50" i="92"/>
  <c r="M52" i="92"/>
  <c r="M53" i="92" s="1"/>
  <c r="M61" i="116"/>
  <c r="M59" i="116"/>
  <c r="CB54" i="4"/>
  <c r="M60" i="116"/>
  <c r="M62" i="116"/>
  <c r="CB51" i="4"/>
  <c r="S52" i="4"/>
  <c r="S55" i="4"/>
  <c r="CG28" i="4"/>
  <c r="CA28" i="4"/>
  <c r="E44" i="4"/>
  <c r="M53" i="18"/>
  <c r="M59" i="196"/>
  <c r="M61" i="196"/>
  <c r="N62" i="198"/>
  <c r="N61" i="198"/>
  <c r="N59" i="198"/>
  <c r="N60" i="198"/>
  <c r="BI51" i="4"/>
  <c r="N60" i="90"/>
  <c r="N59" i="90"/>
  <c r="BI54" i="4"/>
  <c r="N62" i="90"/>
  <c r="N61" i="90"/>
  <c r="AI51" i="4"/>
  <c r="AI54" i="4"/>
  <c r="O59" i="48"/>
  <c r="O60" i="48"/>
  <c r="O62" i="48"/>
  <c r="O61" i="48"/>
  <c r="Q52" i="212"/>
  <c r="Q53" i="212" s="1"/>
  <c r="Q50" i="212"/>
  <c r="P64" i="57"/>
  <c r="P65" i="57"/>
  <c r="P66" i="57"/>
  <c r="O65" i="82"/>
  <c r="O64" i="82"/>
  <c r="O66" i="82"/>
  <c r="X51" i="4"/>
  <c r="N59" i="54"/>
  <c r="N61" i="54"/>
  <c r="N60" i="54"/>
  <c r="X54" i="4"/>
  <c r="N62" i="54"/>
  <c r="N64" i="59"/>
  <c r="N66" i="59"/>
  <c r="N65" i="59"/>
  <c r="CG50" i="4"/>
  <c r="CA50" i="4"/>
  <c r="O65" i="36"/>
  <c r="O66" i="36"/>
  <c r="O64" i="36"/>
  <c r="N65" i="210"/>
  <c r="N64" i="210"/>
  <c r="N66" i="210"/>
  <c r="N62" i="108"/>
  <c r="BT53" i="4" s="1"/>
  <c r="BT51" i="4"/>
  <c r="N59" i="108"/>
  <c r="N61" i="108"/>
  <c r="N60" i="108"/>
  <c r="BT52" i="4" s="1"/>
  <c r="BY49" i="4"/>
  <c r="CE49" i="4"/>
  <c r="J44" i="4"/>
  <c r="M53" i="24"/>
  <c r="M51" i="4"/>
  <c r="M66" i="210"/>
  <c r="M64" i="210"/>
  <c r="M65" i="210"/>
  <c r="N59" i="216"/>
  <c r="N60" i="216" s="1"/>
  <c r="N61" i="216"/>
  <c r="N58" i="216"/>
  <c r="N62" i="216"/>
  <c r="N57" i="216"/>
  <c r="N63" i="216"/>
  <c r="N56" i="216"/>
  <c r="N61" i="112"/>
  <c r="N62" i="112"/>
  <c r="N60" i="112"/>
  <c r="CF54" i="4"/>
  <c r="CF51" i="4"/>
  <c r="N59" i="112"/>
  <c r="BZ51" i="4"/>
  <c r="N61" i="86"/>
  <c r="AW51" i="4"/>
  <c r="N62" i="86"/>
  <c r="AW54" i="4"/>
  <c r="N60" i="86"/>
  <c r="N59" i="86"/>
  <c r="O62" i="148"/>
  <c r="O61" i="148"/>
  <c r="O59" i="148"/>
  <c r="O60" i="148"/>
  <c r="N52" i="24"/>
  <c r="N53" i="24" s="1"/>
  <c r="N50" i="24"/>
  <c r="O61" i="86"/>
  <c r="AX51" i="4"/>
  <c r="O60" i="86"/>
  <c r="O59" i="86"/>
  <c r="AX54" i="4"/>
  <c r="O62" i="86"/>
  <c r="L51" i="4"/>
  <c r="M64" i="208"/>
  <c r="M65" i="208"/>
  <c r="M66" i="208"/>
  <c r="M44" i="4"/>
  <c r="M53" i="210"/>
  <c r="M62" i="92"/>
  <c r="M63" i="92"/>
  <c r="M56" i="92"/>
  <c r="M58" i="92"/>
  <c r="M59" i="92"/>
  <c r="M60" i="92" s="1"/>
  <c r="M57" i="92"/>
  <c r="N65" i="50"/>
  <c r="N66" i="50"/>
  <c r="N64" i="50"/>
  <c r="O66" i="57"/>
  <c r="O64" i="57"/>
  <c r="O65" i="57"/>
  <c r="M57" i="146"/>
  <c r="M54" i="146"/>
  <c r="M58" i="146"/>
  <c r="M52" i="146"/>
  <c r="M55" i="146"/>
  <c r="M53" i="146"/>
  <c r="M56" i="146"/>
  <c r="CG27" i="4"/>
  <c r="CA27" i="4"/>
  <c r="M53" i="214"/>
  <c r="U44" i="4"/>
  <c r="O66" i="22"/>
  <c r="O64" i="22"/>
  <c r="O65" i="22"/>
  <c r="BT54" i="4"/>
  <c r="M60" i="108"/>
  <c r="BU54" i="4"/>
  <c r="M62" i="108"/>
  <c r="BS51" i="4"/>
  <c r="M61" i="108"/>
  <c r="BS54" i="4"/>
  <c r="M59" i="108"/>
  <c r="CA44" i="4"/>
  <c r="CG44" i="4"/>
  <c r="BL49" i="4"/>
  <c r="F28" i="178" s="1"/>
  <c r="M60" i="164"/>
  <c r="M64" i="214"/>
  <c r="M66" i="214"/>
  <c r="U51" i="4"/>
  <c r="M65" i="214"/>
  <c r="X47" i="4"/>
  <c r="C19" i="155"/>
  <c r="N58" i="22"/>
  <c r="N62" i="22"/>
  <c r="N61" i="22"/>
  <c r="N63" i="22"/>
  <c r="N57" i="22"/>
  <c r="N56" i="22"/>
  <c r="N59" i="22"/>
  <c r="N60" i="22" s="1"/>
  <c r="BC54" i="4"/>
  <c r="N62" i="88"/>
  <c r="BC51" i="4"/>
  <c r="N61" i="88"/>
  <c r="N59" i="88"/>
  <c r="N60" i="88"/>
  <c r="O66" i="18"/>
  <c r="O64" i="18"/>
  <c r="O65" i="18"/>
  <c r="H49" i="4"/>
  <c r="M60" i="57"/>
  <c r="M49" i="4"/>
  <c r="M60" i="210"/>
  <c r="P66" i="212"/>
  <c r="P64" i="212"/>
  <c r="P65" i="212"/>
  <c r="N50" i="216"/>
  <c r="N52" i="216"/>
  <c r="N53" i="216" s="1"/>
  <c r="CF44" i="4"/>
  <c r="BZ44" i="4"/>
  <c r="CF49" i="4"/>
  <c r="J28" i="178" s="1"/>
  <c r="BZ49" i="4"/>
  <c r="M53" i="59"/>
  <c r="R44" i="4"/>
  <c r="M65" i="59"/>
  <c r="M66" i="59"/>
  <c r="M64" i="59"/>
  <c r="R51" i="4"/>
  <c r="M59" i="154"/>
  <c r="M61" i="154"/>
  <c r="M62" i="154"/>
  <c r="M60" i="154"/>
  <c r="BE51" i="4"/>
  <c r="M62" i="78"/>
  <c r="BE54" i="4"/>
  <c r="M59" i="78"/>
  <c r="M61" i="78"/>
  <c r="M60" i="78"/>
  <c r="CG49" i="4"/>
  <c r="CA49" i="4"/>
  <c r="N52" i="22"/>
  <c r="N53" i="22" s="1"/>
  <c r="N50" i="22"/>
  <c r="O61" i="192"/>
  <c r="O59" i="192"/>
  <c r="CJ51" i="4"/>
  <c r="CJ54" i="4"/>
  <c r="O60" i="192"/>
  <c r="O62" i="192"/>
  <c r="M61" i="148"/>
  <c r="M59" i="148"/>
  <c r="M60" i="148"/>
  <c r="M62" i="148"/>
  <c r="AT54" i="4"/>
  <c r="N60" i="68"/>
  <c r="N61" i="68"/>
  <c r="AT51" i="4"/>
  <c r="N59" i="68"/>
  <c r="N62" i="68"/>
  <c r="P65" i="208"/>
  <c r="P66" i="208"/>
  <c r="P64" i="208"/>
  <c r="M66" i="57"/>
  <c r="H51" i="4"/>
  <c r="M64" i="57"/>
  <c r="M65" i="57"/>
  <c r="BY47" i="4"/>
  <c r="CE47" i="4"/>
  <c r="L44" i="4"/>
  <c r="M53" i="208"/>
  <c r="H44" i="4"/>
  <c r="M53" i="57"/>
  <c r="M65" i="20"/>
  <c r="M64" i="20"/>
  <c r="G51" i="4"/>
  <c r="M66" i="20"/>
  <c r="M66" i="24"/>
  <c r="M64" i="24"/>
  <c r="M65" i="24"/>
  <c r="J51" i="4"/>
  <c r="CF47" i="4"/>
  <c r="BZ47" i="4"/>
  <c r="CH51" i="4"/>
  <c r="CH54" i="4"/>
  <c r="M61" i="192"/>
  <c r="M60" i="192"/>
  <c r="M59" i="192"/>
  <c r="M62" i="192"/>
  <c r="E19" i="155"/>
  <c r="AN47" i="4"/>
  <c r="N55" i="154"/>
  <c r="N58" i="154"/>
  <c r="N52" i="154"/>
  <c r="N54" i="154"/>
  <c r="N57" i="154"/>
  <c r="N53" i="154"/>
  <c r="N56" i="154"/>
  <c r="N64" i="18"/>
  <c r="N66" i="18"/>
  <c r="N65" i="18"/>
  <c r="BL44" i="4"/>
  <c r="M53" i="164"/>
  <c r="Q64" i="208"/>
  <c r="Q66" i="208"/>
  <c r="Q65" i="208"/>
  <c r="M53" i="160"/>
  <c r="BK44" i="4"/>
  <c r="BL48" i="4"/>
  <c r="BL54" i="4"/>
  <c r="M62" i="44"/>
  <c r="M60" i="44"/>
  <c r="M61" i="44"/>
  <c r="M59" i="44"/>
  <c r="N64" i="208"/>
  <c r="N66" i="208"/>
  <c r="N65" i="208"/>
  <c r="N61" i="180"/>
  <c r="N62" i="180"/>
  <c r="N60" i="180"/>
  <c r="N59" i="180"/>
  <c r="N65" i="104"/>
  <c r="N64" i="104"/>
  <c r="N66" i="104"/>
  <c r="O61" i="112"/>
  <c r="CA51" i="4"/>
  <c r="O59" i="112"/>
  <c r="O60" i="112"/>
  <c r="CG51" i="4"/>
  <c r="CG54" i="4"/>
  <c r="O62" i="112"/>
  <c r="CJ47" i="4"/>
  <c r="O75" i="192"/>
  <c r="M62" i="84"/>
  <c r="M61" i="84"/>
  <c r="AP51" i="4"/>
  <c r="AP54" i="4"/>
  <c r="M60" i="84"/>
  <c r="M59" i="84"/>
  <c r="M59" i="114"/>
  <c r="BP51" i="4"/>
  <c r="M61" i="114"/>
  <c r="M60" i="114"/>
  <c r="BP54" i="4"/>
  <c r="M62" i="114"/>
  <c r="CE51" i="4"/>
  <c r="BZ54" i="4"/>
  <c r="BY54" i="4"/>
  <c r="M62" i="112"/>
  <c r="M59" i="112"/>
  <c r="M60" i="112"/>
  <c r="M61" i="112"/>
  <c r="CA54" i="4"/>
  <c r="BY51" i="4"/>
  <c r="CE54" i="4"/>
  <c r="BJ51" i="4"/>
  <c r="O59" i="90"/>
  <c r="O61" i="90"/>
  <c r="O62" i="90"/>
  <c r="O60" i="90"/>
  <c r="BJ54" i="4"/>
  <c r="M53" i="26"/>
  <c r="P44" i="4"/>
  <c r="M53" i="50"/>
  <c r="O44" i="4"/>
  <c r="K33" i="5"/>
  <c r="K29" i="178"/>
  <c r="M66" i="26"/>
  <c r="P51" i="4"/>
  <c r="M64" i="26"/>
  <c r="M65" i="26"/>
  <c r="M60" i="50"/>
  <c r="O49" i="4"/>
  <c r="Q53" i="4"/>
  <c r="Q56" i="4"/>
  <c r="Q52" i="4"/>
  <c r="Q55" i="4"/>
  <c r="P49" i="4"/>
  <c r="H32" i="5" s="1"/>
  <c r="M60" i="26"/>
  <c r="M65" i="50"/>
  <c r="O51" i="4"/>
  <c r="M64" i="50"/>
  <c r="M66" i="50"/>
  <c r="B33" i="5"/>
  <c r="C29" i="178"/>
  <c r="CI55" i="4" l="1"/>
  <c r="CI52" i="4"/>
  <c r="CI53" i="4"/>
  <c r="CI56" i="4"/>
  <c r="AU52" i="4"/>
  <c r="AU55" i="4"/>
  <c r="AU53" i="4"/>
  <c r="AU56" i="4"/>
  <c r="CA53" i="4"/>
  <c r="CG53" i="4"/>
  <c r="CG56" i="4"/>
  <c r="H55" i="4"/>
  <c r="H52" i="4"/>
  <c r="R55" i="4"/>
  <c r="R52" i="4"/>
  <c r="BT55" i="4"/>
  <c r="BU55" i="4"/>
  <c r="BS55" i="4"/>
  <c r="BS52" i="4"/>
  <c r="CF52" i="4"/>
  <c r="BZ52" i="4"/>
  <c r="CF55" i="4"/>
  <c r="BA52" i="4"/>
  <c r="BA55" i="4"/>
  <c r="AN52" i="4"/>
  <c r="AN55" i="4"/>
  <c r="BD53" i="4"/>
  <c r="BD56" i="4"/>
  <c r="AP52" i="4"/>
  <c r="AP55" i="4"/>
  <c r="G52" i="4"/>
  <c r="G55" i="4"/>
  <c r="CJ53" i="4"/>
  <c r="CJ56" i="4"/>
  <c r="AW53" i="4"/>
  <c r="AW56" i="4"/>
  <c r="BZ53" i="4"/>
  <c r="CF53" i="4"/>
  <c r="CF56" i="4"/>
  <c r="AI56" i="4"/>
  <c r="AI53" i="4"/>
  <c r="CB53" i="4"/>
  <c r="CB56" i="4"/>
  <c r="BM52" i="4"/>
  <c r="BM55" i="4"/>
  <c r="AJ52" i="4"/>
  <c r="AJ55" i="4"/>
  <c r="N59" i="196"/>
  <c r="N61" i="196"/>
  <c r="T55" i="4"/>
  <c r="T52" i="4"/>
  <c r="BR56" i="4"/>
  <c r="BR53" i="4"/>
  <c r="BN53" i="4"/>
  <c r="BN56" i="4"/>
  <c r="BH56" i="4"/>
  <c r="BH53" i="4"/>
  <c r="CJ55" i="4"/>
  <c r="CJ52" i="4"/>
  <c r="U55" i="4"/>
  <c r="U52" i="4"/>
  <c r="M66" i="92"/>
  <c r="M64" i="92"/>
  <c r="M65" i="92"/>
  <c r="M67" i="92"/>
  <c r="AX53" i="4"/>
  <c r="AX56" i="4"/>
  <c r="M55" i="4"/>
  <c r="M52" i="4"/>
  <c r="X56" i="4"/>
  <c r="X53" i="4"/>
  <c r="AI52" i="4"/>
  <c r="AI55" i="4"/>
  <c r="BI52" i="4"/>
  <c r="BI55" i="4"/>
  <c r="CB55" i="4"/>
  <c r="CB52" i="4"/>
  <c r="BK55" i="4"/>
  <c r="BK52" i="4"/>
  <c r="AJ53" i="4"/>
  <c r="AJ56" i="4"/>
  <c r="AH56" i="4"/>
  <c r="AH53" i="4"/>
  <c r="W52" i="4"/>
  <c r="W55" i="4"/>
  <c r="BP53" i="4"/>
  <c r="BP56" i="4"/>
  <c r="CH53" i="4"/>
  <c r="CH56" i="4"/>
  <c r="BJ52" i="4"/>
  <c r="BJ55" i="4"/>
  <c r="CG55" i="4"/>
  <c r="CA52" i="4"/>
  <c r="CG52" i="4"/>
  <c r="J52" i="4"/>
  <c r="J55" i="4"/>
  <c r="H53" i="4"/>
  <c r="H56" i="4"/>
  <c r="AT55" i="4"/>
  <c r="AT52" i="4"/>
  <c r="BE55" i="4"/>
  <c r="BE52" i="4"/>
  <c r="BC52" i="4"/>
  <c r="BC55" i="4"/>
  <c r="K55" i="4"/>
  <c r="K52" i="4"/>
  <c r="V55" i="4"/>
  <c r="V52" i="4"/>
  <c r="AG53" i="4"/>
  <c r="AG56" i="4"/>
  <c r="AL53" i="4"/>
  <c r="AL56" i="4"/>
  <c r="AR56" i="4"/>
  <c r="AR53" i="4"/>
  <c r="CC53" i="4"/>
  <c r="CC56" i="4"/>
  <c r="BJ53" i="4"/>
  <c r="BJ56" i="4"/>
  <c r="CE52" i="4"/>
  <c r="CE55" i="4"/>
  <c r="BZ55" i="4"/>
  <c r="BY55" i="4"/>
  <c r="CA55" i="4"/>
  <c r="BY52" i="4"/>
  <c r="BP52" i="4"/>
  <c r="BP55" i="4"/>
  <c r="CH55" i="4"/>
  <c r="CH52" i="4"/>
  <c r="N65" i="22"/>
  <c r="N64" i="22"/>
  <c r="N66" i="22"/>
  <c r="U56" i="4"/>
  <c r="U53" i="4"/>
  <c r="N65" i="216"/>
  <c r="N66" i="216"/>
  <c r="N64" i="216"/>
  <c r="M53" i="4"/>
  <c r="M56" i="4"/>
  <c r="X55" i="4"/>
  <c r="X52" i="4"/>
  <c r="BM56" i="4"/>
  <c r="BM53" i="4"/>
  <c r="BG52" i="4"/>
  <c r="BG55" i="4"/>
  <c r="N62" i="152"/>
  <c r="N60" i="152"/>
  <c r="N59" i="152"/>
  <c r="N61" i="152"/>
  <c r="AY56" i="4"/>
  <c r="AY53" i="4"/>
  <c r="K56" i="4"/>
  <c r="K53" i="4"/>
  <c r="V56" i="4"/>
  <c r="V53" i="4"/>
  <c r="E55" i="4"/>
  <c r="E52" i="4"/>
  <c r="BL52" i="4"/>
  <c r="BL55" i="4"/>
  <c r="W56" i="4"/>
  <c r="W53" i="4"/>
  <c r="N59" i="148"/>
  <c r="N61" i="148"/>
  <c r="N62" i="148"/>
  <c r="N60" i="148"/>
  <c r="AL52" i="4"/>
  <c r="AL55" i="4"/>
  <c r="BD55" i="4"/>
  <c r="BD52" i="4"/>
  <c r="BN52" i="4"/>
  <c r="BN55" i="4"/>
  <c r="BH52" i="4"/>
  <c r="BH55" i="4"/>
  <c r="AV53" i="4"/>
  <c r="AV56" i="4"/>
  <c r="J56" i="4"/>
  <c r="J53" i="4"/>
  <c r="M60" i="146"/>
  <c r="M62" i="146"/>
  <c r="M59" i="146"/>
  <c r="M61" i="146"/>
  <c r="AX55" i="4"/>
  <c r="AX52" i="4"/>
  <c r="AZ52" i="4"/>
  <c r="AZ55" i="4"/>
  <c r="Z52" i="4"/>
  <c r="Z55" i="4"/>
  <c r="AR52" i="4"/>
  <c r="AR55" i="4"/>
  <c r="AP56" i="4"/>
  <c r="AP53" i="4"/>
  <c r="N62" i="154"/>
  <c r="N60" i="154"/>
  <c r="N61" i="154"/>
  <c r="N59" i="154"/>
  <c r="G56" i="4"/>
  <c r="G53" i="4"/>
  <c r="BT56" i="4"/>
  <c r="BS53" i="4"/>
  <c r="BS56" i="4"/>
  <c r="BU56" i="4"/>
  <c r="L56" i="4"/>
  <c r="L53" i="4"/>
  <c r="G29" i="178"/>
  <c r="G33" i="5"/>
  <c r="N65" i="24"/>
  <c r="N66" i="24"/>
  <c r="N64" i="24"/>
  <c r="AY52" i="4"/>
  <c r="AY55" i="4"/>
  <c r="T56" i="4"/>
  <c r="T53" i="4"/>
  <c r="E56" i="4"/>
  <c r="E53" i="4"/>
  <c r="AG55" i="4"/>
  <c r="AG52" i="4"/>
  <c r="AZ56" i="4"/>
  <c r="AZ53" i="4"/>
  <c r="CD55" i="4"/>
  <c r="CD52" i="4"/>
  <c r="AS56" i="4"/>
  <c r="AS53" i="4"/>
  <c r="CC55" i="4"/>
  <c r="CC52" i="4"/>
  <c r="AV55" i="4"/>
  <c r="AV52" i="4"/>
  <c r="N65" i="52"/>
  <c r="N64" i="52"/>
  <c r="N66" i="52"/>
  <c r="CA56" i="4"/>
  <c r="CE56" i="4"/>
  <c r="BY53" i="4"/>
  <c r="BZ56" i="4"/>
  <c r="BY56" i="4"/>
  <c r="CE53" i="4"/>
  <c r="AT53" i="4"/>
  <c r="AT56" i="4"/>
  <c r="BE56" i="4"/>
  <c r="BE53" i="4"/>
  <c r="R53" i="4"/>
  <c r="R56" i="4"/>
  <c r="BC53" i="4"/>
  <c r="BC56" i="4"/>
  <c r="L55" i="4"/>
  <c r="L52" i="4"/>
  <c r="AW55" i="4"/>
  <c r="AW52" i="4"/>
  <c r="BI56" i="4"/>
  <c r="BI53" i="4"/>
  <c r="BA56" i="4"/>
  <c r="BA53" i="4"/>
  <c r="BG53" i="4"/>
  <c r="BG56" i="4"/>
  <c r="Q65" i="212"/>
  <c r="Q66" i="212"/>
  <c r="Q64" i="212"/>
  <c r="AH52" i="4"/>
  <c r="AH55" i="4"/>
  <c r="BR55" i="4"/>
  <c r="BR52" i="4"/>
  <c r="AN53" i="4"/>
  <c r="AN56" i="4"/>
  <c r="CD53" i="4"/>
  <c r="CD56" i="4"/>
  <c r="O61" i="190"/>
  <c r="O59" i="190"/>
  <c r="O62" i="190"/>
  <c r="O60" i="190"/>
  <c r="Z53" i="4"/>
  <c r="Z56" i="4"/>
  <c r="AS55" i="4"/>
  <c r="AS52" i="4"/>
  <c r="P52" i="4"/>
  <c r="P55" i="4"/>
  <c r="O53" i="4"/>
  <c r="O56" i="4"/>
  <c r="I33" i="5"/>
  <c r="I29" i="178"/>
  <c r="P56" i="4"/>
  <c r="P53" i="4"/>
  <c r="O52" i="4"/>
  <c r="O55" i="4"/>
  <c r="E29" i="178" l="1"/>
  <c r="E33" i="5"/>
  <c r="J29" i="178"/>
  <c r="J33" i="5"/>
  <c r="M33" i="5"/>
  <c r="M29" i="178"/>
  <c r="N29" i="178"/>
  <c r="N33" i="5"/>
  <c r="D33" i="5"/>
  <c r="D29" i="178"/>
  <c r="H33" i="5"/>
  <c r="H29" i="178"/>
</calcChain>
</file>

<file path=xl/comments1.xml><?xml version="1.0" encoding="utf-8"?>
<comments xmlns="http://schemas.openxmlformats.org/spreadsheetml/2006/main">
  <authors>
    <author>Gürtler, Juliane (LEL-SG)</author>
  </authors>
  <commentList>
    <comment ref="N16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Eingabe der gewünschten Jahreszahl oder ᴓ</t>
        </r>
      </text>
    </comment>
  </commentList>
</comments>
</file>

<file path=xl/comments10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11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12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13.xml><?xml version="1.0" encoding="utf-8"?>
<comments xmlns="http://schemas.openxmlformats.org/spreadsheetml/2006/main">
  <authors>
    <author>Gürtler, Juliane (LEL-SG)</author>
    <author>Krieg, Karl (LEL)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J62" authorId="1" shapeId="0">
      <text>
        <r>
          <rPr>
            <sz val="8"/>
            <color indexed="81"/>
            <rFont val="Tahoma"/>
            <family val="2"/>
          </rPr>
          <t>Annahme: Silage-Rundballengewicht:
750 kg</t>
        </r>
      </text>
    </comment>
  </commentList>
</comments>
</file>

<file path=xl/comments14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herausgerechnet, s. S. Festkosten Maschinen (ca. -250 €)</t>
        </r>
      </text>
    </comment>
  </commentList>
</comments>
</file>

<file path=xl/comments15.xml><?xml version="1.0" encoding="utf-8"?>
<comments xmlns="http://schemas.openxmlformats.org/spreadsheetml/2006/main">
  <authors>
    <author>Gürtler, Juliane (LEL-SG)</author>
    <author>Köhler, Marcus (LEL)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J61" authorId="1" shapeId="0">
      <text>
        <r>
          <rPr>
            <sz val="8"/>
            <color indexed="81"/>
            <rFont val="Tahoma"/>
            <family val="2"/>
          </rPr>
          <t>Annahme: Gewicht
320 kg je Rundballen</t>
        </r>
      </text>
    </comment>
  </commentList>
</comments>
</file>

<file path=xl/comments16.xml><?xml version="1.0" encoding="utf-8"?>
<comments xmlns="http://schemas.openxmlformats.org/spreadsheetml/2006/main">
  <authors>
    <author>Gürtler, Juliane (LEL-SG)</author>
    <author>Köhler, Marcus (LEL)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J61" authorId="1" shapeId="0">
      <text>
        <r>
          <rPr>
            <sz val="8"/>
            <color indexed="81"/>
            <rFont val="Tahoma"/>
            <family val="2"/>
          </rPr>
          <t>Annahme: Gewicht
320 kg je Rundballen</t>
        </r>
      </text>
    </comment>
  </commentList>
</comments>
</file>

<file path=xl/comments17.xml><?xml version="1.0" encoding="utf-8"?>
<comments xmlns="http://schemas.openxmlformats.org/spreadsheetml/2006/main">
  <authors>
    <author>Gürtler, Juliane (LEL-SG)</author>
  </authors>
  <commentList>
    <comment ref="M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18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19.xml><?xml version="1.0" encoding="utf-8"?>
<comments xmlns="http://schemas.openxmlformats.org/spreadsheetml/2006/main">
  <authors>
    <author>Gürtler, Juliane (LEL-SG)</author>
  </authors>
  <commentList>
    <comment ref="M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.xml><?xml version="1.0" encoding="utf-8"?>
<comments xmlns="http://schemas.openxmlformats.org/spreadsheetml/2006/main">
  <authors>
    <author>Ein geschätzter Microsoft Office Anwender</author>
    <author>OverRalf</author>
  </authors>
  <commentList>
    <comment ref="C6" authorId="0" shapeId="0">
      <text>
        <r>
          <rPr>
            <sz val="10"/>
            <color indexed="81"/>
            <rFont val="Tahoma"/>
            <family val="2"/>
          </rPr>
          <t>hier können eigene Betriebsdaten zum Flächenumfang und Maschinenbesatz eingegeben werden. Hieraus errechnen sich dann die Festkosten Maschinen für das jeweilige Produktionsverfahren.</t>
        </r>
      </text>
    </comment>
    <comment ref="E9" authorId="1" shapeId="0">
      <text>
        <r>
          <rPr>
            <b/>
            <sz val="8"/>
            <color indexed="81"/>
            <rFont val="Tahoma"/>
            <family val="2"/>
          </rPr>
          <t>Arbeiten ausserhalb der landw. Flächenbewirtschaftung, z.B. auch Forstarbeiten o.ä.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9" authorId="0" shapeId="0">
      <text>
        <r>
          <rPr>
            <sz val="10"/>
            <color indexed="81"/>
            <rFont val="Tahoma"/>
            <family val="2"/>
          </rPr>
          <t>hier wird die Einsatzfläche der jeweiligen Maschine im Betrieb eingegeben.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21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22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23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4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5.xml><?xml version="1.0" encoding="utf-8"?>
<comments xmlns="http://schemas.openxmlformats.org/spreadsheetml/2006/main">
  <authors>
    <author>Krieg, Karl (LEL)</author>
    <author>Gürtler, Juliane (LEL-SG)</author>
  </authors>
  <commentLis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(LEL):keine Werte vorh. ca. 10 % von k20 geschätzt,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6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6.xml><?xml version="1.0" encoding="utf-8"?>
<comments xmlns="http://schemas.openxmlformats.org/spreadsheetml/2006/main">
  <authors>
    <author>Gürtler, Juliane (LEL-SG)</author>
  </authors>
  <commentList>
    <comment ref="K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7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8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9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.xml><?xml version="1.0" encoding="utf-8"?>
<comments xmlns="http://schemas.openxmlformats.org/spreadsheetml/2006/main">
  <authors>
    <author>Ein geschätzter Microsoft Office Anwender</author>
    <author>Hinderer, Axel (LEL)</author>
  </authors>
  <commentList>
    <comment ref="C23" authorId="0" shapeId="0">
      <text>
        <r>
          <rPr>
            <sz val="10"/>
            <color indexed="81"/>
            <rFont val="Tahoma"/>
            <family val="2"/>
          </rPr>
          <t>Arbeitsverfahren mit den var. Kosten und dem Arbeitszeitbedarf/ha (KTBL-Daten). In den freien gelben Feldern können eigene Verfahren definiert werden oder die vorgegebenen Verfahren entsprechend den betrieblichen Gegebenheiten geändert werden.</t>
        </r>
      </text>
    </comment>
    <comment ref="E44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Transport der Erntemenge von 6 t</t>
        </r>
      </text>
    </comment>
    <comment ref="E48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50t * 0,2€/t
</t>
        </r>
      </text>
    </comment>
    <comment ref="E50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7,7t*0,2€/t</t>
        </r>
      </text>
    </comment>
    <comment ref="E59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0,25€/t*12tFM</t>
        </r>
      </text>
    </comment>
    <comment ref="E61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7,7tFM*0,3€/t</t>
        </r>
      </text>
    </comment>
    <comment ref="E62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7,7tFM*0,3€/t</t>
        </r>
      </text>
    </comment>
    <comment ref="E64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5,3tFM*0,3€/t</t>
        </r>
      </text>
    </comment>
  </commentList>
</comments>
</file>

<file path=xl/comments30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1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2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</commentList>
</comments>
</file>

<file path=xl/comments33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  <comment ref="K50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4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</commentList>
</comments>
</file>

<file path=xl/comments35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  <comment ref="K50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6.xml><?xml version="1.0" encoding="utf-8"?>
<comments xmlns="http://schemas.openxmlformats.org/spreadsheetml/2006/main">
  <authors>
    <author>Gürtler, Juliane (LEL-SG)</author>
  </authors>
  <commentList>
    <comment ref="K53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7.xml><?xml version="1.0" encoding="utf-8"?>
<comments xmlns="http://schemas.openxmlformats.org/spreadsheetml/2006/main">
  <authors>
    <author>OverRalf</author>
  </authors>
  <commentList>
    <comment ref="K63" authorId="0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38.xml><?xml version="1.0" encoding="utf-8"?>
<comments xmlns="http://schemas.openxmlformats.org/spreadsheetml/2006/main">
  <authors>
    <author>Gürtler, Juliane (LEL-SG)</author>
    <author>KriegK</author>
    <author>OverRalf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G62" authorId="1" shapeId="0">
      <text>
        <r>
          <rPr>
            <sz val="12"/>
            <color indexed="81"/>
            <rFont val="Tahoma"/>
            <family val="2"/>
          </rPr>
          <t>160,-€/h; 3,5 ha/h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3" authorId="2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39.xml><?xml version="1.0" encoding="utf-8"?>
<comments xmlns="http://schemas.openxmlformats.org/spreadsheetml/2006/main">
  <authors>
    <author>OverRalf</author>
  </authors>
  <commentList>
    <comment ref="K63" authorId="0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4.xml><?xml version="1.0" encoding="utf-8"?>
<comments xmlns="http://schemas.openxmlformats.org/spreadsheetml/2006/main">
  <authors>
    <author>Gürtler, Juliane (LEL-SG)</author>
  </authors>
  <commentList>
    <comment ref="M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0.xml><?xml version="1.0" encoding="utf-8"?>
<comments xmlns="http://schemas.openxmlformats.org/spreadsheetml/2006/main">
  <authors>
    <author>Gürtler, Juliane (LEL-SG)</author>
    <author>OverRalf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K63" authorId="1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41.xml><?xml version="1.0" encoding="utf-8"?>
<comments xmlns="http://schemas.openxmlformats.org/spreadsheetml/2006/main">
  <authors>
    <author>Gürtler, Juliane (LEL-SG)</author>
  </authors>
  <commentList>
    <comment ref="M49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2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2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4.xml><?xml version="1.0" encoding="utf-8"?>
<comments xmlns="http://schemas.openxmlformats.org/spreadsheetml/2006/main">
  <authors>
    <author>KriegK</author>
  </authors>
  <commentList>
    <comment ref="M2" authorId="0" shapeId="0">
      <text>
        <r>
          <rPr>
            <sz val="8"/>
            <color indexed="81"/>
            <rFont val="Tahoma"/>
            <family val="2"/>
          </rPr>
          <t xml:space="preserve">Sorghumsilage
</t>
        </r>
      </text>
    </comment>
    <comment ref="K28" authorId="0" shapeId="0">
      <text>
        <r>
          <rPr>
            <sz val="8"/>
            <color indexed="81"/>
            <rFont val="Tahoma"/>
            <family val="2"/>
          </rPr>
          <t xml:space="preserve">Sudangras: 20 - 25 kg Saatgut/ha
</t>
        </r>
      </text>
    </comment>
  </commentList>
</comments>
</file>

<file path=xl/comments45.xml><?xml version="1.0" encoding="utf-8"?>
<comments xmlns="http://schemas.openxmlformats.org/spreadsheetml/2006/main">
  <authors>
    <author>Gürtler, Juliane (LEL-SG)</author>
  </authors>
  <commentList>
    <comment ref="K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6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1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7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5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15 jährige Nutzung</t>
        </r>
      </text>
    </comment>
    <comment ref="K51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8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2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9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Gürtler, Juliane (LEL-SG)</author>
  </authors>
  <commentList>
    <comment ref="M49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50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1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Gürtler, Juliane (LEL-SG)</author>
  </authors>
  <commentList>
    <comment ref="M49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7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8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9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zuz Berechnung der Kosten der  Arbeitsgänge</t>
        </r>
      </text>
    </comment>
  </commentList>
</comments>
</file>

<file path=xl/sharedStrings.xml><?xml version="1.0" encoding="utf-8"?>
<sst xmlns="http://schemas.openxmlformats.org/spreadsheetml/2006/main" count="20858" uniqueCount="1904">
  <si>
    <t>Kosten Siliermittel (Durchschnittspreise o. Mwst.)</t>
  </si>
  <si>
    <t>€/t Frischmasse</t>
  </si>
  <si>
    <t>Milchsäurebakterien</t>
  </si>
  <si>
    <t>sonstige variable Kosten (o. Mwst.)</t>
  </si>
  <si>
    <t>Einheit</t>
  </si>
  <si>
    <t>Zaunkosten Portionsweide/ha</t>
  </si>
  <si>
    <t xml:space="preserve">Grassilage:Folie, Anstrich, Säcke </t>
  </si>
  <si>
    <t xml:space="preserve">Maissilage/GPS:Folie, Anstrich, Säcke </t>
  </si>
  <si>
    <t>ha LF</t>
  </si>
  <si>
    <t>davon:</t>
  </si>
  <si>
    <t>Wiese</t>
  </si>
  <si>
    <t>Ackerland</t>
  </si>
  <si>
    <t>Betriebsdaten:</t>
  </si>
  <si>
    <t>ha</t>
  </si>
  <si>
    <t>Mehrwertsteuersatz in %</t>
  </si>
  <si>
    <t>Zinssatz (i) Maschinenkapital in %</t>
  </si>
  <si>
    <t>Zinssatz (i) Gebäudekapital in %</t>
  </si>
  <si>
    <t>Maschinen</t>
  </si>
  <si>
    <t>Anschaf-</t>
  </si>
  <si>
    <t>Anteil</t>
  </si>
  <si>
    <t>Anteil. An-</t>
  </si>
  <si>
    <t>Nutzgs.-</t>
  </si>
  <si>
    <t>Restwert</t>
  </si>
  <si>
    <t>Jahreskos-ten (Afa, Zins), mit Mwst.</t>
  </si>
  <si>
    <t>Fläche zur Aufteilung der Festkosten (ha)</t>
  </si>
  <si>
    <t>Summe</t>
  </si>
  <si>
    <t>Feste Maschinenkosten (Afa, Zins), €/ha (mit MwSt.)</t>
  </si>
  <si>
    <t>(ohne Maschinen zur Wirt-</t>
  </si>
  <si>
    <t>fungswert</t>
  </si>
  <si>
    <t>Lohn-</t>
  </si>
  <si>
    <t>schaffgswert</t>
  </si>
  <si>
    <t>dauer</t>
  </si>
  <si>
    <t>(mit MwSt.)</t>
  </si>
  <si>
    <t>Grün-</t>
  </si>
  <si>
    <t>RB-Presse, 1,5 m Ø u. 320 kg/Ballen, 5,3 FM t/ha, inkl. Garn</t>
  </si>
  <si>
    <t>Zuckerrüben</t>
  </si>
  <si>
    <t>Silage für Biogasanlage, 1-Schnitt Nutzung Ende September/Oktober; Rücklieferung Gärrest unter 100% Anrechnung Netto-Nährstoffe (30% N-Verluste); ab Feld, inkl. Kosten Gärrest-Ausbringung</t>
  </si>
  <si>
    <t>95 €</t>
  </si>
  <si>
    <t>Preis-angabe</t>
  </si>
  <si>
    <t>Motorbelastung Schlepper</t>
  </si>
  <si>
    <t>Repara-turen</t>
  </si>
  <si>
    <t>variable</t>
  </si>
  <si>
    <t>Kosten</t>
  </si>
  <si>
    <t xml:space="preserve">und einer Motorbelastung von </t>
  </si>
  <si>
    <t>bei einem aktuellen Agrardieselpreis:</t>
  </si>
  <si>
    <t>x</t>
  </si>
  <si>
    <t>Auch können so verschiedene Varianten, wie beispielsweise Fremd- oder Eigenmechanisierung der Ernte,</t>
  </si>
  <si>
    <t>vergleichend berechnet werden.</t>
  </si>
  <si>
    <t>2.   Programmaufbau und Dateneingabe</t>
  </si>
  <si>
    <r>
      <t>Pflanzliche Substrate für Biogasanlagen</t>
    </r>
    <r>
      <rPr>
        <b/>
        <vertAlign val="superscript"/>
        <sz val="14"/>
        <rFont val="Arial"/>
        <family val="2"/>
      </rPr>
      <t>1)</t>
    </r>
    <r>
      <rPr>
        <b/>
        <sz val="14"/>
        <rFont val="Arial"/>
        <family val="2"/>
      </rPr>
      <t>:</t>
    </r>
  </si>
  <si>
    <t>SF-Köpfrodebunker 6-reihig</t>
  </si>
  <si>
    <t>In diesem Blatt sind die Festkosten für Gebäude und Maschinen für einen Beispielsbetrieb vorgegeben und</t>
  </si>
  <si>
    <t>Abfuhr (Ertrag ab Feld)</t>
  </si>
  <si>
    <t xml:space="preserve">   Düngung (Nettoentzug x Min.-düngerpreis - Güllerücklief.)</t>
  </si>
  <si>
    <t xml:space="preserve">auf die jeweilige Einsatzfläche verteilt. Hieraus werden die Jahreskosten/ha für Maschinen und Gebäude </t>
  </si>
  <si>
    <t>kalk. BZE</t>
  </si>
  <si>
    <t>Arbeitszeitbedarf (ständige AK)</t>
  </si>
  <si>
    <r>
      <t>€/m</t>
    </r>
    <r>
      <rPr>
        <vertAlign val="superscript"/>
        <sz val="12"/>
        <rFont val="Arial"/>
        <family val="2"/>
      </rPr>
      <t>3</t>
    </r>
  </si>
  <si>
    <t>Fahrsilo</t>
  </si>
  <si>
    <t>Düngung (Nettoentzug x Min.dü.preis-Güllerücklief.)</t>
  </si>
  <si>
    <t>Vollkosten abzgl. Ausgl.leist, Prämien aus ZA, Lohnansatz, Gebäude und Lagerraum</t>
  </si>
  <si>
    <t>Kostenrechnung Futterbau</t>
  </si>
  <si>
    <t>Summe (€/m³)</t>
  </si>
  <si>
    <t>Nutzungs-</t>
  </si>
  <si>
    <r>
      <t>€/m</t>
    </r>
    <r>
      <rPr>
        <vertAlign val="superscript"/>
        <sz val="11"/>
        <rFont val="Arial"/>
        <family val="2"/>
      </rPr>
      <t>3</t>
    </r>
  </si>
  <si>
    <t>Heulagerraum</t>
  </si>
  <si>
    <t>Heubelüftung</t>
  </si>
  <si>
    <t>Cobs</t>
  </si>
  <si>
    <t>Gemeinkosten</t>
  </si>
  <si>
    <t>Kosten für Fläche</t>
  </si>
  <si>
    <t>(Versicherungen, Buchf., Berufsgen.,</t>
  </si>
  <si>
    <t>(Pachtansatz, nicht bei Zwischenfrüchten)</t>
  </si>
  <si>
    <t>nicht bei Zwischenfrüchten)</t>
  </si>
  <si>
    <t>Grünl.</t>
  </si>
  <si>
    <t>Acker</t>
  </si>
  <si>
    <t>mit</t>
  </si>
  <si>
    <t>MwSt.</t>
  </si>
  <si>
    <t>Variable Maschinenkosten, Arbeitszeitbedarf</t>
  </si>
  <si>
    <t>Mwst. %</t>
  </si>
  <si>
    <t>Gasölverbilligung</t>
  </si>
  <si>
    <t>€/l</t>
  </si>
  <si>
    <t>Preis Agrardiesel aktuell</t>
  </si>
  <si>
    <t>Schlepper</t>
  </si>
  <si>
    <t>Variable Kosten (ohne MwSt.)</t>
  </si>
  <si>
    <t>Typ</t>
  </si>
  <si>
    <t>KW /</t>
  </si>
  <si>
    <t>Grubbern (5,0 m Flügelgruber)</t>
  </si>
  <si>
    <t>Kreiselegge mit 80 KW-Schlepper</t>
  </si>
  <si>
    <t>Feuchtmais</t>
  </si>
  <si>
    <t>nach Feld- und Konservierungsverlusten:</t>
  </si>
  <si>
    <t>Aussaat und Dreschen im Lohn</t>
  </si>
  <si>
    <t>Kreiseleggendrill</t>
  </si>
  <si>
    <t>eigene Annahmen</t>
  </si>
  <si>
    <t>Seite</t>
  </si>
  <si>
    <t>Datengrund-</t>
  </si>
  <si>
    <t>lage/-quelle:</t>
  </si>
  <si>
    <t>4.   Produktionsverfahren</t>
  </si>
  <si>
    <r>
      <t xml:space="preserve">a) </t>
    </r>
    <r>
      <rPr>
        <b/>
        <sz val="12"/>
        <rFont val="Arial"/>
        <family val="2"/>
      </rPr>
      <t>Blätter "</t>
    </r>
    <r>
      <rPr>
        <b/>
        <i/>
        <sz val="12"/>
        <rFont val="Arial"/>
        <family val="2"/>
      </rPr>
      <t>Berechnungsgrundlagen"</t>
    </r>
  </si>
  <si>
    <t xml:space="preserve">Für alle Produktionsverfahren werden die weiteren zur Berechnung notwendigen Kennzahlen in das </t>
  </si>
  <si>
    <r>
      <t>jeweilige Arbeitsblatt "</t>
    </r>
    <r>
      <rPr>
        <i/>
        <sz val="10"/>
        <rFont val="Arial"/>
        <family val="2"/>
      </rPr>
      <t>Produktionsverfahren</t>
    </r>
    <r>
      <rPr>
        <sz val="10"/>
        <rFont val="Arial"/>
        <family val="2"/>
      </rPr>
      <t>-(a)" eingegeben.</t>
    </r>
  </si>
  <si>
    <t>Vorgegeben sind Standardwerte für unterschiedliche, gängige Verfahren des Futterbaus.</t>
  </si>
  <si>
    <t>Bei den Grünlandverfahren sind Eingaben für bis zu 5 Nutzungen möglich. Dabei ist es nicht notwendig,</t>
  </si>
  <si>
    <t>können, wie in der Praxis zumeist der Fall, auch gemischte Nutzungen im Verlauf des Futterjahres</t>
  </si>
  <si>
    <t>Jahre</t>
  </si>
  <si>
    <t>4ScharDrehpflug</t>
  </si>
  <si>
    <t xml:space="preserve">Düngerstreuer 1000 l </t>
  </si>
  <si>
    <t>Kreiselmähwerk 2,8 m mit Aufber.</t>
  </si>
  <si>
    <t>Kreiselwender 5,5 m</t>
  </si>
  <si>
    <t>Sonstige Maschinen</t>
  </si>
  <si>
    <t>Gebäude</t>
  </si>
  <si>
    <t>Unterhal-</t>
  </si>
  <si>
    <t>Jahres-</t>
  </si>
  <si>
    <t>Fläche zur Aufteilung der Festkosten ha</t>
  </si>
  <si>
    <t>Grassilage 4 Nutz. Biogas ab Feld</t>
  </si>
  <si>
    <t>Wiese / AF</t>
  </si>
  <si>
    <t>€/Akh</t>
  </si>
  <si>
    <t>Nutzungen verteilt.</t>
  </si>
  <si>
    <r>
      <t xml:space="preserve">Beim </t>
    </r>
    <r>
      <rPr>
        <b/>
        <i/>
        <sz val="10"/>
        <rFont val="Arial"/>
        <family val="2"/>
      </rPr>
      <t>Arbeitszeitbedarf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ist ein prozentualer Zuschlag für allgemeine Arbeiten (Rüstzeiten, Wartungsarbeiten..)</t>
    </r>
  </si>
  <si>
    <r>
      <t xml:space="preserve">Falls </t>
    </r>
    <r>
      <rPr>
        <b/>
        <i/>
        <sz val="10"/>
        <rFont val="Arial"/>
        <family val="2"/>
      </rPr>
      <t>Lohnmaschinen</t>
    </r>
    <r>
      <rPr>
        <sz val="10"/>
        <rFont val="Arial"/>
        <family val="2"/>
      </rPr>
      <t xml:space="preserve"> eingesetzt werden, können diese mit den entsprechenden Kosten ohne Mwst. ein-</t>
    </r>
  </si>
  <si>
    <t xml:space="preserve">gegeben werden. Der Einsatzumfang eigener Maschinen und die Eigenmechanisierung (Blatt Festkosten  </t>
  </si>
  <si>
    <r>
      <t xml:space="preserve">Die durchschnittliche Festlegungsdauer für das </t>
    </r>
    <r>
      <rPr>
        <b/>
        <i/>
        <sz val="10"/>
        <rFont val="Arial"/>
        <family val="2"/>
      </rPr>
      <t>Umlaufvermögen</t>
    </r>
    <r>
      <rPr>
        <sz val="10"/>
        <rFont val="Arial"/>
        <family val="2"/>
      </rPr>
      <t xml:space="preserve"> ist mit 5 Monaten vorgegeben, kann jedoch </t>
    </r>
  </si>
  <si>
    <t>entsprechend variiert werden.</t>
  </si>
  <si>
    <r>
      <t xml:space="preserve">b) </t>
    </r>
    <r>
      <rPr>
        <b/>
        <sz val="12"/>
        <rFont val="Arial"/>
        <family val="2"/>
      </rPr>
      <t>Blätter</t>
    </r>
    <r>
      <rPr>
        <b/>
        <i/>
        <sz val="12"/>
        <rFont val="Arial"/>
        <family val="2"/>
      </rPr>
      <t xml:space="preserve"> Kostenrechnung</t>
    </r>
  </si>
  <si>
    <r>
      <t xml:space="preserve">Die </t>
    </r>
    <r>
      <rPr>
        <b/>
        <i/>
        <sz val="10"/>
        <rFont val="Arial"/>
        <family val="2"/>
      </rPr>
      <t xml:space="preserve">Vollkostenrechnung </t>
    </r>
    <r>
      <rPr>
        <sz val="10"/>
        <rFont val="Arial"/>
        <family val="2"/>
      </rPr>
      <t xml:space="preserve">beinhaltet reale und kalkulatorische Ansätze für alle entstehenden Kosten. </t>
    </r>
  </si>
  <si>
    <t>Verkaufspreis des Produktes.</t>
  </si>
  <si>
    <t>Weitere Verkaufsoptionen (Verkauf frei Silo, Stellung des Silolagerraums...) können wahlweise kalkuliert</t>
  </si>
  <si>
    <t xml:space="preserve">ZW.-Frucht Raps grün </t>
  </si>
  <si>
    <t>78-79</t>
  </si>
  <si>
    <t>80-81</t>
  </si>
  <si>
    <t>84-85</t>
  </si>
  <si>
    <t>86-87</t>
  </si>
  <si>
    <t>Ganzpflanzensilage (GPS)</t>
  </si>
  <si>
    <t>Ertragsniveau/Produktivität des Standorts</t>
  </si>
  <si>
    <t>3 Nutz.</t>
  </si>
  <si>
    <t>5 Nutz.</t>
  </si>
  <si>
    <t>niedrig</t>
  </si>
  <si>
    <t>mittel</t>
  </si>
  <si>
    <t>hoch</t>
  </si>
  <si>
    <t>Ertrag / Aufwuchs (brutto)</t>
  </si>
  <si>
    <t>dt TM/ha</t>
  </si>
  <si>
    <t>Kreiselegge 3 m</t>
  </si>
  <si>
    <t>Kreiselegge-Säkomb. 3 m, mechanisch</t>
  </si>
  <si>
    <t>Sämaschine 3 m</t>
  </si>
  <si>
    <t>Mulchgerät 3 m</t>
  </si>
  <si>
    <t>Quetschen/Schroten/Lagern</t>
  </si>
  <si>
    <t>land</t>
  </si>
  <si>
    <t>mais</t>
  </si>
  <si>
    <t>rüben</t>
  </si>
  <si>
    <t>MLF 18:3</t>
  </si>
  <si>
    <t>flächen</t>
  </si>
  <si>
    <t>frucht</t>
  </si>
  <si>
    <t>enfrucht</t>
  </si>
  <si>
    <t>(n. KTBL)</t>
  </si>
  <si>
    <t>futter</t>
  </si>
  <si>
    <t>€</t>
  </si>
  <si>
    <t>Summe zusätzliche Transportkosten insgesamt</t>
  </si>
  <si>
    <t>Systematik verwendet (vgl.Arbeiten der DLG/Band 197: Die neue Betriebszweigabrechnung, 2. Aufl.). Bedeu-</t>
  </si>
  <si>
    <t>tend sind hier vor allem die "Direktkosten", die "Direktkosten-freie Leistung" und die "Kosten der Arbeitserle-</t>
  </si>
  <si>
    <t>Silomais intensiv</t>
  </si>
  <si>
    <t xml:space="preserve">  - Zinsansatz Umlaufvermögen</t>
  </si>
  <si>
    <r>
      <t>variable Lohnkosten</t>
    </r>
    <r>
      <rPr>
        <sz val="11"/>
        <rFont val="Arial"/>
        <family val="2"/>
      </rPr>
      <t xml:space="preserve"> (nichtständige AK)</t>
    </r>
  </si>
  <si>
    <r>
      <t>1)</t>
    </r>
    <r>
      <rPr>
        <vertAlign val="superscript"/>
        <sz val="12"/>
        <rFont val="Arial"/>
        <family val="2"/>
      </rPr>
      <t xml:space="preserve"> </t>
    </r>
    <r>
      <rPr>
        <sz val="12"/>
        <rFont val="Arial"/>
        <family val="2"/>
      </rPr>
      <t>(jeweils 3 Ertrags- bzw. Produktivitätsniveaus des Standorts berechnet (niedrig, mittel, hoch)</t>
    </r>
  </si>
  <si>
    <t>Anstelle des Energieertrags in MJ NEL bzw. MJ ME wird bei den Kofermenten der Methanertrag in m³ bzw.</t>
  </si>
  <si>
    <t>in GJ ausgewiesen.</t>
  </si>
  <si>
    <t>teils Lohnarbeiten bei Verf. mit Eigenmechanisierung: Häckseln GPS, Luzerne und Silomais, Heu (Rundballen pressen), Nachsaat Grünland, Einfahren eigen!</t>
  </si>
  <si>
    <t>teils Lohnarbeiten bei Verf. mit Eigenmechanisierung: Häckseln GPS, Luzerne und Silomais, Heu (Rundballen pressen) und Aussaat Silomais, Nachsaat Grünland, Einfahren eigen!</t>
  </si>
  <si>
    <t xml:space="preserve">so dass die betriebsspezifische Berechnung der Grundfutterkosten im Einzelbetrieb möglich ist. </t>
  </si>
  <si>
    <t>Weizen-GPS pauschal</t>
  </si>
  <si>
    <t>Zwei-Kulturen-Nutzung: Folie, Anstrich, Säcke</t>
  </si>
  <si>
    <t>Erstfrucht</t>
  </si>
  <si>
    <t>Zweitfrucht</t>
  </si>
  <si>
    <t>Grünroggensilage: Folie</t>
  </si>
  <si>
    <t>Standweide extensiv</t>
  </si>
  <si>
    <t>intensiv</t>
  </si>
  <si>
    <t>3) ohne Lohnansatz, wenn keine anderweitige Verwertung der Arbeit mögl. o. bei aggregiertem Verfahren Tierhaltung + Futterbau</t>
  </si>
  <si>
    <t>Sammeleingaben</t>
  </si>
  <si>
    <t>Hauptprodukte</t>
  </si>
  <si>
    <t>(wird nicht</t>
  </si>
  <si>
    <r>
      <t>Nutzung</t>
    </r>
    <r>
      <rPr>
        <sz val="12"/>
        <rFont val="Arial"/>
        <family val="2"/>
      </rPr>
      <t xml:space="preserve"> (Schnitt)</t>
    </r>
  </si>
  <si>
    <t>1.</t>
  </si>
  <si>
    <t>2.</t>
  </si>
  <si>
    <t>3.</t>
  </si>
  <si>
    <t>werden.</t>
  </si>
  <si>
    <t>4.</t>
  </si>
  <si>
    <t>5.</t>
  </si>
  <si>
    <t>ausgedruckt)</t>
  </si>
  <si>
    <t>Die Summe dieser bewilligten Prämien für den geplanten Betrieb ist daher im zweiten Schritt zum Gesamt-DB zu</t>
  </si>
  <si>
    <t>Kreiselegge-Säkombination (3 m)</t>
  </si>
  <si>
    <t xml:space="preserve">   Lohnansatz (für ständige AK)</t>
  </si>
  <si>
    <t>Summe feste Spezial- und Gemeinkosten</t>
  </si>
  <si>
    <t>Kosten abzgl. Ausgleichs-</t>
  </si>
  <si>
    <t>€/dt FM</t>
  </si>
  <si>
    <t xml:space="preserve">€/m³ </t>
  </si>
  <si>
    <t>leistungen, feste Gebäude-</t>
  </si>
  <si>
    <t>kosten und Lagerraum</t>
  </si>
  <si>
    <t>Allgemeine Orientierungswerte Futterbau (a)</t>
  </si>
  <si>
    <t>Trockenmasseerträge und Nährstoffentzüge bei Futterpflanzen</t>
  </si>
  <si>
    <t>Kultur /</t>
  </si>
  <si>
    <t>Ertrag</t>
  </si>
  <si>
    <t>Abfuhr</t>
  </si>
  <si>
    <t>N-</t>
  </si>
  <si>
    <r>
      <t>Nährstoffentzug je dt Abfuhr</t>
    </r>
    <r>
      <rPr>
        <sz val="10"/>
        <rFont val="Arial"/>
        <family val="2"/>
      </rPr>
      <t xml:space="preserve"> (Ernteprodukt)</t>
    </r>
  </si>
  <si>
    <t xml:space="preserve"> </t>
  </si>
  <si>
    <t xml:space="preserve">Nutzungen </t>
  </si>
  <si>
    <t xml:space="preserve"> Aufwuchs /</t>
  </si>
  <si>
    <t>Ernteprod.</t>
  </si>
  <si>
    <t>Lieferung</t>
  </si>
  <si>
    <t>pro Jahr</t>
  </si>
  <si>
    <t>(nach Feld-</t>
  </si>
  <si>
    <t>Standort</t>
  </si>
  <si>
    <t>(brutto;</t>
  </si>
  <si>
    <t>verlusten;</t>
  </si>
  <si>
    <t xml:space="preserve">Arbeitszeitbedarf für die wichtigsten Arbeitsgänge der Futterbauverfahren aufgelistet. </t>
  </si>
  <si>
    <t xml:space="preserve">ausgewählt und entsprechend Ihrer Einsatzhäufigkeit (z.B. 3x Zetten) zugeteilt werden. Weitere Verfahren </t>
  </si>
  <si>
    <t>können in die gelben Felder frei eingegeben werden.</t>
  </si>
  <si>
    <t>dass die Form der Nutzung (Grünfütterung, Silage, Heu...) bei allen Nutzungen gleich bleibt. Vielmehr</t>
  </si>
  <si>
    <t>verhältnismäßig hohen Wert für die Düngungskosten.</t>
  </si>
  <si>
    <t xml:space="preserve">konkreten Zinsbelastungen werden dann separat, d.h. für den Betrieb als Ganzes ermittelt. </t>
  </si>
  <si>
    <t>Luzernesilage</t>
  </si>
  <si>
    <t>Silomais Meka</t>
  </si>
  <si>
    <t>Standw. ext.</t>
  </si>
  <si>
    <t>125 - 175</t>
  </si>
  <si>
    <t>Übersicht Produktionsverfahren</t>
  </si>
  <si>
    <t>Grünland</t>
  </si>
  <si>
    <t>Ackerfutter</t>
  </si>
  <si>
    <t>Hauptprodukt</t>
  </si>
  <si>
    <r>
      <t>Ertrag / Aufwuchs</t>
    </r>
    <r>
      <rPr>
        <sz val="12"/>
        <rFont val="Arial"/>
        <family val="2"/>
      </rPr>
      <t xml:space="preserve"> (brutto)</t>
    </r>
  </si>
  <si>
    <t>davon in %</t>
  </si>
  <si>
    <t>Verluste TM</t>
  </si>
  <si>
    <t>Feldverluste (z. B. Bröckelv.)</t>
  </si>
  <si>
    <t>TM-Gehalt</t>
  </si>
  <si>
    <t>bei Abfuhr</t>
  </si>
  <si>
    <t>% TM</t>
  </si>
  <si>
    <t>bei Verfütterung</t>
  </si>
  <si>
    <t>Raumgewicht</t>
  </si>
  <si>
    <t>dt FM/m³</t>
  </si>
  <si>
    <t>dt TM/m³</t>
  </si>
  <si>
    <r>
      <t xml:space="preserve">Abfuhr </t>
    </r>
    <r>
      <rPr>
        <sz val="11"/>
        <rFont val="Arial"/>
        <family val="2"/>
      </rPr>
      <t>Hauptprodukt</t>
    </r>
  </si>
  <si>
    <r>
      <t>Futterlieferung</t>
    </r>
    <r>
      <rPr>
        <sz val="11"/>
        <rFont val="Arial"/>
        <family val="2"/>
      </rPr>
      <t xml:space="preserve"> Hauptprodukt (netto)</t>
    </r>
  </si>
  <si>
    <r>
      <t>Nährstoffeinheiten</t>
    </r>
    <r>
      <rPr>
        <sz val="10"/>
        <rFont val="Arial"/>
        <family val="2"/>
      </rPr>
      <t xml:space="preserve"> (b. Verfütterung)</t>
    </r>
  </si>
  <si>
    <t>MJ NEL/kg TM</t>
  </si>
  <si>
    <t>Umrechnungsfaktor NEL/ME:</t>
  </si>
  <si>
    <t>MJ ME/kg TM</t>
  </si>
  <si>
    <t>10 MJ NEL/ha</t>
  </si>
  <si>
    <t>10 MJ ME/ha</t>
  </si>
  <si>
    <t>s. [Ausglleist]</t>
  </si>
  <si>
    <r>
      <t>Saatgut</t>
    </r>
    <r>
      <rPr>
        <sz val="11"/>
        <rFont val="Arial"/>
        <family val="2"/>
      </rPr>
      <t xml:space="preserve"> (Nachsaat)</t>
    </r>
  </si>
  <si>
    <t>MwSt.-Satz %</t>
  </si>
  <si>
    <t>o. Mwst.</t>
  </si>
  <si>
    <t>Einh. /ha</t>
  </si>
  <si>
    <t>Nährstoff</t>
  </si>
  <si>
    <t>€/kg</t>
  </si>
  <si>
    <t>Abfuhr kg/dt TM</t>
  </si>
  <si>
    <t>Zu-/Abschl. kg/ha</t>
  </si>
  <si>
    <t>kg/ha</t>
  </si>
  <si>
    <r>
      <t>P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  <r>
      <rPr>
        <vertAlign val="subscript"/>
        <sz val="11"/>
        <rFont val="Arial"/>
        <family val="2"/>
      </rPr>
      <t>5</t>
    </r>
  </si>
  <si>
    <r>
      <t>K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</si>
  <si>
    <t>Pflanzenschutz</t>
  </si>
  <si>
    <t>Pflanzenschutzmittel</t>
  </si>
  <si>
    <t>o. MwSt.</t>
  </si>
  <si>
    <t>Einh/ha</t>
  </si>
  <si>
    <t>14,5/12,7</t>
  </si>
  <si>
    <t>brutto/netto</t>
  </si>
  <si>
    <t>Brutto</t>
  </si>
  <si>
    <t xml:space="preserve"> je km und</t>
  </si>
  <si>
    <t>Fahrten Ernte und Gülleausbringung je ha bei Nutzlast von</t>
  </si>
  <si>
    <t>€/ha</t>
  </si>
  <si>
    <t xml:space="preserve">   Saatgut</t>
  </si>
  <si>
    <t xml:space="preserve">   Pflanzenschutz </t>
  </si>
  <si>
    <t xml:space="preserve">   Variable Maschinenkosten (eig. Masch.)</t>
  </si>
  <si>
    <t xml:space="preserve">   Variable Lohnkosten (nichtständige AK)</t>
  </si>
  <si>
    <t>€/10 MJ NEL</t>
  </si>
  <si>
    <t>€/10 MJ ME</t>
  </si>
  <si>
    <t>Arbeitszeitbedarf</t>
  </si>
  <si>
    <t>AKh/ha</t>
  </si>
  <si>
    <t>Lagerraumbedarf (Abfuhr)</t>
  </si>
  <si>
    <t xml:space="preserve">   Feste Kosten Lagerraum</t>
  </si>
  <si>
    <t xml:space="preserve">   Feste Kosten sonst. Gebäude</t>
  </si>
  <si>
    <t>var. Kost.</t>
  </si>
  <si>
    <r>
      <t>Kosten für Fläche und Zahlungsanspruch</t>
    </r>
    <r>
      <rPr>
        <sz val="11"/>
        <rFont val="Arial"/>
        <family val="2"/>
      </rPr>
      <t xml:space="preserve"> (Pachtansatz)</t>
    </r>
  </si>
  <si>
    <t xml:space="preserve">addieren. Es muss dann jedoch darauf geachtet werden, dass die unterstellten MEKA-Verfahren umfangmäßig </t>
  </si>
  <si>
    <t>auch in der ausgewählten Betriebsorganisation sind.</t>
  </si>
  <si>
    <t xml:space="preserve">den Ist-Betrieb führen. Bei einer Flächenaufstockung ist dann jedoch - bei exakter Kalkulation - </t>
  </si>
  <si>
    <t>Silierkette Mais:</t>
  </si>
  <si>
    <t>Häckseln, Transport und Festfahren</t>
  </si>
  <si>
    <t xml:space="preserve">  Flächenstruktur der Betriebe, Arbeitsleistungen/ha und Erträgen/ha!!</t>
  </si>
  <si>
    <t>MLF 14:3</t>
  </si>
  <si>
    <t xml:space="preserve">Schlepper var. Kosten inkl. Mwst. </t>
  </si>
  <si>
    <t>Schlepper feste Kosten</t>
  </si>
  <si>
    <t>Kosten angepasst um übliche Rabatte von 15%</t>
  </si>
  <si>
    <t>Transportgerät Zuschlag je km und t</t>
  </si>
  <si>
    <t>Transportkapazität (Nutzlast in t)</t>
  </si>
  <si>
    <t>Quelle</t>
  </si>
  <si>
    <t>Anschaffungspreis</t>
  </si>
  <si>
    <t>Nutzungsdauer bei 500 Std.</t>
  </si>
  <si>
    <t>Nutzungsdauer bei 600 Std.</t>
  </si>
  <si>
    <t>Afa/Jahr</t>
  </si>
  <si>
    <t>Differenz Festkosten je Jahr</t>
  </si>
  <si>
    <t>bei 100 Std. Mehrleistung</t>
  </si>
  <si>
    <t xml:space="preserve"> je km und t</t>
  </si>
  <si>
    <t>Kosten in Abh. von Hof-Feld-Entf.</t>
  </si>
  <si>
    <t>Ausgang: 2 km Hof/Feld</t>
  </si>
  <si>
    <r>
      <t>Arbeitszeitbedarf</t>
    </r>
    <r>
      <rPr>
        <sz val="12"/>
        <rFont val="Arial"/>
        <family val="2"/>
      </rPr>
      <t xml:space="preserve"> (ständige AK)</t>
    </r>
  </si>
  <si>
    <t>Mit Zuschl. für allg. Arbeiten</t>
  </si>
  <si>
    <t>Lohnmaschinen</t>
  </si>
  <si>
    <t>Masch./Arb.gang</t>
  </si>
  <si>
    <t>€/Arb.gang</t>
  </si>
  <si>
    <t>Arb.gänge/ha</t>
  </si>
  <si>
    <t xml:space="preserve">Zuteilung auf einzelne Nutzungen  Arb.gänge/ha </t>
  </si>
  <si>
    <t>Nachsaatmaschine</t>
  </si>
  <si>
    <t xml:space="preserve">AZL: Ausgleichszulage für benachteiligte Agrargebiete; abhängig von </t>
  </si>
  <si>
    <t>siehe die Ausführungen unter Ziffer 5).</t>
  </si>
  <si>
    <t>zurück zum Inhaltsverzeichnis</t>
  </si>
  <si>
    <t>5. Handhabung und Interpretation der Kalkulationsdaten und ihrer Kennwerte</t>
  </si>
  <si>
    <t>Gülle ausbringen im Lohn (Rücklieferung bei Biogas-Verfahren)</t>
  </si>
  <si>
    <t>Erläuterungen</t>
  </si>
  <si>
    <t>grasbetont</t>
  </si>
  <si>
    <t>72-73</t>
  </si>
  <si>
    <t xml:space="preserve">niedrig </t>
  </si>
  <si>
    <t>5.1  Planung der optimalen Betriebsorganisation mit der Deckungsbeitrags-Methode</t>
  </si>
  <si>
    <t xml:space="preserve">Hier sollte der Deckungsbeitrag (DB) ohne jegliche Prämien und ohne Zinsansatz verwendet werden. </t>
  </si>
  <si>
    <t>5.2  Relative Vorzüglichkeit verschiedener Futterbauverfahren</t>
  </si>
  <si>
    <t>€/dt inkl. Mwst.</t>
  </si>
  <si>
    <t>MJ NEL/kg FM</t>
  </si>
  <si>
    <t>Kosten Futtemittel</t>
  </si>
  <si>
    <t>Energiegehalt</t>
  </si>
  <si>
    <t>Gesamtkosten</t>
  </si>
  <si>
    <t>Futtergerste</t>
  </si>
  <si>
    <t>Nutzung</t>
  </si>
  <si>
    <t>s. [VarMakost]</t>
  </si>
  <si>
    <t xml:space="preserve"> /ha</t>
  </si>
  <si>
    <t xml:space="preserve"> Arbeitsgänge/ha </t>
  </si>
  <si>
    <t>Grassilotransp Anwelkgut 3S-Kipper (10t Nutzl.) 7,7 t FM/ha</t>
  </si>
  <si>
    <t>pauschal</t>
  </si>
  <si>
    <t>Ernte im Lohn</t>
  </si>
  <si>
    <t>35-45 €</t>
  </si>
  <si>
    <t>12-17 €</t>
  </si>
  <si>
    <t>18-24 €</t>
  </si>
  <si>
    <t>Kurzschnitt-Ladewagen, Dosierwalzen, 40 m3</t>
  </si>
  <si>
    <t>30-45 €</t>
  </si>
  <si>
    <t>25-35 €</t>
  </si>
  <si>
    <t>55-65 €</t>
  </si>
  <si>
    <t>60 €</t>
  </si>
  <si>
    <t>50-70 €</t>
  </si>
  <si>
    <t>Silagetransport mit 10 to.-Kipper</t>
  </si>
  <si>
    <t>160-200 €</t>
  </si>
  <si>
    <t>100 €/ha</t>
  </si>
  <si>
    <t>145-180 €</t>
  </si>
  <si>
    <t>350 €</t>
  </si>
  <si>
    <t>40-55 €</t>
  </si>
  <si>
    <t>15-22 €</t>
  </si>
  <si>
    <t>90 €</t>
  </si>
  <si>
    <t>ab 330 €/ha</t>
  </si>
  <si>
    <t>40 €</t>
  </si>
  <si>
    <t xml:space="preserve">   KTBL,  sowie Angaben von Lohnunternehmern, Dieselpreis ca. 1,40 €/inkl. Mwst.)</t>
  </si>
  <si>
    <t>kg N/ha</t>
  </si>
  <si>
    <t>N</t>
  </si>
  <si>
    <t>N-Rück-lieferung Legumi-nosen (kg)</t>
  </si>
  <si>
    <r>
      <t>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</si>
  <si>
    <t>74-75</t>
  </si>
  <si>
    <r>
      <t>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</si>
  <si>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t>MgO</t>
  </si>
  <si>
    <t>CaO</t>
  </si>
  <si>
    <t>Milchwirtschaft, Wild und Fischerei Baden-Württemberg Aulendorf (LAZBW)</t>
  </si>
  <si>
    <t>Atzenberger Weg 99, 88326 Aulendorf, Tel.: 07525 / 942-300</t>
  </si>
  <si>
    <t>Feste Kosten Lagerraum</t>
  </si>
  <si>
    <r>
      <t>Lohnansatz</t>
    </r>
    <r>
      <rPr>
        <sz val="11"/>
        <rFont val="Arial"/>
        <family val="2"/>
      </rPr>
      <t xml:space="preserve"> (für ständige AK)</t>
    </r>
  </si>
  <si>
    <t>= kostendeckender Erlös langfristig</t>
  </si>
  <si>
    <r>
      <t>Variable Lohnkosten</t>
    </r>
    <r>
      <rPr>
        <sz val="11"/>
        <rFont val="Arial"/>
        <family val="2"/>
      </rPr>
      <t xml:space="preserve"> (nichtständige AK)</t>
    </r>
  </si>
  <si>
    <r>
      <t>Saatgut</t>
    </r>
    <r>
      <rPr>
        <sz val="11"/>
        <rFont val="Arial"/>
        <family val="2"/>
      </rPr>
      <t xml:space="preserve"> (ggf. mit Begrünung)</t>
    </r>
  </si>
  <si>
    <t xml:space="preserve">Feste Kosten Lagerraum </t>
  </si>
  <si>
    <t>€/Std.</t>
  </si>
  <si>
    <r>
      <t>€/m</t>
    </r>
    <r>
      <rPr>
        <vertAlign val="superscript"/>
        <sz val="11"/>
        <rFont val="Arial"/>
        <family val="2"/>
      </rPr>
      <t>³</t>
    </r>
  </si>
  <si>
    <t>Futterlieferung Hauptprodukt (netto)</t>
  </si>
  <si>
    <t>Ertrag netto</t>
  </si>
  <si>
    <t>MJ NEL/ha</t>
  </si>
  <si>
    <t>DB II</t>
  </si>
  <si>
    <t>Vollkosten</t>
  </si>
  <si>
    <t>ZA</t>
  </si>
  <si>
    <t>Vollkosten nach Prämien aus ZA</t>
  </si>
  <si>
    <t>Festkosten inkl. Lohnansatz</t>
  </si>
  <si>
    <t>Vergleich der Vollkosten verschiedener Maisprodukte</t>
  </si>
  <si>
    <t>Verluste</t>
  </si>
  <si>
    <t>für die nicht entlohnten Fam.-AK abgezogen werden, wenn die Arbeitskosten des Futterbaus im Tierhaltungs-</t>
  </si>
  <si>
    <r>
      <t>Variable Lohnkosten</t>
    </r>
    <r>
      <rPr>
        <sz val="12"/>
        <rFont val="Arial"/>
        <family val="2"/>
      </rPr>
      <t xml:space="preserve"> (nichtständige AK)</t>
    </r>
  </si>
  <si>
    <t>Zuteilung auf einzelne Nutzungen  AKh/ha</t>
  </si>
  <si>
    <t>€/AKh</t>
  </si>
  <si>
    <t>s. Blatt [Preise]</t>
  </si>
  <si>
    <t>Sonst. variable Kosten</t>
  </si>
  <si>
    <t>sonst. var. Kosten</t>
  </si>
  <si>
    <t>Kostenart</t>
  </si>
  <si>
    <t>Dr. Hansjörg Nussbaum, Wilhelm Wurth</t>
  </si>
  <si>
    <t>Festkosten u. Arbeit</t>
  </si>
  <si>
    <t xml:space="preserve">Pflanzenschutz </t>
  </si>
  <si>
    <t>Feste Maschinenkosten</t>
  </si>
  <si>
    <t>TM-Gehalte verschiedener Futterarten</t>
  </si>
  <si>
    <t>Zu- und Abschläge in Abhängigkeit von der Bodengehaltsklasse sind zu berücksichtigen</t>
  </si>
  <si>
    <t xml:space="preserve">Festkosten Maschinen u. Gebäude </t>
  </si>
  <si>
    <t xml:space="preserve">Der Zinsansatz für Umlaufvermögen wird deswegen nicht einbezogen, weil es sich um einen kalkulatorischen </t>
  </si>
  <si>
    <t>das zusätzliche Umlaufvermögen zu quantifizieren und zu verzinsen.</t>
  </si>
  <si>
    <t xml:space="preserve">Ansatz handelt. Eine generelle Berücksichtigung im DB würde zu einer Unterschätzung des Gewinnes für </t>
  </si>
  <si>
    <t>In einem weiteren Schritt bei der Gewinnermittlung sind dann die Prämien aus Zahlungsansprüchen zu addieren.</t>
  </si>
  <si>
    <t xml:space="preserve">Flächenübergang zieht nicht automatisch einen Übergang eines ZA nach sich. Zahlungsansprüche sind frei </t>
  </si>
  <si>
    <r>
      <t>Verkaufspreis des Produktes (ausgewiesen je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, je MJ NEL , je dt TM und je dt FM).</t>
    </r>
  </si>
  <si>
    <t>Kosten abzgl. Gebäudekosten u. Lagerraum</t>
  </si>
  <si>
    <t>Kosten abzgl. Gebäudekosten, Lagerraum u. Lohnansatz</t>
  </si>
  <si>
    <t>Direktkosten:</t>
  </si>
  <si>
    <t>Kosten der Arbeitserledigung:</t>
  </si>
  <si>
    <t>Direktkosten-freie Leistung:</t>
  </si>
  <si>
    <t>Kleegras Silage</t>
  </si>
  <si>
    <t>Sudangras</t>
  </si>
  <si>
    <t>Sonnenblumen</t>
  </si>
  <si>
    <t>90-91</t>
  </si>
  <si>
    <t>92-93</t>
  </si>
  <si>
    <t>je km Hof-Feld-Entf. Insg.</t>
  </si>
  <si>
    <t>zusätzliche Kosten Transport je km</t>
  </si>
  <si>
    <t xml:space="preserve">  alle Werte inkl. Fahrer und Treibstoff, jedoch ohne Mwst.!</t>
  </si>
  <si>
    <t>Ertrag brutto</t>
  </si>
  <si>
    <t>Gruber-Kreiselegge-Säkomb. 3m</t>
  </si>
  <si>
    <t>netto</t>
  </si>
  <si>
    <t>Arbeitserledigung durch Lohnunternehmer oder Maschinenring sind im Blatt "Preise" aufgeführt.</t>
  </si>
  <si>
    <t>Kosten abzügl. Ausgleichsleistungen</t>
  </si>
  <si>
    <t>Kreiselschwader: 7,5 m Seitenablage</t>
  </si>
  <si>
    <t>Kreiselschwader 4 Kreisel 12,5 m Mittelablage</t>
  </si>
  <si>
    <t>Mais/GPS-Silage festwalzen 50 t FM/ha</t>
  </si>
  <si>
    <t>LW Heu 5,3 t FM (28 m³, 4 t Nutzl.)</t>
  </si>
  <si>
    <t xml:space="preserve">Bei langfristiger Betrachtung sind auch die unterschiedlichen Festkosten und Arbeitsansprüche der verschiedenen </t>
  </si>
  <si>
    <t xml:space="preserve">Verfahren zu berücksichtigen. Hierbei spielen auch die unterschiedlichen Nutzungskosten der Fläche eine Rolle, </t>
  </si>
  <si>
    <t>d.h. die für Ackerland im Vergleich zu Grünland in der Regel höheren Pachtpreise.</t>
  </si>
  <si>
    <t>CCM</t>
  </si>
  <si>
    <t>HD-</t>
  </si>
  <si>
    <t>lose</t>
  </si>
  <si>
    <t>Silage</t>
  </si>
  <si>
    <t>Silomais</t>
  </si>
  <si>
    <t xml:space="preserve">  Nährstoffverluste bei Gülle::</t>
  </si>
  <si>
    <t>N:</t>
  </si>
  <si>
    <t>P2O5:</t>
  </si>
  <si>
    <t>K2O:</t>
  </si>
  <si>
    <t>MgO:</t>
  </si>
  <si>
    <t xml:space="preserve"> ©  </t>
  </si>
  <si>
    <t>Ampfer, Handbekämpfung alle 3 Jahre</t>
  </si>
  <si>
    <t>Zuckerhirse</t>
  </si>
  <si>
    <t>94-95</t>
  </si>
  <si>
    <t xml:space="preserve">Anspruch auf jährliche Prämien. Die Zahlungsansprüche sind nicht direkt an die Fläche gebunden, d.h. ein </t>
  </si>
  <si>
    <t>AKh/ha bzw. Ballen/ha</t>
  </si>
  <si>
    <t xml:space="preserve">handelbar, ihr Wert wird von der Höhe der Prämien, vor allem aber von Angebot und Nachfrage bestimmt </t>
  </si>
  <si>
    <r>
      <t xml:space="preserve">Arbeitszeitbedarf </t>
    </r>
    <r>
      <rPr>
        <b/>
        <sz val="12"/>
        <rFont val="Arial"/>
        <family val="2"/>
      </rPr>
      <t>(ständige AK)</t>
    </r>
  </si>
  <si>
    <t>Feste Gebäudekosten</t>
  </si>
  <si>
    <t>sonstige Festkosten</t>
  </si>
  <si>
    <t>Versicherung</t>
  </si>
  <si>
    <r>
      <t>variable Maschinenkosten</t>
    </r>
    <r>
      <rPr>
        <sz val="11"/>
        <rFont val="Arial"/>
        <family val="2"/>
      </rPr>
      <t xml:space="preserve"> (eigene Maschinen)</t>
    </r>
  </si>
  <si>
    <t>Raps (Zwischenfrucht)</t>
  </si>
  <si>
    <t>Intensiv für Biogas, ab Feld</t>
  </si>
  <si>
    <t>4 Nutz., günstiger Standort, ab Feld</t>
  </si>
  <si>
    <t>Häckselsilage</t>
  </si>
  <si>
    <t>E. Deckungsbeiträge / Vollkosten der Produktionsverfahren (s. auch Übersicht)</t>
  </si>
  <si>
    <t>Verfahren</t>
  </si>
  <si>
    <t>Grünland:</t>
  </si>
  <si>
    <t>Grünfütterung</t>
  </si>
  <si>
    <t>Grassilage</t>
  </si>
  <si>
    <t>Heu</t>
  </si>
  <si>
    <t>Grascobs</t>
  </si>
  <si>
    <t>Weide</t>
  </si>
  <si>
    <t>Arbeit</t>
  </si>
  <si>
    <t>Summe var. und feste Kosten Maschinen</t>
  </si>
  <si>
    <t>Arbeitskosten</t>
  </si>
  <si>
    <t>Maschinenkosten:</t>
  </si>
  <si>
    <t>Umtriebsweide</t>
  </si>
  <si>
    <t>Portionsweide</t>
  </si>
  <si>
    <t>Grassilage/Heu/Grassilage/Grün/Weide</t>
  </si>
  <si>
    <t>38-39</t>
  </si>
  <si>
    <t>40-41</t>
  </si>
  <si>
    <t>42-43</t>
  </si>
  <si>
    <t>44-45</t>
  </si>
  <si>
    <t>46-47</t>
  </si>
  <si>
    <t>48-49</t>
  </si>
  <si>
    <t>50-51</t>
  </si>
  <si>
    <t>52-53</t>
  </si>
  <si>
    <t>54-55</t>
  </si>
  <si>
    <t>56-57</t>
  </si>
  <si>
    <t>58-59</t>
  </si>
  <si>
    <t>60-61</t>
  </si>
  <si>
    <t>62-63</t>
  </si>
  <si>
    <t>64-65</t>
  </si>
  <si>
    <t>66-67</t>
  </si>
  <si>
    <t>68-69</t>
  </si>
  <si>
    <t>70-71</t>
  </si>
  <si>
    <t>Kalkulationsdaten Futterbau</t>
  </si>
  <si>
    <t>Deckungsbeiträge / Vollkosten</t>
  </si>
  <si>
    <t>Erstellt von:</t>
  </si>
  <si>
    <t>Landesanstalt für Entwicklung der Landwirtschaft</t>
  </si>
  <si>
    <t xml:space="preserve">Stand: </t>
  </si>
  <si>
    <t>Entscheidend ist hier die Frage, welche Kosten sich bei der Ausdehnung oder Einschränkung der Produktion</t>
  </si>
  <si>
    <t>Stand:</t>
  </si>
  <si>
    <t>Seite:</t>
  </si>
  <si>
    <t>Maissilage</t>
  </si>
  <si>
    <t>Hinweise für den Benutzer</t>
  </si>
  <si>
    <t>(als Hilfe für die Dateneingabe)</t>
  </si>
  <si>
    <t>D. Allgemeine Berechnungsgrundlagen (Stammdaten)</t>
  </si>
  <si>
    <t>Ausgleichsleistungen</t>
  </si>
  <si>
    <t>12</t>
  </si>
  <si>
    <t>Sonstige Festkosten (Lagerraum Futter, Fläche, Gemeinkosten)</t>
  </si>
  <si>
    <t>Arbeitsgänge (var. Maschinenkosten / Arbeitszeitbedarf)</t>
  </si>
  <si>
    <t>14</t>
  </si>
  <si>
    <t>Landesanstalt für Entwicklung der Landwirtschaft und der ländlichen Räume (LEL), 73525 Schwäbisch Gmünd</t>
  </si>
  <si>
    <t>Oberbettringer Str. 162,  Tel. 07171 / 917-100  Fax 917-101  e-Mail: poststelle@LEL.bwl.de</t>
  </si>
  <si>
    <t>insgesamt (€/Schlepperstunde)</t>
  </si>
  <si>
    <t>v. K. Schlepper (€/Std.)</t>
  </si>
  <si>
    <t>Schlaggröße 2 ha</t>
  </si>
  <si>
    <t>Lehr- und Versuchsanstalt für Viehhaltung und Grünlandwirtschaft</t>
  </si>
  <si>
    <t xml:space="preserve">Grassilage </t>
  </si>
  <si>
    <t>Lieschkolbenschrot (LKS)</t>
  </si>
  <si>
    <t>Futterrüben:</t>
  </si>
  <si>
    <t xml:space="preserve">     Gehaltsrüben (16% TS)</t>
  </si>
  <si>
    <t xml:space="preserve">     Masserüben (12% TS)</t>
  </si>
  <si>
    <t>65-70</t>
  </si>
  <si>
    <r>
      <t>VOS</t>
    </r>
    <r>
      <rPr>
        <vertAlign val="superscript"/>
        <sz val="10"/>
        <rFont val="Arial"/>
        <family val="2"/>
      </rPr>
      <t>1)</t>
    </r>
    <r>
      <rPr>
        <sz val="10"/>
        <rFont val="Arial"/>
        <family val="2"/>
      </rPr>
      <t>: Verdaulichkeit der organischen Substanz</t>
    </r>
  </si>
  <si>
    <t>Produktionsverfahren:</t>
  </si>
  <si>
    <t>Futterbau</t>
  </si>
  <si>
    <r>
      <t>kalkuliert werden.</t>
    </r>
    <r>
      <rPr>
        <b/>
        <sz val="10"/>
        <rFont val="Arial"/>
        <family val="2"/>
      </rPr>
      <t xml:space="preserve"> Die Zuteilung der Arbeitsgänge/ha auf die einzelnen Nutzungen wird dabei </t>
    </r>
  </si>
  <si>
    <t>masse, bewertet mit den Mineraldüngerkosten/kg Nährstoff, als Aufwand unterstellt. Dies resultiert in einem</t>
  </si>
  <si>
    <t>Sudangras Biogas VK</t>
  </si>
  <si>
    <t>Sonnenblumen Biogas VK</t>
  </si>
  <si>
    <t>Zuckerhirse Biogas VK</t>
  </si>
  <si>
    <t>bei Einlagerung</t>
  </si>
  <si>
    <t xml:space="preserve">(verfahrensspezif. Ausgl.-leist. und Prämien </t>
  </si>
  <si>
    <t>aus ZA) = kostendeckender Erlös, langfristig</t>
  </si>
  <si>
    <t>104-105</t>
  </si>
  <si>
    <t>kalk. Betriebszweigerg.</t>
  </si>
  <si>
    <r>
      <t xml:space="preserve">Deckungsbeitrag </t>
    </r>
    <r>
      <rPr>
        <b/>
        <sz val="10"/>
        <rFont val="Arial"/>
        <family val="2"/>
      </rPr>
      <t xml:space="preserve"> ohne Prämien             </t>
    </r>
  </si>
  <si>
    <t xml:space="preserve">Dabei werden u.a. unterschiedliche Produktionsintensitäten, Ertragsniveaus und Ausgleichsleistungen </t>
  </si>
  <si>
    <t xml:space="preserve">berücksichtigt. </t>
  </si>
  <si>
    <r>
      <t>Für die Verfahren der Biomasseproduktion wird analog der Methanertrag in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Methan je ha bzw. </t>
    </r>
  </si>
  <si>
    <t>Folgeschnitte</t>
  </si>
  <si>
    <t>Die Kalkulationsdaten liefern einerseits pauschale Anhaltswerte für die Grundfutterkosten je Energieeinheit.</t>
  </si>
  <si>
    <r>
      <t xml:space="preserve">Der </t>
    </r>
    <r>
      <rPr>
        <b/>
        <i/>
        <sz val="10"/>
        <rFont val="Arial"/>
        <family val="2"/>
      </rPr>
      <t>Deckungsbeitrag ohne Ausgleichsleistungen und Zinsansatz</t>
    </r>
    <r>
      <rPr>
        <sz val="10"/>
        <rFont val="Arial"/>
        <family val="2"/>
      </rPr>
      <t xml:space="preserve"> beinhaltet lediglich die veränderlichen</t>
    </r>
  </si>
  <si>
    <t>Kleegrassilage Biogas ab Feld</t>
  </si>
  <si>
    <r>
      <t>Die d</t>
    </r>
    <r>
      <rPr>
        <sz val="10"/>
        <rFont val="Arial"/>
        <family val="2"/>
      </rPr>
      <t xml:space="preserve">irektkostenfreie Leistung </t>
    </r>
    <r>
      <rPr>
        <sz val="10"/>
        <rFont val="Arial"/>
        <family val="2"/>
      </rPr>
      <t>ist die Differenz aus den verfahrensspez. Leistungen und den Direktkosten.</t>
    </r>
  </si>
  <si>
    <t xml:space="preserve">Anhaltswerte für die Aufteilung des Jahresertrages von Dauergrünland (und Kleegras) </t>
  </si>
  <si>
    <t>&lt;30</t>
  </si>
  <si>
    <t>&lt;80</t>
  </si>
  <si>
    <t>&lt;50</t>
  </si>
  <si>
    <t>% TS-Gehalt des Substrates:</t>
  </si>
  <si>
    <t xml:space="preserve">  (Anhaltswerte nach  MR-Sätzen und Preisen verschiedener Lohnunternehmen unter Berücksichtigung von ha-Leistungen nach </t>
  </si>
  <si>
    <t xml:space="preserve">  Die tatsächlichen Kosten unterliegen erfahrungsgemäß einer großen Spannweite aufgrund unterschiedlicher </t>
  </si>
  <si>
    <t xml:space="preserve">Alle Berechnungsvorgaben können andererseits vom Anwender in der EDV-Datei verändert werden, </t>
  </si>
  <si>
    <t>Preis Diesel aktuell  in €/l inkl. Mwst.</t>
  </si>
  <si>
    <t>6,6</t>
  </si>
  <si>
    <t>im Ähren- / Rispenschieben</t>
  </si>
  <si>
    <t>Beginn Blüte</t>
  </si>
  <si>
    <t>Ende Blüte</t>
  </si>
  <si>
    <t xml:space="preserve">Fall automatisch dem Futterbauverfahren angelastet. Diese zuletzt genannte Vorgehensweise wurde auch </t>
  </si>
  <si>
    <t>Nr.</t>
  </si>
  <si>
    <t>Kulturen</t>
  </si>
  <si>
    <t>Erntejahr</t>
  </si>
  <si>
    <t>SF-Feldhäcksler</t>
  </si>
  <si>
    <t>SF-Maishäcksler</t>
  </si>
  <si>
    <t>Pflanzenschutzspritze (1500 l) 18 m</t>
  </si>
  <si>
    <t>Kreiselschwader 7,5 m Seitenablage</t>
  </si>
  <si>
    <t>Wiesenwalze 3 m</t>
  </si>
  <si>
    <t>Näheres s. Richtlinie AZL</t>
  </si>
  <si>
    <r>
      <t xml:space="preserve">Lohnmaschinen </t>
    </r>
    <r>
      <rPr>
        <sz val="10"/>
        <rFont val="Arial"/>
        <family val="2"/>
      </rPr>
      <t>(inkl. Gülleausbr., falls Güllerücklieferung)</t>
    </r>
  </si>
  <si>
    <t>Schroten im Lohn</t>
  </si>
  <si>
    <t>P2O5</t>
  </si>
  <si>
    <t>K2O</t>
  </si>
  <si>
    <t>Vollkosten abzgl. Ausgleichsleistungen u. Prämien aus Zahlungsansprüchen (ZA)</t>
  </si>
  <si>
    <t>Produktivität Standort / Intensität</t>
  </si>
  <si>
    <t>Phosphor</t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</si>
  <si>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</si>
  <si>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Kalium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</si>
  <si>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</si>
  <si>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t>Magnesium</t>
  </si>
  <si>
    <t>Zinssatz (i) für gebundenes Kapital in %</t>
  </si>
  <si>
    <t>Umlaufvermögen</t>
  </si>
  <si>
    <t>Maschinenkapital</t>
  </si>
  <si>
    <t>Lohnansatz für ständige AK</t>
  </si>
  <si>
    <t>Lohnansatz (€/Akh)</t>
  </si>
  <si>
    <t>€/dt Trockengrün (90% TM)</t>
  </si>
  <si>
    <t xml:space="preserve">€/dt Trockengrün </t>
  </si>
  <si>
    <t xml:space="preserve">Weidelgrassilage </t>
  </si>
  <si>
    <t>Masch.) ist dann gegebenenfalls zu reduzieren. Anhaltswerte für die Kosten der überbetrieblichen</t>
  </si>
  <si>
    <t>Maschinen- und Gebäude-Festkosten</t>
  </si>
  <si>
    <t>Umrechnungsfaktor m3 Methan GJ</t>
  </si>
  <si>
    <r>
      <t>€/m</t>
    </r>
    <r>
      <rPr>
        <vertAlign val="superscript"/>
        <sz val="11"/>
        <rFont val="Arial"/>
        <family val="2"/>
      </rPr>
      <t xml:space="preserve">3 </t>
    </r>
    <r>
      <rPr>
        <sz val="11"/>
        <rFont val="Arial"/>
        <family val="2"/>
      </rPr>
      <t>Methan</t>
    </r>
  </si>
  <si>
    <r>
      <t>€/10 MJ NEL bzw 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 xml:space="preserve"> Methan</t>
    </r>
  </si>
  <si>
    <t>GJ/dt TM</t>
  </si>
  <si>
    <t>GJ/ha</t>
  </si>
  <si>
    <r>
      <t>Umrechnungsfaktor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Methan / GJ</t>
    </r>
  </si>
  <si>
    <t>€/GJ</t>
  </si>
  <si>
    <t>GJ/ ha</t>
  </si>
  <si>
    <t>Einkauf sonstige Betriebsmittel</t>
  </si>
  <si>
    <t>Sonstige variable Kosten (Mittelwert)</t>
  </si>
  <si>
    <t>Nährstoffpreise in €/kg Reinnährstoff</t>
  </si>
  <si>
    <t>Mehrwertsteuersatz in %:</t>
  </si>
  <si>
    <t>Preise ohne MwSt.</t>
  </si>
  <si>
    <t>m. MwSt.</t>
  </si>
  <si>
    <r>
      <t>t =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 xml:space="preserve"> Gülle/ha</t>
    </r>
  </si>
  <si>
    <t>Fahrtgeschwindigkeit :</t>
  </si>
  <si>
    <t>km/h</t>
  </si>
  <si>
    <t xml:space="preserve">bei 70% Anrechnung Gülle-N im 1. Jahr </t>
  </si>
  <si>
    <t>bei 70% anrechenbarer Gülle-N im Ausbringungsjahr</t>
  </si>
  <si>
    <t>des Düngebedarfs bei Weideverfahren aus Gülle, Rest aus Dunganfall bei Weide</t>
  </si>
  <si>
    <t>Aktuell</t>
  </si>
  <si>
    <t>Maßnahme</t>
  </si>
  <si>
    <t>je Std.</t>
  </si>
  <si>
    <t>Preise / Zinssatz / Lohnansatz</t>
  </si>
  <si>
    <t>Erntejahr:</t>
  </si>
  <si>
    <t>Mehrwertsteuersätze in %</t>
  </si>
  <si>
    <t>Verkauf landw. Erzeugnisse</t>
  </si>
  <si>
    <t>Methanertrag:</t>
  </si>
  <si>
    <r>
      <t>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Methan/dt TM</t>
    </r>
  </si>
  <si>
    <t>m3 Methan/ha</t>
  </si>
  <si>
    <r>
      <t>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Methan/ha</t>
    </r>
  </si>
  <si>
    <t>Methanertrag</t>
  </si>
  <si>
    <r>
      <t>€/m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Methan</t>
    </r>
  </si>
  <si>
    <t>€/m3 Methan</t>
  </si>
  <si>
    <t>(nur Ernte und Gülleausbringung)</t>
  </si>
  <si>
    <t>je km</t>
  </si>
  <si>
    <t>Kleegrassilage 4 Nutzungen, für Verkauf an Biogasanlage ab Feld (ohne Kosten Ernte, Lagerraum und Abdeckung); Rücklieferung Gärrest unter 100% Anrechung Netto-Nährstoffe (30% N-Verluste) und Kosten Gärrestausbringung</t>
  </si>
  <si>
    <r>
      <t>Ertrag / Aufwuchs</t>
    </r>
    <r>
      <rPr>
        <sz val="12"/>
        <rFont val="Arial"/>
        <family val="2"/>
      </rPr>
      <t xml:space="preserve"> (brutto)</t>
    </r>
  </si>
  <si>
    <r>
      <t>Abfuhr</t>
    </r>
    <r>
      <rPr>
        <sz val="11"/>
        <rFont val="Arial"/>
        <family val="2"/>
      </rPr>
      <t/>
    </r>
  </si>
  <si>
    <r>
      <t>Umrechnungsfaktor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Methan / GJ</t>
    </r>
  </si>
  <si>
    <r>
      <t>Arbeitszeitbedarf</t>
    </r>
    <r>
      <rPr>
        <sz val="12"/>
        <rFont val="Arial"/>
        <family val="2"/>
      </rPr>
      <t xml:space="preserve"> (ständige AK)</t>
    </r>
  </si>
  <si>
    <r>
      <t>Variable Lohnkosten</t>
    </r>
    <r>
      <rPr>
        <sz val="12"/>
        <rFont val="Arial"/>
        <family val="2"/>
      </rPr>
      <t xml:space="preserve"> (nichtständige AK)</t>
    </r>
  </si>
  <si>
    <t>Spectrum Aqua-Pack</t>
  </si>
  <si>
    <t xml:space="preserve">Grundlegende Daten für alle Verfahren sind in den Arbeitsblättern mit Stammdaten (obere Zeile der Abbildung) </t>
  </si>
  <si>
    <t xml:space="preserve">aufgeführt und mit den Arbeitsblättern der einzelnen Produktionsverfahren verknüpft. Änderungen in diesen </t>
  </si>
  <si>
    <t>Blättern werden automatisch in allen Produktionsverfahren gleichermaßen geändert.</t>
  </si>
  <si>
    <t>3.   Stammdaten</t>
  </si>
  <si>
    <t>"Orientierungswerte Futterbau" (Blätter a, b, c)</t>
  </si>
  <si>
    <t>96-97</t>
  </si>
  <si>
    <t>In diesen Blättern sind Faustzahlen für Erträge, Energiegehalte, Verluste und TM-Gehalte der Prod.-verfahren</t>
  </si>
  <si>
    <t>zusammengefasst.</t>
  </si>
  <si>
    <t>"Preise"</t>
  </si>
  <si>
    <t xml:space="preserve">Die Eingabe von Preisen erfolgt grundsätzlich in EURO (€) ohne Mwst.. Diese wird automatisch in den </t>
  </si>
  <si>
    <t>Goltix</t>
  </si>
  <si>
    <t>Betanal</t>
  </si>
  <si>
    <t>weitere H und F</t>
  </si>
  <si>
    <t>Grünland / Ackerfutter / Pflanzliche Substrate für Biogas</t>
  </si>
  <si>
    <t xml:space="preserve">Im Anschluß werden diese Arbeitsgänge in Anlehnung an die Frischmasseabfuhr auf die einzelnen </t>
  </si>
  <si>
    <t>76-77</t>
  </si>
  <si>
    <t xml:space="preserve">ex Silo: einsilierte Ware  einschl. kompletter Ernte (Häckseln, Transport, Festfahren, abdecken) , </t>
  </si>
  <si>
    <t>82-83</t>
  </si>
  <si>
    <t>Triticale-GPS, ab Feld</t>
  </si>
  <si>
    <t>Triticale-GPS, ex Silo (einsiliert)</t>
  </si>
  <si>
    <t>Hafer-GPS, ab Feld</t>
  </si>
  <si>
    <t>Topinambur-Knollen Biogas ex Silo</t>
  </si>
  <si>
    <t>Topinambur-Kraut Biogas ex Silo</t>
  </si>
  <si>
    <t>Kartoffel-Vollernter m. Bunker 2-reihig</t>
  </si>
  <si>
    <t>Hafer-GPS, ex Silo (einsiliert)</t>
  </si>
  <si>
    <t>88-89</t>
  </si>
  <si>
    <t>4 Nutzungen, ex Silo (einsiliert)</t>
  </si>
  <si>
    <t>Silage (4 Nutz), ab Feld</t>
  </si>
  <si>
    <t>Silage (4 Nutz), ex Silo (einsiliert)</t>
  </si>
  <si>
    <t>3 Nutz., günstiger Standort, ex Silo (einsiliert)</t>
  </si>
  <si>
    <t>4 Nutz., günstiger Standort, ex Silo (einsiliert)</t>
  </si>
  <si>
    <t>Grünroggensilage, ex Silo (einsiliert)</t>
  </si>
  <si>
    <t>100-101</t>
  </si>
  <si>
    <t>Kombiverfahren, Biomasse ex Silo (einsiliert)</t>
  </si>
  <si>
    <t>Hauptfrucht, ex Silo (einsiliert)</t>
  </si>
  <si>
    <t>108-109</t>
  </si>
  <si>
    <t>114-115</t>
  </si>
  <si>
    <t>120-121</t>
  </si>
  <si>
    <t>Zuckerrübe ex Silo</t>
  </si>
  <si>
    <t>126-127</t>
  </si>
  <si>
    <t>pflanzliche Sunstrate für Biogasanlagen</t>
  </si>
  <si>
    <t>Silomais Biogas ex Silo</t>
  </si>
  <si>
    <t>Grassil. Biogas ex Silo</t>
  </si>
  <si>
    <t>Grünroggensil. Vorfrucht Biogas ex Silo</t>
  </si>
  <si>
    <t>Grünroggen ZWF + Silomais HF Biogas ex Silo</t>
  </si>
  <si>
    <t>Zuckerhirse Hauptfrucht ex Silo</t>
  </si>
  <si>
    <t>Grassilage für Verkauf an Biogasanlage ab Feld (ohne Ernte, Lagerraum, Abdeckung);Rücklieferung Gärrest unter 100% Anrechung der Netto-Nährstoffe (30% N-Verluste) und Kosten Gärrestausbringung</t>
  </si>
  <si>
    <t>Grünroggen-Vorfrucht + Silomais-Hauptfrucht für Biogasanlage. Gesamt-TM-Ertrag; Rücklieferung Gärrest unter 100% Anrechung der Netto-Nährstoffe (30% N-Verluste); ab Feld; inkl. Kosten der Gärrest-Ausbringung</t>
  </si>
  <si>
    <t>Grünl. Ext.</t>
  </si>
  <si>
    <t>Heu 3 Nutz.</t>
  </si>
  <si>
    <t xml:space="preserve">Grascobs </t>
  </si>
  <si>
    <t xml:space="preserve">Kleegras grün </t>
  </si>
  <si>
    <t>= Kostendeckender Erlös langfristig</t>
  </si>
  <si>
    <t>12-13</t>
  </si>
  <si>
    <t>aufgeführt.</t>
  </si>
  <si>
    <t>GPS Hafer Biogas ab Feld</t>
  </si>
  <si>
    <t>Zuckerrüben Biogas ex Silo</t>
  </si>
  <si>
    <t>Grünr.+Sonnenbl. Biog. ex Silo</t>
  </si>
  <si>
    <t>GPS + Zuckerhirse Biogas ex Silo</t>
  </si>
  <si>
    <t>Zuckerhirse HF Biogas ex Silo</t>
  </si>
  <si>
    <t>GPS + Sudangr Biogas ex Silo</t>
  </si>
  <si>
    <t>Sudangras HF Biog. ex Silo</t>
  </si>
  <si>
    <t>Grünroggen-Silomais Biog. ex Silo</t>
  </si>
  <si>
    <t>Grünroggen Vorfrucht Biogas ex Silo</t>
  </si>
  <si>
    <t>Grassilage 4 Nutz. Biogas ex Silo</t>
  </si>
  <si>
    <t>Grassilage 3 Nutz. Biogas ex Silo</t>
  </si>
  <si>
    <t>Weidelgrassil. Biogas ex Silo</t>
  </si>
  <si>
    <t>Kleegrassilage Biogas ex Silo</t>
  </si>
  <si>
    <t>Sudangras HF Biogas ab Feld</t>
  </si>
  <si>
    <t>HF = Hauptfrucht; Silage für Biogasanlage, 2-Schnitt-Nutzung: 1. Ende Juli/Anfang August 2. Ende Oktober; Rücklieferung Gärrest unter 100% Anrechung Netto-Nährstoffe (30% N-Verluste); ab Feld, inkl. Kosten Gärrest-Ausbringung</t>
  </si>
  <si>
    <t>Nachsaatmaschine,</t>
  </si>
  <si>
    <t xml:space="preserve">Nachsaatmaschine, </t>
  </si>
  <si>
    <t>Silage für Biogasanlage, Erstfrucht Triticale-GPS, Zweitfrucht Zuckerhirse; Rücklieferung Gärrest unter 100% Anrechung Netto-Nährstoffe (30% N-Verluste); ab Feld; inkl. Kosten Gärrest-Ausbringung</t>
  </si>
  <si>
    <t>GPS + Zuckerhirse Biog. ab Feld</t>
  </si>
  <si>
    <t>Intensiv für Biogas, ex Silo (einsiliert)</t>
  </si>
  <si>
    <t xml:space="preserve">Kosten. Er dient als Wert für Betriebsplanungen. Die vom Betrieb realisierten Ausgleichsleistungen sowie die </t>
  </si>
  <si>
    <t>Grünroggen + Silomais</t>
  </si>
  <si>
    <t>Zuckerhirse (Hauptfrucht)</t>
  </si>
  <si>
    <t>98-99</t>
  </si>
  <si>
    <t>GPS + Sudangras</t>
  </si>
  <si>
    <t>GPS + Zuckerhirse</t>
  </si>
  <si>
    <t>Grünroggen + Sonnenblumen</t>
  </si>
  <si>
    <t>102-103</t>
  </si>
  <si>
    <t>Gärrestausbringung</t>
  </si>
  <si>
    <r>
      <t xml:space="preserve">Die Kennwerte "variable Kosten" und "Deckungsbeitrag" werden bei der </t>
    </r>
    <r>
      <rPr>
        <b/>
        <u/>
        <sz val="10"/>
        <rFont val="Arial"/>
        <family val="2"/>
      </rPr>
      <t>Planung von Betrieben</t>
    </r>
    <r>
      <rPr>
        <u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verwendet. </t>
    </r>
  </si>
  <si>
    <t>in 10 MJ ME/ha bzw. GJ/ha (bei Biogas-Kofermenten)</t>
  </si>
  <si>
    <t>€/10 MJ ME bzw. €/GJ ME</t>
  </si>
  <si>
    <r>
      <t xml:space="preserve">verändern. Bei der </t>
    </r>
    <r>
      <rPr>
        <b/>
        <u/>
        <sz val="10"/>
        <rFont val="Arial"/>
        <family val="2"/>
      </rPr>
      <t>Betriebsanalyse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wird seit einiger Zeit die neue, von einer DLG Arbeitsgruppe erarbeitete </t>
    </r>
  </si>
  <si>
    <t>Lohnmaschinen, variable Lohnkosten,  feste Maschinenkosten (Abschreibung , Zinsansatz und Unter-</t>
  </si>
  <si>
    <t>haltung Maschinen), Kosten für ständige Fremd-AK sowie der Lohnansatz für nichtentlohnte AK.</t>
  </si>
  <si>
    <t>Summe Kosten</t>
  </si>
  <si>
    <t>Gras Häckseln Selbstfahrer (265 KW)</t>
  </si>
  <si>
    <t>inkl .Schlepper und Fahrer</t>
  </si>
  <si>
    <t>1. Schnitt</t>
  </si>
  <si>
    <t>Festfahren mit Radlader</t>
  </si>
  <si>
    <t xml:space="preserve">Vorgegeben ist ein Betrieb mit dem notwendigen Maschinenbesatz und realistischen Werten für die </t>
  </si>
  <si>
    <t>Kosten überbetriebliche Arbeitserledigung</t>
  </si>
  <si>
    <t>Arbeitsgang:</t>
  </si>
  <si>
    <t>min</t>
  </si>
  <si>
    <t>Ø</t>
  </si>
  <si>
    <t>max.</t>
  </si>
  <si>
    <t>GPS Triticale Biogas ab Feld</t>
  </si>
  <si>
    <t>Mähen mit Großflächenmähwerk o. Selbstfahrer</t>
  </si>
  <si>
    <t>Stundenleistung</t>
  </si>
  <si>
    <t>Kreiseln/Zetten mit Großflächenkreisel (10-14 m)</t>
  </si>
  <si>
    <t>12-14,0 m AB</t>
  </si>
  <si>
    <t>7,0-8,50 m AB</t>
  </si>
  <si>
    <t>Schwaden:</t>
  </si>
  <si>
    <t>zusätzlich Siloverteiler</t>
  </si>
  <si>
    <t>Silomais Häckseln (6-Reiher)</t>
  </si>
  <si>
    <t>GPS Häckseln</t>
  </si>
  <si>
    <t>Grünfutter Ernte</t>
  </si>
  <si>
    <t>Bandur</t>
  </si>
  <si>
    <t>Pflügen (4-Schar)</t>
  </si>
  <si>
    <t>Silomais Biogas ex Silo (einsiliert)</t>
  </si>
  <si>
    <t>GPS Triticale Biogas ex Silo</t>
  </si>
  <si>
    <t>GPS Hafer Biogas ex Silo</t>
  </si>
  <si>
    <t>€/ha (Spann-weite)</t>
  </si>
  <si>
    <t>werden soll, eingegeben werden.</t>
  </si>
  <si>
    <t>Der Aufbau der Kalkulationsdaten Futterbau ist in der Abbildung dargestellt.</t>
  </si>
  <si>
    <t>Silage für Biogasanlage, Erstfrucht Triticale-GPS, Zweitfrucht Sudangras (1 Schnitt); Rücklieferung Gärrest unter 100% Anrechung Netto-Nährstoffe (30% N-Verluste); ab Feld; inkl. Kosten Gärrest-Ausbringung</t>
  </si>
  <si>
    <t>"Ausgleichsleistungen"</t>
  </si>
  <si>
    <t xml:space="preserve">In diesem Blatt ist oben rechts das Jahr einzugeben, für das die Berechnungen durchgeführt werden </t>
  </si>
  <si>
    <t>sollen. Diese Auswahl wird dann allen Berechnungen zugrunde gelegt.</t>
  </si>
  <si>
    <t>"Festkosten Maschinen und Gebäude"</t>
  </si>
  <si>
    <t>Wiesenegge 6 m</t>
  </si>
  <si>
    <t>Wiesenwalze 3,0 m</t>
  </si>
  <si>
    <t>KW</t>
  </si>
  <si>
    <t>"Sonstige Festkosten"</t>
  </si>
  <si>
    <t>Hier sind weitere feste Spezial- und Gemeinkosten zusammengestellt. Dies betrift u.a. einen Pachtansatz</t>
  </si>
  <si>
    <t>SF-Feldhäcksler (Direktschneidwerk)</t>
  </si>
  <si>
    <t>Faustzahlen zur Abfuhr, zu Verlusten, zum Energiegehalt und zum TM-Gehalt der Futterfrüchte findet man in</t>
  </si>
  <si>
    <r>
      <t xml:space="preserve">Bei den </t>
    </r>
    <r>
      <rPr>
        <b/>
        <i/>
        <sz val="10"/>
        <rFont val="Arial"/>
        <family val="2"/>
      </rPr>
      <t>Düngungskosten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wird der Netto-Nährstoffentzug aus der ertragsabhängigen Abfuhr der Pflanzen-</t>
    </r>
  </si>
  <si>
    <t>entsprechender "Düngerwert" aus den anrechenbaren Nährstoffen im Wirtschaftsdünger als Nebenleistung</t>
  </si>
  <si>
    <t xml:space="preserve">einberechnet werden. Ebenso werden in diesem Fall die Kosten der Dungausbringung nicht dem </t>
  </si>
  <si>
    <t>Pflanzenbauverfahren, sondern der Tierhaltung zugerechnet.</t>
  </si>
  <si>
    <t>Direktkosten</t>
  </si>
  <si>
    <t>Kosten der Arbeitserledigung</t>
  </si>
  <si>
    <t>Koferment für Biogasanlagen</t>
  </si>
  <si>
    <t>Schwergrubber angeb. 3 m</t>
  </si>
  <si>
    <t>Schwergrubber 3 m</t>
  </si>
  <si>
    <t>Ant-</t>
  </si>
  <si>
    <t>Diesel</t>
  </si>
  <si>
    <t>trieb</t>
  </si>
  <si>
    <t>l/h</t>
  </si>
  <si>
    <t>€/h</t>
  </si>
  <si>
    <t>var. Kosten</t>
  </si>
  <si>
    <t>Einh.</t>
  </si>
  <si>
    <t>€/Einh.</t>
  </si>
  <si>
    <t>PS /</t>
  </si>
  <si>
    <t>Arbeits-</t>
  </si>
  <si>
    <r>
      <t xml:space="preserve">in Anlehnung an die Frischmasseabfuhr der jeweiligen Nutzung eingegeben. </t>
    </r>
    <r>
      <rPr>
        <sz val="10"/>
        <rFont val="Arial"/>
        <family val="2"/>
      </rPr>
      <t>So werden unterschied-</t>
    </r>
  </si>
  <si>
    <r>
      <t xml:space="preserve">Kosten für </t>
    </r>
    <r>
      <rPr>
        <b/>
        <i/>
        <sz val="10"/>
        <rFont val="Arial"/>
        <family val="2"/>
      </rPr>
      <t>Lohnarbeitskräfte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und</t>
    </r>
    <r>
      <rPr>
        <b/>
        <sz val="10"/>
        <rFont val="Arial"/>
        <family val="2"/>
      </rPr>
      <t xml:space="preserve"> sonst. variable Kosten </t>
    </r>
    <r>
      <rPr>
        <sz val="10"/>
        <rFont val="Arial"/>
        <family val="2"/>
      </rPr>
      <t xml:space="preserve">können frei bzw. teilweise über Zahlencode aus </t>
    </r>
  </si>
  <si>
    <t xml:space="preserve">dem Blatt "Preise" heraus eingegeben werden. </t>
  </si>
  <si>
    <t>Neutralsalze (chemisch)</t>
  </si>
  <si>
    <t>Säuren (chemisch)</t>
  </si>
  <si>
    <t>Grassil. Biogas ab Feld</t>
  </si>
  <si>
    <r>
      <t>(Grassilage in Fremdmechanisierung)</t>
    </r>
    <r>
      <rPr>
        <b/>
        <vertAlign val="superscript"/>
        <sz val="18"/>
        <rFont val="Arial"/>
        <family val="2"/>
      </rPr>
      <t>1)</t>
    </r>
  </si>
  <si>
    <t>1) 100 ha-Betrieb unterstellt (s. "Festkosten Masch-Geb"),</t>
  </si>
  <si>
    <t>Feste Gebäudekosten (Afa, Zins, Unt.), €/ha (m. MwSt.)</t>
  </si>
  <si>
    <t>(ohne Gebäude für Tierhaltung</t>
  </si>
  <si>
    <t>tung</t>
  </si>
  <si>
    <r>
      <t>kosten</t>
    </r>
    <r>
      <rPr>
        <sz val="10"/>
        <rFont val="Arial"/>
        <family val="2"/>
      </rPr>
      <t xml:space="preserve"> (fest,</t>
    </r>
  </si>
  <si>
    <t xml:space="preserve"> und ohne Futterlagerraum)</t>
  </si>
  <si>
    <t>% vom</t>
  </si>
  <si>
    <t>m. MwSt.)</t>
  </si>
  <si>
    <t>Anschaffw.</t>
  </si>
  <si>
    <t>€/Jahr</t>
  </si>
  <si>
    <t>Maschinenhalle</t>
  </si>
  <si>
    <t>Sonstige feste Spezial- und Gemeinkosten</t>
  </si>
  <si>
    <t>Festkosten Lagerraum Futter</t>
  </si>
  <si>
    <t>Zinssatz (i) %:</t>
  </si>
  <si>
    <t>Anschaffungswert</t>
  </si>
  <si>
    <t>Nutzgs-</t>
  </si>
  <si>
    <t>Fest-</t>
  </si>
  <si>
    <t>Unterhaltung in %:</t>
  </si>
  <si>
    <t>ohne MwSt.</t>
  </si>
  <si>
    <t>mit MwSt.</t>
  </si>
  <si>
    <t>kosten</t>
  </si>
  <si>
    <t>Gebäude / Einrichtung</t>
  </si>
  <si>
    <t>je t und km Hof-Feld</t>
  </si>
  <si>
    <t>€/m³</t>
  </si>
  <si>
    <t>TM-gehalte im Ernteprodukt in %</t>
  </si>
  <si>
    <t>eines einzelnen Produktionsverfahrens, welcher durch die einfließenden Ausgleichsleistungen maßgeblich</t>
  </si>
  <si>
    <r>
      <t>deckenden Erlös/ha bzw. Nährstoffeinheit.</t>
    </r>
    <r>
      <rPr>
        <sz val="10"/>
        <rFont val="Arial"/>
        <family val="2"/>
      </rPr>
      <t xml:space="preserve"> Dies entspricht im Verkaufsfall dem langfristig anzusetzenden </t>
    </r>
  </si>
  <si>
    <t xml:space="preserve">(Die Kosten abzgl. Ausgleichsleistungen je 10 MJ NEL bzw. ME gehen als Grundfutterkosten in </t>
  </si>
  <si>
    <t>Vollkostenrechnung der Tierhaltungsverfahren ein; zur Berücksichtigung der Prämien aus Zahlungsansprüchen</t>
  </si>
  <si>
    <t>verfahren aggregiert berücksichtigt werden. Dieser Wert ist z.B. die Grundlage für die Berechnung der Grund-</t>
  </si>
  <si>
    <t>1) Silierketten: Mindestpreise, tatsächlicher Preis sehr stark abhängig von Gesamtumfang und der Arrondierung der Flächen (Transportentfernungen)</t>
  </si>
  <si>
    <t>5 Nutz. eigen</t>
  </si>
  <si>
    <t>106-107</t>
  </si>
  <si>
    <t>110-111</t>
  </si>
  <si>
    <t>112-113</t>
  </si>
  <si>
    <t>116-117</t>
  </si>
  <si>
    <t>118-119</t>
  </si>
  <si>
    <t>122-123</t>
  </si>
  <si>
    <t>124-125</t>
  </si>
  <si>
    <t>digung". Sie werden, um einen Vergleich mit empirischen Betriebszweigabrechnungen zu ermöglichen, in den</t>
  </si>
  <si>
    <t xml:space="preserve"> letzten Zeilen des Blattes "Kostenrechnung" ausgewiesen.</t>
  </si>
  <si>
    <t>Kosten frei Fermenter</t>
  </si>
  <si>
    <t>Nutzungsdauer und den außerbetrieblichen Einsatzumfang (z.B. Lohnarbeit, Forstarbeit usw.).</t>
  </si>
  <si>
    <t xml:space="preserve">für die Flächen und Zahlungsansprüche (ZA), sonstige Festkosten, die keinem Produktionsverfahren direkt </t>
  </si>
  <si>
    <t>zugeordnet werden können und die Kosten für den Lagerraum Futter (Silage, Heu, Cobs).</t>
  </si>
  <si>
    <t>Die Arbeitsgänge können dann in den "Berechnungsgrundlagen" zu den einzelnen Produktionsverfahren</t>
  </si>
  <si>
    <t>dt Frischmasse</t>
  </si>
  <si>
    <t>dt FM/ha</t>
  </si>
  <si>
    <t>Lagerraumbedarf</t>
  </si>
  <si>
    <t>m³/ha</t>
  </si>
  <si>
    <t xml:space="preserve">Nährstoffeinheiten/ha (netto): </t>
  </si>
  <si>
    <r>
      <t xml:space="preserve">Leistungen A </t>
    </r>
    <r>
      <rPr>
        <b/>
        <sz val="10"/>
        <rFont val="Arial"/>
        <family val="2"/>
      </rPr>
      <t>(Verfahrensabh. Ausgl.leist.)</t>
    </r>
  </si>
  <si>
    <t>12,0/10,5</t>
  </si>
  <si>
    <t>1-5</t>
  </si>
  <si>
    <t>6-10</t>
  </si>
  <si>
    <t>Arbeitsgang</t>
  </si>
  <si>
    <t>Bei kurzfristiger Betrachtungsweise - also bei unveränderten Kapazitäten des Betriebes- ist der DB inkl. Zins-</t>
  </si>
  <si>
    <t xml:space="preserve">stoffeinheit MJ NEL bzw. ME (Anm.: es wird dabei unterstellt, dass der Betrieb diese Ausgleichsleistungen </t>
  </si>
  <si>
    <t>auch bekommen kann).</t>
  </si>
  <si>
    <t>zeit</t>
  </si>
  <si>
    <t>freie gelbe Felder können für weitere Verfahren genutzt werden.</t>
  </si>
  <si>
    <t>Mais LKS</t>
  </si>
  <si>
    <t>Silomais Biogas ab Feld</t>
  </si>
  <si>
    <t>Erläuterungen zum Verfahren:</t>
  </si>
  <si>
    <t>Mais CCM</t>
  </si>
  <si>
    <t>Dreschen und Schroten im Lohn</t>
  </si>
  <si>
    <t>Einzelk.saat Mais 6r R-Düngung</t>
  </si>
  <si>
    <t xml:space="preserve"> ha</t>
  </si>
  <si>
    <t>Prüfspalten bzgl. der ausgewählten Schlepper</t>
  </si>
  <si>
    <t>Summenspalte</t>
  </si>
  <si>
    <t>(Fehlermeldung, wenn Summe =größer 1)</t>
  </si>
  <si>
    <r>
      <t>ausgewählt:</t>
    </r>
    <r>
      <rPr>
        <i/>
        <sz val="14"/>
        <rFont val="Arial"/>
        <family val="2"/>
      </rPr>
      <t xml:space="preserve"> =</t>
    </r>
    <r>
      <rPr>
        <b/>
        <i/>
        <sz val="14"/>
        <rFont val="Arial"/>
        <family val="2"/>
      </rPr>
      <t xml:space="preserve"> 1</t>
    </r>
  </si>
  <si>
    <t>Betreuung Portionsweide pauschal</t>
  </si>
  <si>
    <t>Spalte für</t>
  </si>
  <si>
    <t>Berechnungsgrundlagen</t>
  </si>
  <si>
    <t>Verfahren:</t>
  </si>
  <si>
    <t>=</t>
  </si>
  <si>
    <r>
      <t>Kalk. Betriebszweigergebnis</t>
    </r>
    <r>
      <rPr>
        <b/>
        <sz val="11"/>
        <rFont val="Arial"/>
        <family val="2"/>
      </rPr>
      <t xml:space="preserve"> </t>
    </r>
    <r>
      <rPr>
        <sz val="9"/>
        <rFont val="Arial"/>
        <family val="2"/>
      </rPr>
      <t>(Z.37-Z.38)</t>
    </r>
  </si>
  <si>
    <t xml:space="preserve">d.h. ihre Ausdehnung im einzelnen Betrieb ist nur begrenzt oder gar nicht möglich. </t>
  </si>
  <si>
    <t>Grassilo festwalzen 7,7 t FM/ha mit Schlepper</t>
  </si>
  <si>
    <t xml:space="preserve">können und leicht erfassbar sind: Saatgut, Dünger, Pflanzenschutz und sonstige variable </t>
  </si>
  <si>
    <t>Siliermittel (biolog.) 0,25 €/dt</t>
  </si>
  <si>
    <r>
      <t>Summe (€/m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</si>
  <si>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 xml:space="preserve">Kosten für Fläche und Zahlungsanspruch </t>
    </r>
    <r>
      <rPr>
        <sz val="11"/>
        <rFont val="Arial"/>
        <family val="2"/>
      </rPr>
      <t>(Pachtansatz)</t>
    </r>
  </si>
  <si>
    <t>Allgemeine Orientierungswerte Futterbau (b)</t>
  </si>
  <si>
    <t xml:space="preserve">Direktkosten des Betriebszweiges sind alle Kosten, die einem Betriebszweig direkt zugerechnet werden </t>
  </si>
  <si>
    <t>Kosten (Beregnung, Trocknung, Lagerung und Vermarktung) sowie ein Zinsansatz f. das Umlaufvermögen.</t>
  </si>
  <si>
    <r>
      <t xml:space="preserve">Werden von diesen Vollkosten die erhaltenen Ausgleichsleistungen abgezogen, erhält man den </t>
    </r>
    <r>
      <rPr>
        <b/>
        <i/>
        <sz val="10"/>
        <rFont val="Arial"/>
        <family val="2"/>
      </rPr>
      <t>kosten-</t>
    </r>
  </si>
  <si>
    <t>Zu den Arbeitserledigungskosten zählen alle Kosten, die in Verbindung mit Arbeit und Maschinen verursacht</t>
  </si>
  <si>
    <r>
      <t>Variable Maschinenkosten</t>
    </r>
    <r>
      <rPr>
        <sz val="12"/>
        <rFont val="Arial"/>
        <family val="2"/>
      </rPr>
      <t xml:space="preserve"> (eigene Masch.) </t>
    </r>
  </si>
  <si>
    <t>Akh/ha</t>
  </si>
  <si>
    <t>var Makost €/ha</t>
  </si>
  <si>
    <t>Gerät / Arbeitsgang</t>
  </si>
  <si>
    <t>je Arb.gang</t>
  </si>
  <si>
    <t>Arbgäng.</t>
  </si>
  <si>
    <t>Zuteilung auf einzelne Nutzungen</t>
  </si>
  <si>
    <t>Ø €/ha u. Nutzung</t>
  </si>
  <si>
    <r>
      <t>in 10 MJ NEL/ha bzw. m</t>
    </r>
    <r>
      <rPr>
        <b/>
        <vertAlign val="superscript"/>
        <sz val="13"/>
        <rFont val="Arial"/>
        <family val="2"/>
      </rPr>
      <t>3</t>
    </r>
    <r>
      <rPr>
        <b/>
        <sz val="13"/>
        <rFont val="Arial"/>
        <family val="2"/>
      </rPr>
      <t xml:space="preserve"> Methan/ha (bei Biogas-Kofermenten)</t>
    </r>
  </si>
  <si>
    <t>GPS Tritic.-Biogas                 ab Feld</t>
  </si>
  <si>
    <t>(Mineral-</t>
  </si>
  <si>
    <t>in kg/dt TM</t>
  </si>
  <si>
    <t>vor Feld-</t>
  </si>
  <si>
    <t>s. Verfahren</t>
  </si>
  <si>
    <t>böden)</t>
  </si>
  <si>
    <t>verlusten)</t>
  </si>
  <si>
    <t>NAEBI)</t>
  </si>
  <si>
    <t>Kosten Trocknung abzüglich Trocknungbeihilfe der EU (2011 ca. 3,00 €/dt, 2012 keine Beihilfe mehr): ca. 15 €/dt Trockengrün</t>
  </si>
  <si>
    <t>5x Cobs eigene Ernte und Transport, Trocknungskosten abzgl. Trocknungsbeihilfe</t>
  </si>
  <si>
    <t>gemischtes Verfahren, Silage eigene Ernte (Ladewagen), Heu in Rundballen (LU)</t>
  </si>
  <si>
    <t>Grassilage-Heu-GS-Cobs-Weide</t>
  </si>
  <si>
    <t>Silomais Meka mit Herbstbegrünung und Trichogrammaeinsatz</t>
  </si>
  <si>
    <t>Ganzpflanzensilage Weizen, Ernte LU Häcksler</t>
  </si>
  <si>
    <t>Lieschkolbenschrot Mais, Ernte LU-Häcksler</t>
  </si>
  <si>
    <t>Corn-Cob-Mix Mais, Ernte LU</t>
  </si>
  <si>
    <t>Feuchtmais, Schroten im Lohn inkl. Konservierungsstoff</t>
  </si>
  <si>
    <t>Anhang: div. Grafiken u. Tabellen</t>
  </si>
  <si>
    <t>Dauergrünland -günstige Ertragslage</t>
  </si>
  <si>
    <t>Dauergrünland -ungünstige Ertragslage</t>
  </si>
  <si>
    <t>2-3</t>
  </si>
  <si>
    <t>3</t>
  </si>
  <si>
    <t>3-4</t>
  </si>
  <si>
    <t xml:space="preserve">Kleegras </t>
  </si>
  <si>
    <t>Zuckerhirse Hauptfrucht ab Feld</t>
  </si>
  <si>
    <t>Grünroggen (Vorfrucht)</t>
  </si>
  <si>
    <t xml:space="preserve">    3 Nutzungen (einjährig)</t>
  </si>
  <si>
    <t xml:space="preserve">           kleebetont</t>
  </si>
  <si>
    <t xml:space="preserve">           grasbetont</t>
  </si>
  <si>
    <r>
      <t>2,70</t>
    </r>
    <r>
      <rPr>
        <vertAlign val="superscript"/>
        <sz val="10"/>
        <rFont val="Arial"/>
        <family val="2"/>
      </rPr>
      <t>1)</t>
    </r>
  </si>
  <si>
    <t>Berechnung Transportkosten:</t>
  </si>
  <si>
    <r>
      <t>Nebenprodukt</t>
    </r>
    <r>
      <rPr>
        <sz val="8"/>
        <rFont val="Arial"/>
        <family val="2"/>
      </rPr>
      <t xml:space="preserve"> (incl. MwSt.)</t>
    </r>
  </si>
  <si>
    <t>zusätzl.km u. var. Kosten je ha</t>
  </si>
  <si>
    <t xml:space="preserve">    5 Nutzungen (überjährig)</t>
  </si>
  <si>
    <t xml:space="preserve">    5 Nutzungen (mehrjährig)</t>
  </si>
  <si>
    <t xml:space="preserve">   Sonstige Festkosten</t>
  </si>
  <si>
    <t>TM-Verluste bei verschiedenen Futterarten</t>
  </si>
  <si>
    <t>Grünroggen-Silomais Biogas ab Feld</t>
  </si>
  <si>
    <t>GPS + Sudangras Biogas ab Feld</t>
  </si>
  <si>
    <t>17,0/14,9</t>
  </si>
  <si>
    <t xml:space="preserve">Änderungen sind in den gelb hinterlegten Feldern möglich. Dunkelgelb gefärbte Zellen enthalten </t>
  </si>
  <si>
    <t xml:space="preserve">Zur Anlage neuer Verfahren kopieren Sie gleichzeitig die Blätter -(a) und-(b) eines ähnlichen Verfahrens </t>
  </si>
  <si>
    <t>Verfahrens und ändern diese dann entsprechend.</t>
  </si>
  <si>
    <t>durch Formeln erzeugte Vorschlagswerte. Diese Formeln werden beim Überschreiben zerstört.</t>
  </si>
  <si>
    <t>Gebietskategorie, Flächennutzung sowie Landw. Vergleichszahl (LVZ)</t>
  </si>
  <si>
    <t>Betreuung Standweide pauschal</t>
  </si>
  <si>
    <t>Standweide intensiv 4 Nutz.</t>
  </si>
  <si>
    <t>In diesem Blatt sind, angelehnt an KTBL-Daten, die variablen Maschinenkosten und der</t>
  </si>
  <si>
    <r>
      <t>Die</t>
    </r>
    <r>
      <rPr>
        <i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variablen Maschinenkosten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und die Berechnung des </t>
    </r>
    <r>
      <rPr>
        <b/>
        <i/>
        <sz val="10"/>
        <rFont val="Arial"/>
        <family val="2"/>
      </rPr>
      <t>Arbeitszeitbedarfs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erfolgt durch Auswahl der</t>
    </r>
  </si>
  <si>
    <t>Stomp SC (VA)</t>
  </si>
  <si>
    <t>(Sp. B)</t>
  </si>
  <si>
    <t>Rotationsmähwerk(Heck-) (mit Aufbereiter) 2,8 m</t>
  </si>
  <si>
    <t>Maishackmaschine 8r</t>
  </si>
  <si>
    <t>83 Kw</t>
  </si>
  <si>
    <t>67 Kw</t>
  </si>
  <si>
    <t>Schlepper 67 KW Allrad</t>
  </si>
  <si>
    <t>5.3 Berücksichtigung der Prämien aus Zahlungsansprüchen</t>
  </si>
  <si>
    <t>t/ha</t>
  </si>
  <si>
    <t>Zinsansatz Umlaufvermögen</t>
  </si>
  <si>
    <t>Grafik: Vollkosten  wichtiger Produktionsverfahren</t>
  </si>
  <si>
    <t>11a-11b</t>
  </si>
  <si>
    <t>und der ländlichen Räume Schwäbisch Gmünd (LEL)</t>
  </si>
  <si>
    <t>Oberbettringer Str. 162, 73525 Schwäbisch Gmünd, Tel.: 07171 / 917-100</t>
  </si>
  <si>
    <t xml:space="preserve">Landwirtschaftliches Zentrum für Rinderhaltung, Grünlandwirtschaft, </t>
  </si>
  <si>
    <t xml:space="preserve">   Feste Maschinenkosten (bei Eigenmech.)</t>
  </si>
  <si>
    <t>var. Kosten Trocknung Grascobs (o. Mwst.)</t>
  </si>
  <si>
    <t>Konservierungsv.</t>
  </si>
  <si>
    <r>
      <t>Abfuhr</t>
    </r>
    <r>
      <rPr>
        <sz val="11"/>
        <rFont val="Arial"/>
        <family val="2"/>
      </rPr>
      <t/>
    </r>
  </si>
  <si>
    <t>TM</t>
  </si>
  <si>
    <t>FM</t>
  </si>
  <si>
    <t>dt/ha</t>
  </si>
  <si>
    <r>
      <t>Futterlieferung</t>
    </r>
    <r>
      <rPr>
        <sz val="11"/>
        <rFont val="Arial"/>
        <family val="2"/>
      </rPr>
      <t xml:space="preserve"> Hauptprodukt (netto, Silage)</t>
    </r>
  </si>
  <si>
    <t xml:space="preserve">         MJ NEL/kg TM</t>
  </si>
  <si>
    <t xml:space="preserve">         MJ ME/kg TM</t>
  </si>
  <si>
    <t xml:space="preserve">         10 MJ NEL/ha</t>
  </si>
  <si>
    <t xml:space="preserve">         10 MJ ME/ha</t>
  </si>
  <si>
    <t>Saatgut</t>
  </si>
  <si>
    <t>Einh./ha</t>
  </si>
  <si>
    <t>Hauptfrucht</t>
  </si>
  <si>
    <t xml:space="preserve">Abfuhr kg/dt </t>
  </si>
  <si>
    <t>m. Mwst.</t>
  </si>
  <si>
    <t>Zuteilung auf einzelne Nutzungen  €/ha</t>
  </si>
  <si>
    <t>Festlegungsdauer Monate:</t>
  </si>
  <si>
    <t>Kostenrechnung</t>
  </si>
  <si>
    <t xml:space="preserve">  Verfahren:</t>
  </si>
  <si>
    <t>Futterlieferung Haupt-</t>
  </si>
  <si>
    <t>Nährstoffeinheiten</t>
  </si>
  <si>
    <r>
      <t>Lagerraumbedarf</t>
    </r>
    <r>
      <rPr>
        <sz val="12"/>
        <rFont val="Arial"/>
        <family val="2"/>
      </rPr>
      <t xml:space="preserve"> (Abfuhr)</t>
    </r>
  </si>
  <si>
    <t>Wiese; 5 Nutzungen (5 x Grünfutter)</t>
  </si>
  <si>
    <r>
      <t>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/ha</t>
    </r>
  </si>
  <si>
    <t>Wiese; 5 Nutzungen (5 x Silage)</t>
  </si>
  <si>
    <t>Tabelle Düngebroschüre / Infofelder</t>
  </si>
  <si>
    <t>Infofelder</t>
  </si>
  <si>
    <t>Wiese; 3 Nutzungen (3 x Heu)</t>
  </si>
  <si>
    <t>Wiese; 5 Nutzungen (5 x Grascobs)</t>
  </si>
  <si>
    <t>(wird nicht gedruckt)</t>
  </si>
  <si>
    <t>Feld (z. B. Bröckelv.)</t>
  </si>
  <si>
    <t>Einkauf Saatgut, Rückkauf Cobs....</t>
  </si>
  <si>
    <t xml:space="preserve">Schwäbisch Gmünd, </t>
  </si>
  <si>
    <t xml:space="preserve">   Kosten für Fläche und Zahlungsanspruch (Pachtansatz)</t>
  </si>
  <si>
    <t>15-16</t>
  </si>
  <si>
    <t>17</t>
  </si>
  <si>
    <t>19</t>
  </si>
  <si>
    <t>20-21</t>
  </si>
  <si>
    <t>22-23</t>
  </si>
  <si>
    <t>24-25</t>
  </si>
  <si>
    <t>26-27</t>
  </si>
  <si>
    <t>28-29</t>
  </si>
  <si>
    <t>30-31</t>
  </si>
  <si>
    <t>32-33</t>
  </si>
  <si>
    <t>34-35</t>
  </si>
  <si>
    <t>36-37</t>
  </si>
  <si>
    <r>
      <t>Variable Maschinenkosten</t>
    </r>
    <r>
      <rPr>
        <sz val="11"/>
        <rFont val="Arial"/>
        <family val="2"/>
      </rPr>
      <t xml:space="preserve"> (eigene Masch.)</t>
    </r>
  </si>
  <si>
    <t>Schlepp.</t>
  </si>
  <si>
    <t>Arbg./ha</t>
  </si>
  <si>
    <t>AKh/</t>
  </si>
  <si>
    <t>fest</t>
  </si>
  <si>
    <t>var.</t>
  </si>
  <si>
    <t>Maschine / Arbeitsgang</t>
  </si>
  <si>
    <t>Hagelversicherung</t>
  </si>
  <si>
    <t>Versicherungswert</t>
  </si>
  <si>
    <t>je 100 €</t>
  </si>
  <si>
    <t>Sonstige variable Kosten</t>
  </si>
  <si>
    <t>Leistungsniveau</t>
  </si>
  <si>
    <r>
      <t xml:space="preserve">Ertrag / Aufwuchs </t>
    </r>
    <r>
      <rPr>
        <sz val="13"/>
        <rFont val="Arial"/>
        <family val="2"/>
      </rPr>
      <t>(brutto)</t>
    </r>
  </si>
  <si>
    <r>
      <t>produkt</t>
    </r>
    <r>
      <rPr>
        <sz val="13"/>
        <rFont val="Arial"/>
        <family val="2"/>
      </rPr>
      <t xml:space="preserve"> (netto, Silage)</t>
    </r>
  </si>
  <si>
    <t>Begrünung</t>
  </si>
  <si>
    <t>Häckseln im Lohn</t>
  </si>
  <si>
    <t>Aussaat im Lohn</t>
  </si>
  <si>
    <t>Pflanzenschutz pauschal</t>
  </si>
  <si>
    <t>variable Kosten</t>
  </si>
  <si>
    <t>Deckungsbeitrag</t>
  </si>
  <si>
    <t>Wiese; 2 Nutzungen (2 x Heu)</t>
  </si>
  <si>
    <t>Direktsämaschine 3 m</t>
  </si>
  <si>
    <t>Leistungen</t>
  </si>
  <si>
    <t>bei Abfuhr bzw. bei Silage, Heu im Lager</t>
  </si>
  <si>
    <t>€/dt TM</t>
  </si>
  <si>
    <t>Konservierungsverluste</t>
  </si>
  <si>
    <t>Grassilage (Anwelk-)</t>
  </si>
  <si>
    <t>Grassilage (Nass-)</t>
  </si>
  <si>
    <t>Heu (Warmbelüftung)</t>
  </si>
  <si>
    <t>Heu (Kaltbelüftung)</t>
  </si>
  <si>
    <t>Heu (Bodenheu)</t>
  </si>
  <si>
    <t>Kultur / Futterart</t>
  </si>
  <si>
    <t>optimal</t>
  </si>
  <si>
    <t>18</t>
  </si>
  <si>
    <t>22</t>
  </si>
  <si>
    <t>35 - 40</t>
  </si>
  <si>
    <t>&gt;40</t>
  </si>
  <si>
    <t>86</t>
  </si>
  <si>
    <t>&gt;90</t>
  </si>
  <si>
    <t>30 - 33</t>
  </si>
  <si>
    <t>&gt;35</t>
  </si>
  <si>
    <t>55 - 60</t>
  </si>
  <si>
    <t>&gt;60</t>
  </si>
  <si>
    <t>33 - 37</t>
  </si>
  <si>
    <t>Rüben</t>
  </si>
  <si>
    <t>15 - 18</t>
  </si>
  <si>
    <t>Raumgewichte verschiedener Futterarten</t>
  </si>
  <si>
    <t>Grassilage / GPS / Kleegrassilage</t>
  </si>
  <si>
    <t>TM-</t>
  </si>
  <si>
    <r>
      <t>Verdichtung</t>
    </r>
    <r>
      <rPr>
        <sz val="10"/>
        <rFont val="Arial"/>
        <family val="2"/>
      </rPr>
      <t xml:space="preserve"> (anzustreben: hoch - s. hoch)</t>
    </r>
  </si>
  <si>
    <t>Gehalt</t>
  </si>
  <si>
    <t>ohne</t>
  </si>
  <si>
    <t>s. hoch</t>
  </si>
  <si>
    <t>kg TM/m³</t>
  </si>
  <si>
    <t>%</t>
  </si>
  <si>
    <t>Raumgewicht in dt FM/m³</t>
  </si>
  <si>
    <t>Praxis-üblicher Bereich</t>
  </si>
  <si>
    <t>Atzenberger Weg 99, 88326 Aulendorf, Tel.: 07525 / 942-300, Fax: 07525 / 942-333</t>
  </si>
  <si>
    <t>Grassil. 5 Nutz.</t>
  </si>
  <si>
    <t>Jahr:</t>
  </si>
  <si>
    <t>Prämien aus Zahlungsansprächen</t>
  </si>
  <si>
    <t>Prämien aus Zahlungsansprüchen (€/ha)</t>
  </si>
  <si>
    <t>Faktor m³ Biogasgülle / t Substrat:</t>
  </si>
  <si>
    <t>1) Entzugswerte: 0 kg Klee-betont, 2,7 kg Gras-betont</t>
  </si>
  <si>
    <t>Sonst. Ackerfutter</t>
  </si>
  <si>
    <t>Corn-Cob-Mix</t>
  </si>
  <si>
    <t>Futterrüben</t>
  </si>
  <si>
    <t>125 - 180</t>
  </si>
  <si>
    <t xml:space="preserve">     Gehaltsrüben</t>
  </si>
  <si>
    <t xml:space="preserve">     Masserüben</t>
  </si>
  <si>
    <t>Wiese; 3 Nutzungen (3 x Ballensilage)</t>
  </si>
  <si>
    <t>GPS</t>
  </si>
  <si>
    <t>95 - 125</t>
  </si>
  <si>
    <t>auf einzelne Nutzungen</t>
  </si>
  <si>
    <t>Nutzungen</t>
  </si>
  <si>
    <t>Ertragsanteil je Nutzung in %</t>
  </si>
  <si>
    <t>Futterart</t>
  </si>
  <si>
    <t>Trockenmasseverluste in %</t>
  </si>
  <si>
    <t>Witterungsbedingungen bei Ernte bzw. Konservierung</t>
  </si>
  <si>
    <t>sehr gut</t>
  </si>
  <si>
    <t>gut</t>
  </si>
  <si>
    <t>schwierig</t>
  </si>
  <si>
    <t>sehr schwierig</t>
  </si>
  <si>
    <r>
      <t>Feldverluste</t>
    </r>
    <r>
      <rPr>
        <sz val="10"/>
        <rFont val="Arial"/>
        <family val="2"/>
      </rPr>
      <t xml:space="preserve"> (z. B. Bröckelverluste)</t>
    </r>
  </si>
  <si>
    <t>Grünfutter</t>
  </si>
  <si>
    <t>3 Nutz., günstiger Standort, ab Feld</t>
  </si>
  <si>
    <t>für das im Betrieb erzeugte Grundfutter notwendig.</t>
  </si>
  <si>
    <t>Transportvolumen/ha insg.</t>
  </si>
  <si>
    <t>bei 100 Std. Mehrleistung und</t>
  </si>
  <si>
    <t>Mehrkosten Transport (Ernte und Güllerücktransport) Silomais in Abhängigkeit von der Hof-Feld-Entfernung</t>
  </si>
  <si>
    <t>Die vorliegende Excel-Datei ermöglicht die vergleichende ökonomische Beurteilung verschiedener Verfahren</t>
  </si>
  <si>
    <t xml:space="preserve">Anhand eines fiktiven Beispielsbetriebes werden die Vollkosten der wichtigsten Futterbauverfahren berechnet. </t>
  </si>
  <si>
    <r>
      <t>Ackerfutter</t>
    </r>
    <r>
      <rPr>
        <b/>
        <vertAlign val="superscript"/>
        <sz val="12"/>
        <rFont val="Arial"/>
        <family val="2"/>
      </rPr>
      <t>1)</t>
    </r>
    <r>
      <rPr>
        <b/>
        <sz val="12"/>
        <rFont val="Arial"/>
        <family val="2"/>
      </rPr>
      <t>:</t>
    </r>
  </si>
  <si>
    <t>Fruchtart</t>
  </si>
  <si>
    <t>Kleegras</t>
  </si>
  <si>
    <r>
      <t>Kosten der Arbeitserledigung</t>
    </r>
    <r>
      <rPr>
        <sz val="13"/>
        <rFont val="Arial"/>
        <family val="2"/>
      </rPr>
      <t xml:space="preserve"> </t>
    </r>
  </si>
  <si>
    <r>
      <t xml:space="preserve">Als Bezugsgröße dient dabei die Menge an Futterenergie </t>
    </r>
    <r>
      <rPr>
        <sz val="10"/>
        <rFont val="Arial"/>
        <family val="2"/>
      </rPr>
      <t>(10 MJ NEL bzw. 10 MJ ME), d</t>
    </r>
    <r>
      <rPr>
        <sz val="10"/>
        <rFont val="Arial"/>
        <family val="2"/>
      </rPr>
      <t>ie der Tier-</t>
    </r>
  </si>
  <si>
    <t>3 Nutz. eigen</t>
  </si>
  <si>
    <t>GPS Weizen</t>
  </si>
  <si>
    <t>Vervielfältigung nur nach Rücksprache mit dem Herausgeber gestattet.</t>
  </si>
  <si>
    <t>1.   Ziele und Anwendungsmöglichkeiten</t>
  </si>
  <si>
    <t>je km Hof-Feldentfernung bei</t>
  </si>
  <si>
    <t>je km und t bzw. je Schlepper-h</t>
  </si>
  <si>
    <t xml:space="preserve">Abfuhr in </t>
  </si>
  <si>
    <t>Feldverluste</t>
  </si>
  <si>
    <t>vor Ähren- / Rispenschieben</t>
  </si>
  <si>
    <t>Zur Beurteilung von Produktionsverfahren der Tierhaltung mit Grundfutterverbrauch ist ein Kostenansatz</t>
  </si>
  <si>
    <t>Verfahrensspezifische Ausgleichsleistungen</t>
  </si>
  <si>
    <t>Flächengrundprämien aus Zahlungsansprüchen</t>
  </si>
  <si>
    <t>-  Zinsansatz Umlaufvermögen</t>
  </si>
  <si>
    <t>Ballen</t>
  </si>
  <si>
    <t>Rundballen</t>
  </si>
  <si>
    <t>Quaderballen</t>
  </si>
  <si>
    <t>0,7-1,0</t>
  </si>
  <si>
    <t>55-60</t>
  </si>
  <si>
    <t>Schnittlänge</t>
  </si>
  <si>
    <t>lang</t>
  </si>
  <si>
    <t>kurz</t>
  </si>
  <si>
    <t>2,50 - 3,00</t>
  </si>
  <si>
    <t>3,00 - 4,00</t>
  </si>
  <si>
    <r>
      <t>Energiekonzentration in verschiedenen Futterarten</t>
    </r>
    <r>
      <rPr>
        <sz val="11"/>
        <rFont val="Arial"/>
        <family val="2"/>
      </rPr>
      <t xml:space="preserve"> (nach Abzug Konservierungsverluste)</t>
    </r>
  </si>
  <si>
    <t>Preis Diesel aktuell  in €/l ohne. Mwst.</t>
  </si>
  <si>
    <t>Differenziertere Angaben in DLG-Futterwerttabelle</t>
  </si>
  <si>
    <t xml:space="preserve">Futterart / </t>
  </si>
  <si>
    <r>
      <t>VOS</t>
    </r>
    <r>
      <rPr>
        <b/>
        <vertAlign val="superscript"/>
        <sz val="10"/>
        <rFont val="Arial"/>
        <family val="2"/>
      </rPr>
      <t>1)</t>
    </r>
  </si>
  <si>
    <t>Energiekonzentration MJ NEL/kg TM</t>
  </si>
  <si>
    <t>Wuchsstadium</t>
  </si>
  <si>
    <t>Grün</t>
  </si>
  <si>
    <t>schlecht</t>
  </si>
  <si>
    <t>Dauergrünland / Kleegras</t>
  </si>
  <si>
    <t>1. Aufwuchs</t>
  </si>
  <si>
    <t>LKS</t>
  </si>
  <si>
    <t>Diese können in der Kalkulation von Produktionsverfahren in der Betriebsplanung genutzt werden.</t>
  </si>
  <si>
    <t>gleichsleistungen und einen Zinsansatz für das Umlaufvermögen. Er ist ein Maßstab für die Wettbewerbskraft</t>
  </si>
  <si>
    <t>Sudangras (Hauptfrucht, 2 Nutzungen)</t>
  </si>
  <si>
    <t>Folgeaufwüchse</t>
  </si>
  <si>
    <t>unter 4 Wochen</t>
  </si>
  <si>
    <t xml:space="preserve">   Sonstige Kosten (Siloabdeckung, Hagelversicherung u.ä.)</t>
  </si>
  <si>
    <t>Summe variable Kosten</t>
  </si>
  <si>
    <r>
      <t>Feste Gebäudekosten</t>
    </r>
    <r>
      <rPr>
        <sz val="10"/>
        <rFont val="Arial"/>
        <family val="2"/>
      </rPr>
      <t xml:space="preserve"> für Maschinenunterbringung und</t>
    </r>
    <r>
      <rPr>
        <b/>
        <i/>
        <sz val="10"/>
        <rFont val="Arial"/>
        <family val="2"/>
      </rPr>
      <t xml:space="preserve"> Kosten für Lagerraum</t>
    </r>
    <r>
      <rPr>
        <sz val="10"/>
        <rFont val="Arial"/>
        <family val="2"/>
      </rPr>
      <t xml:space="preserve"> werden häufig dem </t>
    </r>
  </si>
  <si>
    <r>
      <t xml:space="preserve">Für die Berechnung der Grundfutterkosten eines Tierhaltungsverfahrens kann zusätzlich noch der </t>
    </r>
    <r>
      <rPr>
        <b/>
        <i/>
        <sz val="10"/>
        <rFont val="Arial"/>
        <family val="2"/>
      </rPr>
      <t>Lohnansatz</t>
    </r>
  </si>
  <si>
    <t>werden. Hierzu zählen die variablen Maschinenkosten (Maschinenunterhaltung, Treibstoff, Strom), Kosten für</t>
  </si>
  <si>
    <t>4 - 6 Wochen</t>
  </si>
  <si>
    <t>7 - 9 Wochen</t>
  </si>
  <si>
    <t>über 9 Wochen</t>
  </si>
  <si>
    <t>Sonstiges Ackerfutter</t>
  </si>
  <si>
    <t>73-75</t>
  </si>
  <si>
    <r>
      <t>Kalk. Betriebszweigergebnis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(Z.39+Z.41)</t>
    </r>
  </si>
  <si>
    <t xml:space="preserve">   Lohnmaschinen / Lohnarbeit</t>
  </si>
  <si>
    <t>Zaunkosten Standweide/ha</t>
  </si>
  <si>
    <t>sonstige Festkosten (nicht bei Zweitfrucht)</t>
  </si>
  <si>
    <t xml:space="preserve">haltung zur Verfügung gestellt wird. Diese Bezugsgröße wird üblicherweise bei ökonomischen Vergleichen </t>
  </si>
  <si>
    <t xml:space="preserve">genutzt. Dabei muss einschränkend darauf hingewiesen werden, dass der monetäre Wert weiterer </t>
  </si>
  <si>
    <t>Reinigen im Lohn</t>
  </si>
  <si>
    <t>ZR zerkleinern, 65 t/ha FM (Rüben-Cutter, o.ä.)</t>
  </si>
  <si>
    <t>Kh: Schätzung aus Fachartikeln 27.04.2010</t>
  </si>
  <si>
    <t>Nährstoffgehalte Rindergülle (kg/m3)</t>
  </si>
  <si>
    <t>überständig</t>
  </si>
  <si>
    <t xml:space="preserve">Beispielhaft sei hier das Rohprotein genannt, welches u.a. in allen Grünlandprodukten </t>
  </si>
  <si>
    <t>GPS für Verkauf an Biogasanlage ab Feld (ohne Kosten Ernte, Lagerraum und Abdeckung); Rücklieferung Gärrest unter 100% Anrechung der Netto-Nährstoffe (30% N-Verluste) und Kosten der Gärrestausbringung</t>
  </si>
  <si>
    <t>MaisTer</t>
  </si>
  <si>
    <t>Terano WG</t>
  </si>
  <si>
    <t>Kombiverfahren, Biomasse ab Feld</t>
  </si>
  <si>
    <t>Kombiverfahren, Biomasse, ab Feld</t>
  </si>
  <si>
    <t>Hauptfrucht, ab Feld</t>
  </si>
  <si>
    <t>liche Erntemengen beim Arbeitszeitaufwand bzw. den variablen Maschinenkosten berücksichtigt.</t>
  </si>
  <si>
    <t>anrechenbare Nährstoffgehalte Rindergülle (kg/m3 bei 7,5% TS)</t>
  </si>
  <si>
    <t xml:space="preserve">zusätzlicher Arbeitszeitbedarf bei </t>
  </si>
  <si>
    <t>zusätzl. Akh bzw. € je ha</t>
  </si>
  <si>
    <t>Nährstoffe</t>
  </si>
  <si>
    <t>Stickstoff</t>
  </si>
  <si>
    <t>SF-Feldhäcksler (ggf. Direktschneidwerk)</t>
  </si>
  <si>
    <t>Grünland-Nachsaatmaschine</t>
  </si>
  <si>
    <t xml:space="preserve">Inhaltsstoffe der Futtermittel, die den "Futterwert" insgesamt beeinflussen, nicht berücksichtigt ist. </t>
  </si>
  <si>
    <t>(Abschreibung, Verzinsung, bei Gebäuden auch Unterhaltung) berechnet und in die Kostenrechnung der</t>
  </si>
  <si>
    <t xml:space="preserve"> jeweiligen Produktionsverfahren übertragen.</t>
  </si>
  <si>
    <t xml:space="preserve">Alternativ können hier auch Angaben für einen realen Betrieb, für den die Berechnung durchgeführt </t>
  </si>
  <si>
    <t>den Blättern "Orientierungswerte-a  und -b".</t>
  </si>
  <si>
    <t>Folgerichtig muss bei dieser Vorgehensweise dann bei der Kalkulation der Tierhaltungsverfahren ein</t>
  </si>
  <si>
    <t>GPS Winterweizen</t>
  </si>
  <si>
    <t>Silo-</t>
  </si>
  <si>
    <t>Futter-</t>
  </si>
  <si>
    <t>sonst.</t>
  </si>
  <si>
    <t>Acker-</t>
  </si>
  <si>
    <t>Zwischen</t>
  </si>
  <si>
    <t>Fläche</t>
  </si>
  <si>
    <t>Zwisch-</t>
  </si>
  <si>
    <t xml:space="preserve"> schaftsdüngerausbringung</t>
  </si>
  <si>
    <t>(ohne MwSt.)</t>
  </si>
  <si>
    <t>arbeit</t>
  </si>
  <si>
    <t>Grassilage 3 Nutz. Biogas ab Feld</t>
  </si>
  <si>
    <t>MaisTer flüssig</t>
  </si>
  <si>
    <t>Gülleausbr. (wenn Güllewert&gt;0)</t>
  </si>
  <si>
    <t>Gülleausbr. (wenn Nährstoffwert kostenmindernd)</t>
  </si>
  <si>
    <t>Durchw. Silphie Biogas ex Silo (N.: 15 J.)</t>
  </si>
  <si>
    <t>Durchwachsende Silphie</t>
  </si>
  <si>
    <t>Dw. Silphie ex Silo</t>
  </si>
  <si>
    <t>128-129</t>
  </si>
  <si>
    <t>Wildpflanzen</t>
  </si>
  <si>
    <t>Wildpflanzen ex Silo</t>
  </si>
  <si>
    <t>130-131</t>
  </si>
  <si>
    <t>132-133</t>
  </si>
  <si>
    <t>Mähkomb. Heck/Front (6,2 m insg.)</t>
  </si>
  <si>
    <t>Summe Prämien</t>
  </si>
  <si>
    <t>Summe Leistungen (ohne Prämien)</t>
  </si>
  <si>
    <t>TM - Gehalt:</t>
  </si>
  <si>
    <t>Cops</t>
  </si>
  <si>
    <t>Grünfu</t>
  </si>
  <si>
    <t>-</t>
  </si>
  <si>
    <t>Nachtrag</t>
  </si>
  <si>
    <t>m3/ha</t>
  </si>
  <si>
    <t>Lagerraumkosten</t>
  </si>
  <si>
    <t>€/m3</t>
  </si>
  <si>
    <t>dt/m3</t>
  </si>
  <si>
    <t xml:space="preserve">Lagerraumkosten </t>
  </si>
  <si>
    <t>Trocknungskosten</t>
  </si>
  <si>
    <t>€/t FM-Produkt</t>
  </si>
  <si>
    <t xml:space="preserve">Trocknungskosten je dt FM </t>
  </si>
  <si>
    <t>Betriebsprämie (ZA)</t>
  </si>
  <si>
    <t>Prämien insgesamt</t>
  </si>
  <si>
    <t>Prämien</t>
  </si>
  <si>
    <t>MEKA; AZL</t>
  </si>
  <si>
    <t>GAP-P.</t>
  </si>
  <si>
    <t>MEKA, AZL.</t>
  </si>
  <si>
    <t>Summe:</t>
  </si>
  <si>
    <t xml:space="preserve"> + Prämien</t>
  </si>
  <si>
    <r>
      <t xml:space="preserve">Deckungsbeitrag </t>
    </r>
    <r>
      <rPr>
        <b/>
        <sz val="10"/>
        <rFont val="Arial"/>
        <family val="2"/>
      </rPr>
      <t xml:space="preserve"> mit Prämien, nach Zinsansatz            </t>
    </r>
  </si>
  <si>
    <t>ohne Prämien</t>
  </si>
  <si>
    <t>+ Prämien</t>
  </si>
  <si>
    <t>mit Prämien</t>
  </si>
  <si>
    <t>bei</t>
  </si>
  <si>
    <t xml:space="preserve"> %Wirkungsgrad</t>
  </si>
  <si>
    <r>
      <t xml:space="preserve">Summe Kosten abzgl. Prämien </t>
    </r>
    <r>
      <rPr>
        <b/>
        <vertAlign val="superscript"/>
        <sz val="13"/>
        <rFont val="Arial"/>
        <family val="2"/>
      </rPr>
      <t>1)</t>
    </r>
  </si>
  <si>
    <t>Sonstige Prämien (MEKA, Ausgleichszulage...)</t>
  </si>
  <si>
    <r>
      <t xml:space="preserve">Deckungsbeitrag </t>
    </r>
    <r>
      <rPr>
        <b/>
        <sz val="10"/>
        <rFont val="Arial"/>
        <family val="2"/>
      </rPr>
      <t>ohne Prämien</t>
    </r>
  </si>
  <si>
    <r>
      <t>Deckungsbeitrag</t>
    </r>
    <r>
      <rPr>
        <b/>
        <sz val="11"/>
        <rFont val="Arial"/>
        <family val="2"/>
      </rPr>
      <t xml:space="preserve"> mit Prämien,  nach Zinsansatz</t>
    </r>
  </si>
  <si>
    <r>
      <t>Summe Kosten abzgl. Prämien</t>
    </r>
    <r>
      <rPr>
        <b/>
        <vertAlign val="superscript"/>
        <sz val="13"/>
        <rFont val="Arial"/>
        <family val="2"/>
      </rPr>
      <t>1)</t>
    </r>
    <r>
      <rPr>
        <b/>
        <sz val="13"/>
        <rFont val="Arial"/>
        <family val="2"/>
      </rPr>
      <t xml:space="preserve"> </t>
    </r>
  </si>
  <si>
    <t>% Wirkungsgrad</t>
  </si>
  <si>
    <t xml:space="preserve">1) Vollkostenansatz langfristig 2) ohne Lagerraumkosten, wenn diese  bei den Stallbaukosten berücksichtigt werden </t>
  </si>
  <si>
    <r>
      <t xml:space="preserve">Summe Kosten ohne Lagerraum abzgl. Prämien </t>
    </r>
    <r>
      <rPr>
        <b/>
        <vertAlign val="superscript"/>
        <sz val="13"/>
        <rFont val="Arial"/>
        <family val="2"/>
      </rPr>
      <t>2)</t>
    </r>
  </si>
  <si>
    <t>MEKA, AZL</t>
  </si>
  <si>
    <t>GAP-Prämie</t>
  </si>
  <si>
    <t>€/kWh-el</t>
  </si>
  <si>
    <t xml:space="preserve">1) Vollkostenansatz langfristig    2) ohne Lagerraumkosten, wenn diese  bei den (Stall - ) baukosten berücksichtigt werden </t>
  </si>
  <si>
    <t>Kalkulationsdaten Energiepflanzen</t>
  </si>
  <si>
    <t xml:space="preserve"> Kulturen</t>
  </si>
  <si>
    <t>Bezugs-</t>
  </si>
  <si>
    <t>Saat-/Pflanzgutpreis</t>
  </si>
  <si>
    <t>größe</t>
  </si>
  <si>
    <t>€/dt bzw. Einheit (o.Mwst.)</t>
  </si>
  <si>
    <t>Grünschnittroggen</t>
  </si>
  <si>
    <t>gebeizt</t>
  </si>
  <si>
    <t>dt</t>
  </si>
  <si>
    <t>Winterweizen für GPS*</t>
  </si>
  <si>
    <t>Winterroggen für GPS*</t>
  </si>
  <si>
    <t>Wintertriticale für GPS*</t>
  </si>
  <si>
    <t>Sommertriticale für GPS*</t>
  </si>
  <si>
    <t>Hafer für GPS*</t>
  </si>
  <si>
    <t>Weidelgras</t>
  </si>
  <si>
    <t>Zuckerhirse (Sorghum) für GPS*</t>
  </si>
  <si>
    <t>für 1 ha</t>
  </si>
  <si>
    <t>Sudangras für GPS*</t>
  </si>
  <si>
    <t>70 - 120</t>
  </si>
  <si>
    <t>50-93</t>
  </si>
  <si>
    <t>Sonnenblumen für GPS*</t>
  </si>
  <si>
    <t>für 2 ha</t>
  </si>
  <si>
    <t>Topinambur</t>
  </si>
  <si>
    <t>Pflanzgutmenge: 30 dt/ha</t>
  </si>
  <si>
    <t>Durchwachsene Silphie</t>
  </si>
  <si>
    <t>Setzling</t>
  </si>
  <si>
    <t>Wildpflanzenmischung</t>
  </si>
  <si>
    <t>Virginia-(Sida-)Malve</t>
  </si>
  <si>
    <t>Szarvasi (Riesenweizengras)</t>
  </si>
  <si>
    <t>Miscanthus</t>
  </si>
  <si>
    <t>Rhizom</t>
  </si>
  <si>
    <t>* Nutzung als Ganzpflanzensilage</t>
  </si>
  <si>
    <t xml:space="preserve">Kalkulationsdaten Marktfrüchte </t>
  </si>
  <si>
    <t>Saatgut: Begrünung und Zwischenfrüchte</t>
  </si>
  <si>
    <t>Kultur</t>
  </si>
  <si>
    <t>Saatmenge</t>
  </si>
  <si>
    <t>Nutzung*</t>
  </si>
  <si>
    <t>Saatgutkosten</t>
  </si>
  <si>
    <t>G/F</t>
  </si>
  <si>
    <t>€/ha (o.MwSt.)</t>
  </si>
  <si>
    <t>Hülsenfrüchte</t>
  </si>
  <si>
    <t>Ackerbohnen</t>
  </si>
  <si>
    <t>180-200</t>
  </si>
  <si>
    <t xml:space="preserve">G          </t>
  </si>
  <si>
    <t>Futtererbsen</t>
  </si>
  <si>
    <t>140-160</t>
  </si>
  <si>
    <t xml:space="preserve">G+F          </t>
  </si>
  <si>
    <t>Saatwicken</t>
  </si>
  <si>
    <t>80-90</t>
  </si>
  <si>
    <t>Winterwicken</t>
  </si>
  <si>
    <t xml:space="preserve">F          </t>
  </si>
  <si>
    <t>Lupinen</t>
  </si>
  <si>
    <t>150-200</t>
  </si>
  <si>
    <t>Gemenge (Erbsen/Ackerbohnen/Wicken)</t>
  </si>
  <si>
    <t xml:space="preserve"> Gräser</t>
  </si>
  <si>
    <t>Einj. Weidelgras</t>
  </si>
  <si>
    <t>40-50</t>
  </si>
  <si>
    <t>Welsches Weidelgras</t>
  </si>
  <si>
    <t xml:space="preserve"> Kleesaaten</t>
  </si>
  <si>
    <t>Perserklee</t>
  </si>
  <si>
    <t>Alexandrinerklee</t>
  </si>
  <si>
    <t>Inkarnatklee</t>
  </si>
  <si>
    <t xml:space="preserve"> Ölsaaten</t>
  </si>
  <si>
    <t>Winterraps</t>
  </si>
  <si>
    <t>15-25</t>
  </si>
  <si>
    <t>Sommerraps</t>
  </si>
  <si>
    <t>Winterrübsen</t>
  </si>
  <si>
    <t>12-17</t>
  </si>
  <si>
    <t xml:space="preserve">G+(F)          </t>
  </si>
  <si>
    <t>Sommerrübsen</t>
  </si>
  <si>
    <t>8-12</t>
  </si>
  <si>
    <t>keine Ware</t>
  </si>
  <si>
    <t>Ölrettich</t>
  </si>
  <si>
    <t>20-25</t>
  </si>
  <si>
    <t>Ölrettich (nematodenresistent)</t>
  </si>
  <si>
    <t>Gelbsenf</t>
  </si>
  <si>
    <t>Gelbsenf (nematodenresistent)</t>
  </si>
  <si>
    <t xml:space="preserve"> Mischungen</t>
  </si>
  <si>
    <t>Landsberger Gemenge</t>
  </si>
  <si>
    <t>Alexandrinerklee/einj. Weidelgras</t>
  </si>
  <si>
    <t>35</t>
  </si>
  <si>
    <t xml:space="preserve">F+(G)          </t>
  </si>
  <si>
    <t xml:space="preserve"> Sonstige</t>
  </si>
  <si>
    <t>Sareptasenf</t>
  </si>
  <si>
    <t>6-8</t>
  </si>
  <si>
    <t>Herbstrüben</t>
  </si>
  <si>
    <t>0,6-2,5</t>
  </si>
  <si>
    <t>Phacelia</t>
  </si>
  <si>
    <t>9-12</t>
  </si>
  <si>
    <t>Futterhirse</t>
  </si>
  <si>
    <t>25</t>
  </si>
  <si>
    <t>Grünmais</t>
  </si>
  <si>
    <t>45</t>
  </si>
  <si>
    <t>Winterroggen</t>
  </si>
  <si>
    <t>120-150</t>
  </si>
  <si>
    <t>* G = Gründüngung; F = Futternutzung</t>
  </si>
  <si>
    <t>Nährstoffabfuhr</t>
  </si>
  <si>
    <r>
      <t xml:space="preserve">Summe variable Kosten </t>
    </r>
    <r>
      <rPr>
        <sz val="9"/>
        <rFont val="Arial"/>
        <family val="2"/>
      </rPr>
      <t>(Summe Z.14 bis Z.21)</t>
    </r>
  </si>
  <si>
    <t>(Z.23+Z.24- Z.25)</t>
  </si>
  <si>
    <r>
      <t>Summe Festkosten inkl. Lohnansatz</t>
    </r>
    <r>
      <rPr>
        <b/>
        <sz val="10"/>
        <rFont val="Arial"/>
        <family val="2"/>
      </rPr>
      <t xml:space="preserve"> </t>
    </r>
    <r>
      <rPr>
        <sz val="9"/>
        <rFont val="Arial"/>
        <family val="2"/>
      </rPr>
      <t>(S. Z.31 bis Z.36)</t>
    </r>
  </si>
  <si>
    <r>
      <t>Summe Kosten</t>
    </r>
    <r>
      <rPr>
        <sz val="9"/>
        <rFont val="Arial"/>
        <family val="2"/>
      </rPr>
      <t xml:space="preserve"> (var. u. Festkosten, Zins- und Lohnansatz) (Z.22+Z.25+Z.37)</t>
    </r>
  </si>
  <si>
    <r>
      <t>Kalk. Betriebszweigergebnis</t>
    </r>
    <r>
      <rPr>
        <sz val="10"/>
        <rFont val="Arial"/>
        <family val="2"/>
      </rPr>
      <t xml:space="preserve"> (</t>
    </r>
    <r>
      <rPr>
        <u/>
        <sz val="10"/>
        <rFont val="Arial"/>
        <family val="2"/>
      </rPr>
      <t>ohne</t>
    </r>
    <r>
      <rPr>
        <sz val="10"/>
        <rFont val="Arial"/>
        <family val="2"/>
      </rPr>
      <t xml:space="preserve"> Prämien) (Z.38 - Z. 39)</t>
    </r>
  </si>
  <si>
    <r>
      <t>Kalk. Betriebszweigergebnis</t>
    </r>
    <r>
      <rPr>
        <sz val="10"/>
        <rFont val="Arial"/>
        <family val="2"/>
      </rPr>
      <t xml:space="preserve"> (mit Prämien) (Z.40 + Z.41)</t>
    </r>
  </si>
  <si>
    <t xml:space="preserve"> = (Z.39 - Z. 41)</t>
  </si>
  <si>
    <t xml:space="preserve"> (Z. 43-Z.32)</t>
  </si>
  <si>
    <r>
      <t>Direktkosten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(Z.14 bis Z.18 + Z.25)</t>
    </r>
  </si>
  <si>
    <r>
      <t xml:space="preserve">Kosten der Arbeitserledigung </t>
    </r>
    <r>
      <rPr>
        <sz val="9"/>
        <rFont val="Arial"/>
        <family val="2"/>
      </rPr>
      <t>(Summe Z.19-21,31,33)</t>
    </r>
  </si>
  <si>
    <t>Masch.kost.(feste, variable, Lohnmasch.),var. Lohnkost.,Lohnansatz</t>
  </si>
  <si>
    <r>
      <t xml:space="preserve">Düngung </t>
    </r>
    <r>
      <rPr>
        <sz val="10"/>
        <rFont val="Arial"/>
        <family val="2"/>
      </rPr>
      <t>(Nährstoffabfuhr abzgl. Gärrestrücklieferung)</t>
    </r>
  </si>
  <si>
    <r>
      <t>Summe Kosten ohne Lagerraum abzgl. Prämien</t>
    </r>
    <r>
      <rPr>
        <b/>
        <vertAlign val="superscript"/>
        <sz val="14"/>
        <rFont val="Arial Narrow"/>
        <family val="2"/>
      </rPr>
      <t xml:space="preserve"> 2)</t>
    </r>
  </si>
  <si>
    <r>
      <t xml:space="preserve">Deckungsbeitrag </t>
    </r>
    <r>
      <rPr>
        <sz val="12"/>
        <rFont val="Arial"/>
        <family val="2"/>
      </rPr>
      <t>(ohne Prämien, ohne Zinsansatz)</t>
    </r>
  </si>
  <si>
    <t xml:space="preserve">  + Prämien</t>
  </si>
  <si>
    <r>
      <t>Deckungsbeitrag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(inkl. Prämien und Zinsansatz)</t>
    </r>
  </si>
  <si>
    <t xml:space="preserve">kalk. Betriebszweigergebnis ohne Prämien </t>
  </si>
  <si>
    <t xml:space="preserve">+ Prämien </t>
  </si>
  <si>
    <t xml:space="preserve">kalk. Betriebszweigergebnis inkl. Prämien </t>
  </si>
  <si>
    <t>Summe Kosten abzgl. aller Prämien</t>
  </si>
  <si>
    <t>Summe Kosten (abzgl. aller Prämien) ohne</t>
  </si>
  <si>
    <t>Lagerraum</t>
  </si>
  <si>
    <t>Schlepper 102 KW Allrad</t>
  </si>
  <si>
    <t>Wasserfaß Weide 4000 l</t>
  </si>
  <si>
    <t>Quelle: KTBL-Ökologischer Landbau 2010, Seite 98.</t>
  </si>
  <si>
    <t>Mulchgerät -Schlegelmulcher 2m</t>
  </si>
  <si>
    <t>Quelle: KTBL-Ökologischer Landbau 2010, Seite 97.</t>
  </si>
  <si>
    <t>faktoren</t>
  </si>
  <si>
    <t>tll</t>
  </si>
  <si>
    <t>P</t>
  </si>
  <si>
    <t>K</t>
  </si>
  <si>
    <t>MG</t>
  </si>
  <si>
    <t>kg</t>
  </si>
  <si>
    <t xml:space="preserve"> =</t>
  </si>
  <si>
    <t>Ernte (LW) und Festfahren LU</t>
  </si>
  <si>
    <t>Zeile 59+60, Methan, ausgeblendet</t>
  </si>
  <si>
    <t>Ballen gewickelt (je Ballen)</t>
  </si>
  <si>
    <t xml:space="preserve"> /dt</t>
  </si>
  <si>
    <t>zu Cops</t>
  </si>
  <si>
    <t xml:space="preserve">Trocknungskosten Cobs </t>
  </si>
  <si>
    <t>SF - Feldhäcksler</t>
  </si>
  <si>
    <t>Wildpflanzen Biogas ex Silo (N.: 5 J.)</t>
  </si>
  <si>
    <t>Sie werden beim Deckungsbeitrag erst in einer 2.Stufe kostenmindernd berücksichtigt.</t>
  </si>
  <si>
    <r>
      <t xml:space="preserve">Der </t>
    </r>
    <r>
      <rPr>
        <b/>
        <i/>
        <sz val="10"/>
        <rFont val="Arial"/>
        <family val="2"/>
      </rPr>
      <t>Deckungsbeitrag inkl. Ausgleichsleistungen und Zinsansatz</t>
    </r>
    <r>
      <rPr>
        <sz val="10"/>
        <rFont val="Arial"/>
        <family val="2"/>
      </rPr>
      <t xml:space="preserve"> beinhaltet alle Aus-</t>
    </r>
  </si>
  <si>
    <t xml:space="preserve">me aller Kosten einschließlich kalkulatorischer Kostenansätze (z.B. Lohnansatz). Es wird </t>
  </si>
  <si>
    <t xml:space="preserve"> hier nicht ausgewiesen, da bei Futterbauverfahren bisher nur sehr wenige Marktpreise vorliegen.</t>
  </si>
  <si>
    <r>
      <t xml:space="preserve">Das </t>
    </r>
    <r>
      <rPr>
        <b/>
        <i/>
        <sz val="10"/>
        <rFont val="Arial"/>
        <family val="2"/>
      </rPr>
      <t>kalkulatorische Betriebszweigergebnis</t>
    </r>
    <r>
      <rPr>
        <i/>
        <sz val="10"/>
        <rFont val="Arial"/>
        <family val="2"/>
      </rPr>
      <t xml:space="preserve"> ist die Differenz aus der Summe aller Leistungen und der Sum-</t>
    </r>
  </si>
  <si>
    <t>ansatz und  Ausgleichsleistungen die entscheidende Kennzahl, bezogen auf eine Nähr-</t>
  </si>
  <si>
    <t xml:space="preserve">Als Kennwert ergeben sich die Vollkosten. Dies errechnet sich aus der Summe </t>
  </si>
  <si>
    <t xml:space="preserve">1) Vollkostenansatz langfristig               2) Vollkosten: ohne Lagerraumkosten, wenn diese  bei den Stallbaukosten berücksichtigt werden </t>
  </si>
  <si>
    <t>aller Kosten abzgl. der kostenmindernden Prämien.</t>
  </si>
  <si>
    <t xml:space="preserve">Bei einem Verkauf müssten diese Vollkosten als Erlös erzielt werden, wenn alle Kosten - auch die </t>
  </si>
  <si>
    <t>kalkulatorischen Faktoransätze für Arbeit, Kapital und Fläche - voll entlohnt werden sollen.</t>
  </si>
  <si>
    <t>bei Änderung der Einträge:  Daten werden nicht automatisch weiter verarbeitet</t>
  </si>
  <si>
    <t>Topinamburkraut ex Silo</t>
  </si>
  <si>
    <t>Silage für Biogasanlage; Rücklieferung Gärrest unter 100% Anrechung der Netto-Nährstoffe (30% N-Verluste); Vollkosten incl. Kosten der Gärrest-Ausbringung</t>
  </si>
  <si>
    <t>Grassilage für Verkauf an Biogasanlage ab Feld (ohne Ernte, Lagerraum, Abdeckung); Rücklieferung Gärrest unter 100% Anrechung der Netto-Nährstoffe (30% N-Verluste) und Kosten Gärrestausbringung</t>
  </si>
  <si>
    <t>4 Nutzungen;Silage für Biogasanlage; Rücklieferung Gärrest unter 100% Anrechung der Netto-Nährstoffe (30% N-Verluste); Vollkosten incl. Kosten der Gärrest-Ausbringung</t>
  </si>
  <si>
    <t>4 Nutzungen; Silage für Biogasanlage; Rücklieferung Gärrest unter 100% Anrechung der Netto-Nährstoffe (30% N-Verluste); Vollkosten incl. Kosten der Gärrest-Ausbringung</t>
  </si>
  <si>
    <t>HF = Hauptfrucht; Silage für Biogasanlage;  2-Schnitt-Nutzung: 1. Ende Juli/Anfang August 2. Ende Oktober; Rücklieferung Gärrest unter 100% Anrechung der Netto-Nährstoffe (30% N-Verluste); Vollkosten incl. Kosten der Gärrest-Ausbringung</t>
  </si>
  <si>
    <t>HF = Hauptfrucht; Silage für Biogasanlage; Rücklieferung Gärrest unter 100% Anrechung der Netto-Nährstoffe (30% N-Verluste); Vollkosten incl. Kosten der Gärrest-Ausbringung</t>
  </si>
  <si>
    <t>Silage für Biogasanlage; 1.Frucht: Triticale-GPS; 2.Frucht: Zuckerhirse; Rücklieferung Gärrest unter 100% Anrechung der Netto-Nährstoffe (30% N-Verluste); Vollkosten incl. Kosten der Gärrest-Ausbringung</t>
  </si>
  <si>
    <t>Silage für Biogasanlage; Rücklieferung Gärrest unter 100% Anrechung der Netto-Nährstoffe (30% N-Verluste); Vollkosten incl. Kosten der Gärrest-Ausbringung; Nutzungsdauer 15 Jahre</t>
  </si>
  <si>
    <t>Kraut-Silage im Spätsommer für Biogasanlage (ohne Knollennutzung); Rücklieferung Gärrest unter 100% Anrechung der Netto-Nährstoffe (30% N-Verluste); Vollkosten incl. Kosten der Gärrest-Ausbringung</t>
  </si>
  <si>
    <t>Knollen für Biogasanlage; Rücklieferung Gärrest unter 100% Anrechung der Netto-Nährstoffe (30% N-Verluste); Vollkosten incl. Kosten der Gärrest-Ausbringung</t>
  </si>
  <si>
    <t>Kraut-Silage vor Knollenernte im Spätherbst/Winter für Biogasanlage; Rücklieferung Gärrest unter 100% Anrechung der Netto-Nährstoffe (30% N-Verluste) Vollkosten incl. Kosten der Gärrest-Ausbringung</t>
  </si>
  <si>
    <t>Vollkost.</t>
  </si>
  <si>
    <t>Grünland-Verfahren</t>
  </si>
  <si>
    <r>
      <t>Summe variable Kosten</t>
    </r>
    <r>
      <rPr>
        <sz val="9"/>
        <rFont val="Arial"/>
        <family val="2"/>
      </rPr>
      <t>(Summe Z.14 bis Z.21)</t>
    </r>
  </si>
  <si>
    <r>
      <t xml:space="preserve">Summe Festkosten inkl. Lohnansatz </t>
    </r>
    <r>
      <rPr>
        <sz val="8"/>
        <rFont val="Arial"/>
        <family val="2"/>
      </rPr>
      <t>(Z.33 bis Z.38)</t>
    </r>
  </si>
  <si>
    <r>
      <t>Summe Kosten</t>
    </r>
    <r>
      <rPr>
        <sz val="9"/>
        <rFont val="Arial"/>
        <family val="2"/>
      </rPr>
      <t xml:space="preserve"> (var. u. feste Kosten, Zins- und Lohnansatz) </t>
    </r>
    <r>
      <rPr>
        <sz val="8"/>
        <rFont val="Arial"/>
        <family val="2"/>
      </rPr>
      <t>(Z.22+Z.26+Z.39)</t>
    </r>
  </si>
  <si>
    <r>
      <t>Direktkosten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(Z.14 bis Z. 18 + Z.26)</t>
    </r>
  </si>
  <si>
    <r>
      <t>Direktkosten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(Z.14 bis Z. 18 + Z.26)</t>
    </r>
  </si>
  <si>
    <t>(Summe Z.19 bis 21,33,35)</t>
  </si>
  <si>
    <t>Düngung</t>
  </si>
  <si>
    <t>Düngung (Entzug x MD-Preis)</t>
  </si>
  <si>
    <r>
      <t xml:space="preserve">Düngung </t>
    </r>
    <r>
      <rPr>
        <sz val="10"/>
        <rFont val="Arial"/>
        <family val="2"/>
      </rPr>
      <t>(Nährstoffabfuhr)</t>
    </r>
  </si>
  <si>
    <t>200 kw</t>
  </si>
  <si>
    <t>LW Silage, 7,7 t FM m. Dosierw. (40 m³)</t>
  </si>
  <si>
    <t>vorläufiger Schätzwert</t>
  </si>
  <si>
    <t>4,50 €/dt</t>
  </si>
  <si>
    <t>Einzelkornsägerät</t>
  </si>
  <si>
    <t>der Grundfuttererzeugung sowie der Erzeugung pflanzlicher Biogassubstrate auf Grünland oder im Ackerfutterbau.</t>
  </si>
  <si>
    <t>in nicht unerheblichem Maß zur Futterwertsteigerung beiträgt.</t>
  </si>
  <si>
    <t>die Energielieferung in GJ je ha mit Standardumrechungsfaktoren nach KTBL kalkuliert.</t>
  </si>
  <si>
    <t>"Arbeitsgänge"</t>
  </si>
  <si>
    <t>Andererseits wird bei den ebenfalls berechneten Verfahren der Substratpflanzen für Biogasanlagen</t>
  </si>
  <si>
    <t xml:space="preserve">nur der Netto-Nährstoffentzug für N (30%) gerechnet, da eine Rücklieferung des Biogasgärrestes entsprechend </t>
  </si>
  <si>
    <t xml:space="preserve">dem Entzug unterstellt ist. Die für die Ausbringung dieses Biogasgärrestes anfallenden Kosten werden in diesem </t>
  </si>
  <si>
    <t xml:space="preserve">entsprechenden Arbeitsgänge aus dem Blatt "Arbeitsgänge". </t>
  </si>
  <si>
    <t>vorgegeben, der entsprechend variiert werden kann.</t>
  </si>
  <si>
    <r>
      <t xml:space="preserve">Für die Produktionsverfahren zur Erzeugung von </t>
    </r>
    <r>
      <rPr>
        <b/>
        <sz val="10"/>
        <rFont val="Arial"/>
        <family val="2"/>
      </rPr>
      <t xml:space="preserve">Kofermenten für Biogasanlagen </t>
    </r>
    <r>
      <rPr>
        <sz val="10"/>
        <rFont val="Arial"/>
        <family val="2"/>
      </rPr>
      <t>sind die Vollkosten bei Ver-</t>
    </r>
  </si>
  <si>
    <t xml:space="preserve">kauf ab Feld und bei Verkauf als fertige Silage aus dem Silo kalkuliert. Eine eventuelle Düngerrücklieferung </t>
  </si>
  <si>
    <t xml:space="preserve">aus Biogas-Gärrest kann frei mit Anteilen von 0 - 100 % des Entzuges (abzgl. 30% Verluste bei N) </t>
  </si>
  <si>
    <t>einberechnet werden. In den Beispielen ist mit einer Anrechnung von 100% Düngerrücklieferung kalkuliert.</t>
  </si>
  <si>
    <t>beeinflusst wird. Dieser Deckungsbeitrag ist gleichzeitig Grundlage für die Ermittlung der Vollkosten.</t>
  </si>
  <si>
    <t xml:space="preserve">Tierhaltungsverfahren (z.B. Futtersilos in der Milchviehhaltung oder eine Biogasanlage) zugerechnet. </t>
  </si>
  <si>
    <t xml:space="preserve">Zum Vergleich der relativen Vorzüglichkeit eines Futterbauverfahrens müssen diese Kosten </t>
  </si>
  <si>
    <t>jedoch hier berücksichtigt werden.</t>
  </si>
  <si>
    <t>futterkosten in der Betriebszweigabrechnung Milchvieh mit dem Programm "Rindcash ".</t>
  </si>
  <si>
    <t>3 Nutz. Ballen</t>
  </si>
  <si>
    <t>Grassil. 3 Nutz. LU</t>
  </si>
  <si>
    <t>Heu RB 5,3 t FM/ha laden, transp., ablad.3-S-Kipp.</t>
  </si>
  <si>
    <t xml:space="preserve">Im Jahr 2005 wurden allen Betrieben Zahlungsansprüche (ZA) zugewiesen. Diese  gewähren einen </t>
  </si>
  <si>
    <t xml:space="preserve">werden. Zur Einlösung eines ZA ist jedoch zwingend 1 ha LF erforderlich. </t>
  </si>
  <si>
    <t>In unserer Vollkostenkalkulation werden die Zahlungsansprüche wie folgt berücksichtigt:</t>
  </si>
  <si>
    <t xml:space="preserve">Es wird ein gemeinsamer Pachtansatz für die Fläche und einen dazugehörigen Zahlungsanspruch unterstellt. </t>
  </si>
  <si>
    <t>Das heißt Fläche und ZA gehen gemeinsam über, und zwar zum durchschnittlichen Pachtpreisniveau von</t>
  </si>
  <si>
    <t>für Ackerland  bzw. Grünland. Der Anwender kann im entsprechenden Arbeitsblatt  "Sonstige feste Spezial- und</t>
  </si>
  <si>
    <t>Gemeinkosten" gewünschte Anpassungen beim Pachtpreis selbst vornehmen.</t>
  </si>
  <si>
    <t xml:space="preserve">Es kann aber auch der Fall berücksichtigt werden, dass die Fläche ohne Zahlungsanspruch bewirtschaftet wird </t>
  </si>
  <si>
    <t xml:space="preserve">bzw. ein ZA auf dem freien Markt für die gepachtete Fläche erworben wird. Die Wirtschaftlichkeit des Kaufs </t>
  </si>
  <si>
    <t>des ZA ist dann in einer separaten Kalkulation vorzunehmen.</t>
  </si>
  <si>
    <t>Rundballen pressen (je Ballen)</t>
  </si>
  <si>
    <t>Ertrag (Abfuhr)</t>
  </si>
  <si>
    <t>Masserüben</t>
  </si>
  <si>
    <t>bei 63 % TS</t>
  </si>
  <si>
    <t>wie ccm</t>
  </si>
  <si>
    <t>Futternutzung</t>
  </si>
  <si>
    <t>1) abzüglich aller Ausgleichsleistungen</t>
  </si>
  <si>
    <t>Ertrag / Abfuhr</t>
  </si>
  <si>
    <t>Inhaltsverzeichnis 1</t>
  </si>
  <si>
    <t>Inhaltsverzeichnis 2</t>
  </si>
  <si>
    <t>zusätzliche Lohnarbeiten bei Fremdmechanisierung und bei Biogas-Kofermenten: Ernte, Einfahren und Festfahren Grassilage, Einfahren GPS und Mais, Gärrestrücklieferung bei Biogas</t>
  </si>
  <si>
    <t>3 Nutz</t>
  </si>
  <si>
    <t>Durchw. Silphie ex Silo</t>
  </si>
  <si>
    <t>GPS+Sudangras ex Silo</t>
  </si>
  <si>
    <r>
      <t>€/10 MJ NEL bzw /m</t>
    </r>
    <r>
      <rPr>
        <b/>
        <vertAlign val="superscript"/>
        <sz val="12"/>
        <color indexed="10"/>
        <rFont val="Arial"/>
        <family val="2"/>
      </rPr>
      <t>3</t>
    </r>
    <r>
      <rPr>
        <b/>
        <sz val="12"/>
        <color indexed="10"/>
        <rFont val="Arial"/>
        <family val="2"/>
      </rPr>
      <t xml:space="preserve"> Methan</t>
    </r>
  </si>
  <si>
    <r>
      <t>€/10 MJ NEL bzw. /m</t>
    </r>
    <r>
      <rPr>
        <b/>
        <vertAlign val="superscript"/>
        <sz val="10"/>
        <color indexed="10"/>
        <rFont val="Arial"/>
        <family val="2"/>
      </rPr>
      <t>3</t>
    </r>
    <r>
      <rPr>
        <b/>
        <sz val="10"/>
        <color indexed="10"/>
        <rFont val="Arial"/>
        <family val="2"/>
      </rPr>
      <t xml:space="preserve"> Methan</t>
    </r>
  </si>
  <si>
    <t>GPS Tritic. Biogas ex Silo</t>
  </si>
  <si>
    <t>Gebäudekapital ( Investitionskosten abzgl. 20% Zuschuß AFP)</t>
  </si>
  <si>
    <t>erwerbbar frei Hof ?</t>
  </si>
  <si>
    <t xml:space="preserve">Rübe ohne Blatt Abfuhr; Näbi, </t>
  </si>
  <si>
    <t>Mehrwertsteuer</t>
  </si>
  <si>
    <t>ausgewählt, Nr.:</t>
  </si>
  <si>
    <t>mit Mehrwertsteuer (Pauschalierung)</t>
  </si>
  <si>
    <t>ohne Mehrwertsteuer (Option)</t>
  </si>
  <si>
    <t>Werte:</t>
  </si>
  <si>
    <t>D1 Verzicht auf chem.-synth. Produktionsmittel</t>
  </si>
  <si>
    <t>D2.1 Einführung Ökölandbau - Acker/Grünl. (2 Jahre)</t>
  </si>
  <si>
    <t xml:space="preserve">D2.2 Beibehaltung Ökölandbau - Acker/Grünl. </t>
  </si>
  <si>
    <t>E1.1 Begrünung im Acker/Gartenbau</t>
  </si>
  <si>
    <t>E1.2 Begrünungsmischungen im Acker/Gartenbau</t>
  </si>
  <si>
    <t>E3 Herbizidverzicht im Ackerbau</t>
  </si>
  <si>
    <t>E4 Ausbringung von Trichogramma im Mais</t>
  </si>
  <si>
    <t>F1 Winterbegrünung</t>
  </si>
  <si>
    <t>F2 N-depotdüngung mit Injektion</t>
  </si>
  <si>
    <t>F3 Precision Farming</t>
  </si>
  <si>
    <t>F4 Reduzierte Bodenbearbeitung mit Strip Till</t>
  </si>
  <si>
    <t>Abhängig von Gebietskategorie, Flächennutzung sowie Landw. Vergleichszahl (LVZ) (beispielhafte Werte).</t>
  </si>
  <si>
    <r>
      <t xml:space="preserve">AZL- Ausgleichszulagen für benachteiligte Gebiete in €/ha </t>
    </r>
    <r>
      <rPr>
        <b/>
        <u/>
        <vertAlign val="superscript"/>
        <sz val="14"/>
        <rFont val="Arial"/>
        <family val="2"/>
      </rPr>
      <t>2)</t>
    </r>
  </si>
  <si>
    <t xml:space="preserve">Das Direktzahlungssystem wird ab 2015 aus  Basisprämie, Greening-Zahlung, 
</t>
  </si>
  <si>
    <t>Umverteilungsprämie für die ersten Hektar und Junglandwirteprämie bestehen.</t>
  </si>
  <si>
    <r>
      <t xml:space="preserve">ZA- Prämie aus Zahlungsansprüchen in €/ha </t>
    </r>
    <r>
      <rPr>
        <b/>
        <u/>
        <vertAlign val="superscript"/>
        <sz val="14"/>
        <rFont val="Arial"/>
        <family val="2"/>
      </rPr>
      <t>(1)</t>
    </r>
  </si>
  <si>
    <t>einen GAP Prämienschätzer zur Kalkulation der ZA finden sie hier:</t>
  </si>
  <si>
    <t>http://www.bauernverband.de/praemienschaetzer</t>
  </si>
  <si>
    <t>weiter Informationen zu Maßnahmen und Kombinationene von FAKT,  der Kalkulation der ZA und zu den AZL finden sie unter:</t>
  </si>
  <si>
    <t>http://www.landwirtschaft-bw.info/pb/MLR.Foerderung,Lde/Startseite/Foerderwegweiser</t>
  </si>
  <si>
    <t>Zahlungsanspruch Ø</t>
  </si>
  <si>
    <t>30-50 €</t>
  </si>
  <si>
    <t>25-45 €</t>
  </si>
  <si>
    <t>145 €/AKh</t>
  </si>
  <si>
    <t>80 €/AKh</t>
  </si>
  <si>
    <t>60 €/AKh</t>
  </si>
  <si>
    <t>100 €/Akh</t>
  </si>
  <si>
    <t>160 €/Akh</t>
  </si>
  <si>
    <t>160 €/AKh</t>
  </si>
  <si>
    <t>105 €/Akh</t>
  </si>
  <si>
    <t>60 €/Akh</t>
  </si>
  <si>
    <t>15 €/Akh</t>
  </si>
  <si>
    <t>(8,0-9,0 m) mit Aufbereiter (200 kW Traktor)</t>
  </si>
  <si>
    <t>60 €/AKh u. Fahrzg.</t>
  </si>
  <si>
    <t>Mähen, 1x Kreiseln,Schwaden, Transport und Festfahren</t>
  </si>
  <si>
    <t>&gt;mit Ladewagen</t>
  </si>
  <si>
    <t>&gt;mit Häcksler</t>
  </si>
  <si>
    <t xml:space="preserve">Cobs </t>
  </si>
  <si>
    <t>Abfuhr Grüngut ab Feld bis ca. 35 km Kosten je dt Cobs</t>
  </si>
  <si>
    <t>360-540€</t>
  </si>
  <si>
    <t>450</t>
  </si>
  <si>
    <t>+90 €/Akh</t>
  </si>
  <si>
    <t>+90 €/AKh</t>
  </si>
  <si>
    <t>Ballen je ha</t>
  </si>
  <si>
    <t>Spannw.</t>
  </si>
  <si>
    <t xml:space="preserve">Rundballen </t>
  </si>
  <si>
    <t>€/Stück</t>
  </si>
  <si>
    <t>6,50 €/Stk</t>
  </si>
  <si>
    <t>70-125 €</t>
  </si>
  <si>
    <t>85 €</t>
  </si>
  <si>
    <t>Heu   (Ø1,2 m, 1,5 m³, 1,8 dt FM/m³, 30-40 dt FM/ha)</t>
  </si>
  <si>
    <t>6,00 €/Stk</t>
  </si>
  <si>
    <t>65-90 €</t>
  </si>
  <si>
    <t>80 €</t>
  </si>
  <si>
    <t>16 €/Stk</t>
  </si>
  <si>
    <t>210-290 €</t>
  </si>
  <si>
    <t>250 €</t>
  </si>
  <si>
    <t>Silage Rundballen nur wickeln inkl. Folie</t>
  </si>
  <si>
    <t>8,20 €/Stk</t>
  </si>
  <si>
    <t>105-150 €</t>
  </si>
  <si>
    <t>130 €</t>
  </si>
  <si>
    <t>7,00 €/Stk</t>
  </si>
  <si>
    <t>90-155 €</t>
  </si>
  <si>
    <t>125 €</t>
  </si>
  <si>
    <t>80-105 €</t>
  </si>
  <si>
    <t>17 €/Stk</t>
  </si>
  <si>
    <t>170-305 €</t>
  </si>
  <si>
    <t>200 €</t>
  </si>
  <si>
    <t>Silage Quaderballen nur wickeln inkl. Folie</t>
  </si>
  <si>
    <t>9,30 €/Stk</t>
  </si>
  <si>
    <t>90-170 €</t>
  </si>
  <si>
    <t>110 €</t>
  </si>
  <si>
    <t>€/ha(€/t)</t>
  </si>
  <si>
    <t>Festmist</t>
  </si>
  <si>
    <t xml:space="preserve">50-35    </t>
  </si>
  <si>
    <t>Stallmiststreuer (8-12 t zGG.je zus. t 4 €)</t>
  </si>
  <si>
    <t>50</t>
  </si>
  <si>
    <t xml:space="preserve"> (15t)</t>
  </si>
  <si>
    <t>(20t)</t>
  </si>
  <si>
    <t>(25t)</t>
  </si>
  <si>
    <t>(3,5-1,5 €)</t>
  </si>
  <si>
    <t>(2,5 €/t)</t>
  </si>
  <si>
    <t xml:space="preserve">Gülle  </t>
  </si>
  <si>
    <t>Grünland und Kleegras</t>
  </si>
  <si>
    <t>GPS und Mais</t>
  </si>
  <si>
    <t>Ballen (ohne Transport)</t>
  </si>
  <si>
    <t>Silage inkl. Folie (30-38 dt TM/ha)</t>
  </si>
  <si>
    <r>
      <t>Silierkette Grünland:</t>
    </r>
    <r>
      <rPr>
        <sz val="11"/>
        <rFont val="Arial"/>
        <family val="2"/>
      </rPr>
      <t xml:space="preserve">  </t>
    </r>
  </si>
  <si>
    <r>
      <t>170 €</t>
    </r>
    <r>
      <rPr>
        <b/>
        <vertAlign val="superscript"/>
        <sz val="11"/>
        <rFont val="Arial"/>
        <family val="2"/>
      </rPr>
      <t>1)</t>
    </r>
  </si>
  <si>
    <r>
      <t>160 €</t>
    </r>
    <r>
      <rPr>
        <b/>
        <vertAlign val="superscript"/>
        <sz val="11"/>
        <rFont val="Arial"/>
        <family val="2"/>
      </rPr>
      <t>1)</t>
    </r>
  </si>
  <si>
    <r>
      <t>Stroh (Ø1,5 m, 1,8 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1,5 dt FM/m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30-50 dt FM/ha)</t>
    </r>
  </si>
  <si>
    <r>
      <t>Silage inkl. Wickeln (1,2 m³, 1,8 dt TM/m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30-38 dt TM/ha)</t>
    </r>
  </si>
  <si>
    <r>
      <t xml:space="preserve">Großpacken </t>
    </r>
    <r>
      <rPr>
        <sz val="11"/>
        <rFont val="Arial"/>
        <family val="2"/>
      </rPr>
      <t>(0,70x1,20x1,80 m)</t>
    </r>
  </si>
  <si>
    <r>
      <t>Stroh (1,5 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1,5 dt FM 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30-50 dt FM/ha)</t>
    </r>
  </si>
  <si>
    <r>
      <t>Heu   (1,5 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1,8 dt FM/m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30-40 dt FM/ha)</t>
    </r>
  </si>
  <si>
    <t>90 - 105 €</t>
  </si>
  <si>
    <r>
      <rPr>
        <b/>
        <sz val="14"/>
        <rFont val="Arial"/>
        <family val="2"/>
      </rPr>
      <t xml:space="preserve">FAKT-Verfahrensspezifische Ausgleichsleistungen in €/ha </t>
    </r>
    <r>
      <rPr>
        <sz val="10"/>
        <rFont val="Arial"/>
        <family val="2"/>
      </rPr>
      <t xml:space="preserve">
aus dem Förderprogramm für Agrarumwelt, Klimaschutz und Tierwohl. Alle Prämiern stehen unter dem  Vorbehalt der abschließenden Kalkulation und EU Genehmigung.</t>
    </r>
  </si>
  <si>
    <t>ohne Tierhaltung - Grünland</t>
  </si>
  <si>
    <t>150 €/ha</t>
  </si>
  <si>
    <t>135 €/ha</t>
  </si>
  <si>
    <t>120 €/ha</t>
  </si>
  <si>
    <t>110 €/ha</t>
  </si>
  <si>
    <t>25 €/ha</t>
  </si>
  <si>
    <t>FAKT</t>
  </si>
  <si>
    <t>A1; Fruchtartendifferenzierung (mind. 5-gl.FF)</t>
  </si>
  <si>
    <t>A2; Silageverzicht im gesamten Betrieb (Heumilch)</t>
  </si>
  <si>
    <t>B1.1; GL mit Viehbesatz 0,3 bis 1,4 RGV/ha HFF</t>
  </si>
  <si>
    <t>B1.2; GL mit Viehbesatz bis 1,4 RGV/ha HFF o. Dü.)</t>
  </si>
  <si>
    <t>B3.1; artenreiches Grünland mit 4 Kennarten</t>
  </si>
  <si>
    <t>B3.2 artenreiches Grünland mit 6 Kennarten</t>
  </si>
  <si>
    <t>B4; Extens. Nutz. von §30 BNatSchG/§32 LNatschG Biotopen</t>
  </si>
  <si>
    <t>B5; Extens. Nutz. von  FFH-Mähwiesen</t>
  </si>
  <si>
    <t>Zahlungsanspruch individuell</t>
  </si>
  <si>
    <t>Zu-/Abschl. kg/dt</t>
  </si>
  <si>
    <t>Silomais intensiv ohne FAKT- Ausgleichsleistungen</t>
  </si>
  <si>
    <t>kein Ansatz von Feldverlusten, analog Kalkuationsdaten Marktfrüchte</t>
  </si>
  <si>
    <t xml:space="preserve">Ertrag </t>
  </si>
  <si>
    <t xml:space="preserve">ha/h  (t/ha)  </t>
  </si>
  <si>
    <t>Sonstige Prämien (FAKT, Ausgleichszulage...)</t>
  </si>
  <si>
    <t>Spalte R u. Y (Festkosten Zwischenfrüchte) ausgeblendet u. auf Null gesetzt.In Zeile 43 auch Formel gelöscht; KK (19.10.2015 - siehe ggf. Vorgängerversionen))</t>
  </si>
  <si>
    <t xml:space="preserve">LW Grünabfuhr, 12 t FM (20 m³, 4 t Nutzl.) </t>
  </si>
  <si>
    <t xml:space="preserve">LW Grünf.m. Mähwerk 12 t FM (20 m³, 4 t Nutzl.) </t>
  </si>
  <si>
    <t>LW Silage, 7,7 t FM m. Dosierw. (20 m³, 5 t Nutzl.)</t>
  </si>
  <si>
    <t>4 Nutzungen</t>
  </si>
  <si>
    <t>Kleegras-Silage</t>
  </si>
  <si>
    <t>Kleegras-Grünfütterung</t>
  </si>
  <si>
    <t>nieder/mittel/hoch</t>
  </si>
  <si>
    <t>Ackerfutter:</t>
  </si>
  <si>
    <t>(mehrschnittig)</t>
  </si>
  <si>
    <t>(Einschnittig)</t>
  </si>
  <si>
    <t>5 Nutzungen</t>
  </si>
  <si>
    <t>3 Nutzungen</t>
  </si>
  <si>
    <t>2 Nutzungen</t>
  </si>
  <si>
    <t>1 Nutzung</t>
  </si>
  <si>
    <t>AZL-Grünland, 2 Nutzungen</t>
  </si>
  <si>
    <t>AZL-Grünland, 3 Nutzungen</t>
  </si>
  <si>
    <t>AZL-Grünland, 4 Nutzungen</t>
  </si>
  <si>
    <t>AZL-Grünland, 5 Nutzungen</t>
  </si>
  <si>
    <t>Wiese; 3 Nutzungen (3 x Grünfutter)</t>
  </si>
  <si>
    <t>Wiese; 4 Nutzungen (4 x Grünfutter)</t>
  </si>
  <si>
    <t>Wiese 3 Nutzungen (3 x Silage)</t>
  </si>
  <si>
    <t>Wiese; 4 Nutzungen, eigen mech, 4 x Silage</t>
  </si>
  <si>
    <t>Wiese; 3 Nutzungen, Fremdernte, 3 x Silage</t>
  </si>
  <si>
    <t>Wiese; 5 Nutzungen, Fremdmech, 5 x Silage</t>
  </si>
  <si>
    <t>Wiese; 4 Nutzungen Fremdmech, 4 x Silage</t>
  </si>
  <si>
    <t>extensive Weide, FAKT-Förderung</t>
  </si>
  <si>
    <t>Kleegras, 4 Nutzungen</t>
  </si>
  <si>
    <t>Preise u. Stammdaten: Erzeugerpreise / Nährstoffpreise / Zinsansatz / Kosten überbetriebliche Arbeitserledigung</t>
  </si>
  <si>
    <t>Zu-/Abschl. kg/dt TM</t>
  </si>
  <si>
    <t xml:space="preserve">lt. Nährstoffvergleich Kleegras-50/50, </t>
  </si>
  <si>
    <t>2-jährig, Silage, Lohnernte</t>
  </si>
  <si>
    <t>Kleegrassilage, 4 Nutzungen</t>
  </si>
  <si>
    <t>Ernte (Häcksler),Transport, walzen</t>
  </si>
  <si>
    <t>Luzernesilage, 4 Nutzungen</t>
  </si>
  <si>
    <t>2-jähriger Luzerneanbau, Lohnernte</t>
  </si>
  <si>
    <t xml:space="preserve">Gültig für Grünland </t>
  </si>
  <si>
    <t>&gt; 100 ha: 20 %; &gt;200 ha: 40 %; &gt;300 ha: 60 %; &gt;400 ha: 80 %; &gt;500 ha: 100 %</t>
  </si>
  <si>
    <r>
      <rPr>
        <b/>
        <sz val="10"/>
        <rFont val="Arial"/>
        <family val="2"/>
      </rPr>
      <t>Einschränkungen:</t>
    </r>
    <r>
      <rPr>
        <sz val="10"/>
        <rFont val="Arial"/>
        <family val="2"/>
      </rPr>
      <t xml:space="preserve"> Mindestauszahlungsbetrag 250 €, Degression (Reduzierung der Beihilfe):</t>
    </r>
  </si>
  <si>
    <t xml:space="preserve">3 Nutz. </t>
  </si>
  <si>
    <t>4 Nutz.</t>
  </si>
  <si>
    <t xml:space="preserve">5 Nutz. </t>
  </si>
  <si>
    <t>4 Nutz. eigen</t>
  </si>
  <si>
    <t>2 Nutz.</t>
  </si>
  <si>
    <t>extensiv</t>
  </si>
  <si>
    <t>3 Nutz. Fremd</t>
  </si>
  <si>
    <t>4 Nutz. Fremd</t>
  </si>
  <si>
    <t>5 Nutz. Fremd</t>
  </si>
  <si>
    <t>Kleegras grün</t>
  </si>
  <si>
    <t>4 Nutz.
Fremd</t>
  </si>
  <si>
    <t>Luzerne
Silage</t>
  </si>
  <si>
    <t>Zwisch.frucht Raps
 grün</t>
  </si>
  <si>
    <t xml:space="preserve">Hier sind die relevanten Ausgleichsleistungen (MEKA / FAKT Ausgleichszulage, Zahlungsansprüche aus GAP-Reform) </t>
  </si>
  <si>
    <r>
      <t>Ausgleichsleistungen</t>
    </r>
    <r>
      <rPr>
        <sz val="10"/>
        <rFont val="Arial"/>
        <family val="2"/>
      </rPr>
      <t xml:space="preserve"> sind beispielsweise:  MEKA / FAKT-Prämien ,die Ausgleichszulage und die GAP-Prämie.</t>
    </r>
  </si>
  <si>
    <t>wahlweise für die Futterbauverfahren ab Vers. 3.4 (2009) eingebaut.</t>
  </si>
  <si>
    <t>Begründung: die verfahrensspezifischen Prämien (z.B. MEKA / FAKT, Ausgleichszulage) sind in vielen Fällen gedeckelt</t>
  </si>
  <si>
    <t xml:space="preserve">Grünfütterung 4 Nutz. </t>
  </si>
  <si>
    <t xml:space="preserve">Grasil. 4 Nutz </t>
  </si>
  <si>
    <t>4 Nutz.
Eigen</t>
  </si>
  <si>
    <t>Kleegras Silage LU</t>
  </si>
  <si>
    <t xml:space="preserve">Kostenrechnung (Deckungsbeitrag / Vollkosten) </t>
  </si>
  <si>
    <t>A.</t>
  </si>
  <si>
    <t>Übersicht über die kalkulierten Produktionsverfahren</t>
  </si>
  <si>
    <t>B.</t>
  </si>
  <si>
    <t>C.</t>
  </si>
  <si>
    <t>Allgemeine Orientierungswerte Futterbau</t>
  </si>
  <si>
    <t>Stammdaten:</t>
  </si>
  <si>
    <t>Jedes Produktionsverfahren wird durch zwei Seiten beschrieben:</t>
  </si>
  <si>
    <t>Deckblatt</t>
  </si>
  <si>
    <t>3 Nutzungen, Eigenernte</t>
  </si>
  <si>
    <t xml:space="preserve">4 Nutzungen, Eigenernte </t>
  </si>
  <si>
    <t>5 Nutzungen, Eigenernte</t>
  </si>
  <si>
    <t>3 Nutzungen Lohnernte</t>
  </si>
  <si>
    <t>4 Nutzungen Lohnernte</t>
  </si>
  <si>
    <t>5 Nutzungen Lohnernte</t>
  </si>
  <si>
    <t>3 Nutzungen Ballensilage</t>
  </si>
  <si>
    <t>Weide, extensiv</t>
  </si>
  <si>
    <t>Weide, intensiv</t>
  </si>
  <si>
    <t>5 Nutzungen (gemischtes Verfahren)</t>
  </si>
  <si>
    <t>4 Nutzungen Eigenernte</t>
  </si>
  <si>
    <t>ZW-Grünfütterung</t>
  </si>
  <si>
    <t>GPS-Weizen</t>
  </si>
  <si>
    <t>Lieschkolbenschrot (ca. 52-54% TS)</t>
  </si>
  <si>
    <t>CornCobMix (ca. 60% TS)</t>
  </si>
  <si>
    <t>Feuchtmais (65%-67 TS)</t>
  </si>
  <si>
    <t>Transportkosten Silomais</t>
  </si>
  <si>
    <t>Vergleich Maisprodukte</t>
  </si>
  <si>
    <t>N-Bindung Leguminosen</t>
  </si>
  <si>
    <t>KTBL 18/19</t>
  </si>
  <si>
    <t>95 + 103</t>
  </si>
  <si>
    <t>3-Seitenkipper (Tandemachse; 10 t Nutzlast)</t>
  </si>
  <si>
    <t>Frontmähwerk 2,7 m mit Aufber.</t>
  </si>
  <si>
    <t>Ladewagen m. Dosierwalzen, 40 m³</t>
  </si>
  <si>
    <t>Ladewagen m. Dosierwalzen, 20 m³</t>
  </si>
  <si>
    <t>Frontlader 2100 daN</t>
  </si>
  <si>
    <t>Schlepper 3 mit Frontlader 2100 daN</t>
  </si>
  <si>
    <t>S. 72 + 77, (Frontlader je t Mehrgewicht 1 Li Dieselmehrverbrauch; Mittlg. Abt. 4))</t>
  </si>
  <si>
    <t>S. 72</t>
  </si>
  <si>
    <t>Drehpflug 2,10 m</t>
  </si>
  <si>
    <t>S. 90+168</t>
  </si>
  <si>
    <t>S. 95+169</t>
  </si>
  <si>
    <t>S. 92+168 (eine Überfahrt)</t>
  </si>
  <si>
    <t>Scheibenegge 5 m</t>
  </si>
  <si>
    <t>S. 93+167</t>
  </si>
  <si>
    <t>Cambridgewalze 4,5 m</t>
  </si>
  <si>
    <t>S. 95+103+181</t>
  </si>
  <si>
    <t>S. 103+181</t>
  </si>
  <si>
    <t>Hackstriegel 9 m</t>
  </si>
  <si>
    <t>S. 98+176</t>
  </si>
  <si>
    <t xml:space="preserve">Düngerstreuer ab Hof 24 m, 400 kg/ha </t>
  </si>
  <si>
    <t>Pflanzenschutzspritze 24 m, 300 l/ha</t>
  </si>
  <si>
    <t>(KTBL Öko 2017) S. 115+211</t>
  </si>
  <si>
    <t>Silagetransport Mais/GPS, 3S.Kip. (10t Nutzl.), 50 t FM</t>
  </si>
  <si>
    <t>S. 110+201</t>
  </si>
  <si>
    <t>S. 111+201</t>
  </si>
  <si>
    <t>S. 112+202</t>
  </si>
  <si>
    <t>S.113+202</t>
  </si>
  <si>
    <t xml:space="preserve">0,20 €/t var. Kost. Hänger (S. 84) x 5,3 t =1,06 €/ha; 1,14 Akh für 1,5 m Ballen bei 5,3 t/ha Erntemenge (S. 205) </t>
  </si>
  <si>
    <t>h</t>
  </si>
  <si>
    <t>SF-Häcksler Gras, 12 t FM/ha, 3 m, 300 kW</t>
  </si>
  <si>
    <t>S. 115+206</t>
  </si>
  <si>
    <t>S. 115+203</t>
  </si>
  <si>
    <t>S. 463 + 464, ca. 6 Std./ha Weidebetrieb, ca. 6 Std./ha Weidepflege</t>
  </si>
  <si>
    <t>S. 463 + 464, ca. 9 Std./ha Weidebetrieb, ca. 6 Std./ha Weidepflege</t>
  </si>
  <si>
    <t>B6; Messerbalkenschnitt auf artenreichem GL/Biotopen/FFH</t>
  </si>
  <si>
    <t>Nachsämaschine für Gras oder Klee</t>
  </si>
  <si>
    <t>40 €/ha</t>
  </si>
  <si>
    <t xml:space="preserve">Quelle: KTBL-Betriebsplanung für die Landwirtschaft 2020/2021, Seite 72  </t>
  </si>
  <si>
    <t>Quelle: KTBL-Betriebsplanung für die Landwirtschaft 2020/2021, Seite 88</t>
  </si>
  <si>
    <t>Quelle: KTBL-Betriebsplanung für die Landwirtschaft 2020/2021, Seite 90</t>
  </si>
  <si>
    <t>Quelle: KTBL-Betriebsplanung für die Landwirtschaft 2020/2021, Seite 95 + 103</t>
  </si>
  <si>
    <t>Quelle: KTBL-Betriebsplanung für die Landwirtschaft 2020/2021, Seite 98</t>
  </si>
  <si>
    <t>Quelle: KTBL-Betriebsplanung für die Landwirtschaft 2020/2021, Seite 108</t>
  </si>
  <si>
    <t>Quelle: KTBL-Betriebsplanung für die Landwirtschaft 2020/2021, Seite 84</t>
  </si>
  <si>
    <t>Quelle: KTBL-Betriebsplanung für die Landwirtschaft 2020/2021, Seite 107</t>
  </si>
  <si>
    <t>Quelle: KTBL-Betriebsplanung für die Landwirtschaft 2020/2021, Seite 95</t>
  </si>
  <si>
    <t>Quelle: KTBL-Betriebsplanung für die Landwirtschaft 2020/2021, Seite 110</t>
  </si>
  <si>
    <t>Quelle: KTBL-Betriebsplanung für die Landwirtschaft 2020/2021, Seite 112</t>
  </si>
  <si>
    <t>Quelle: KTBL-Betriebsplanung für die Landwirtschaft 2020/2021, Seite 115.</t>
  </si>
  <si>
    <t>Rotationsmähwerk(Front-) 2,7 m</t>
  </si>
  <si>
    <t>S. 72, S. 109, S.115 KTBL Schlepper 80 PS + Mähwerk+LW</t>
  </si>
  <si>
    <t>S. 114: 1,5 m Festkammer var. Kost. gesamt (0,6 €/Ballen) x Anz. Ballen (53 dt/ha FM : 3,2 dt/Ballen=16,56 Ballen/ha) + 14 m Netz pro Ballen x 0,04 €/m Netz (S. 67); S.205</t>
  </si>
  <si>
    <t>S.70+S.77</t>
  </si>
  <si>
    <t>ZR laden mit Schlepper(67 KW) und Frontlader (1800 daN)</t>
  </si>
  <si>
    <t>ZR-Transport Anhänger (14 t Nutzl.) 65 t FM/ha</t>
  </si>
  <si>
    <t>Schlepper 102 KW+ (5* 14t Nutzlast) Dreiseitenkipper S. 72 +S.84 KTBL</t>
  </si>
  <si>
    <t>Quelle: KTBL 2020/2021</t>
  </si>
  <si>
    <t>Saatbettkomb. 4 m</t>
  </si>
  <si>
    <t>S. 104+183</t>
  </si>
  <si>
    <t>S. 107+185</t>
  </si>
  <si>
    <t>S. 106+185</t>
  </si>
  <si>
    <t>S. 108+188 ab Hof</t>
  </si>
  <si>
    <t>Transp. u. Abkip. Getr. 6t/ha (5,7 t Kipper)</t>
  </si>
  <si>
    <t>Transp. u. Abkip. Getr.6 t/ha (13,5 t Ki.)</t>
  </si>
  <si>
    <t>S. 85+192</t>
  </si>
  <si>
    <t>S. 84+192</t>
  </si>
  <si>
    <t>E2.1 Brachebegrünung mit Blühmischungen (ohne ÖVF-Anr.) 1)</t>
  </si>
  <si>
    <t>E2.2 Brachebegrünung mit Blühmischungen (mit ÖVF-Anr.)</t>
  </si>
  <si>
    <t>Antragsjahr</t>
  </si>
  <si>
    <t>Quelle: KTBL 20/21 S. 69 Kosten für Gebäude und bauliche Anlagen</t>
  </si>
  <si>
    <t>ᴓ in BW</t>
  </si>
  <si>
    <t>Quelle: KTBL-Betriebsplanung für die Landwirtschaft 2020/2021, Seite 77.</t>
  </si>
  <si>
    <t xml:space="preserve">Quelle: </t>
  </si>
  <si>
    <t>Schlepper 157 KW Allrad</t>
  </si>
  <si>
    <t>Flachlager Cobs</t>
  </si>
  <si>
    <t>Druschfrucht/ Cobs</t>
  </si>
  <si>
    <t>115</t>
  </si>
  <si>
    <t>Quelle: Stammdatenblatt LEL</t>
  </si>
  <si>
    <t xml:space="preserve">Quelle: Quelle LEL intern </t>
  </si>
  <si>
    <t xml:space="preserve">Quelle: LEL intern </t>
  </si>
  <si>
    <t>Abholung Grüngut ab Feld ca. 7 € Zuschlag ( brutto)</t>
  </si>
  <si>
    <t>Quelle: Stand Juli 2021 Qualitätstrocknung Nordbayern eG (QTN)</t>
  </si>
  <si>
    <t>70-120</t>
  </si>
  <si>
    <t>135-180</t>
  </si>
  <si>
    <t>108-130</t>
  </si>
  <si>
    <t>40-70</t>
  </si>
  <si>
    <t>37-53</t>
  </si>
  <si>
    <t>66-83</t>
  </si>
  <si>
    <t>73-90</t>
  </si>
  <si>
    <t>46-57</t>
  </si>
  <si>
    <t>62-77</t>
  </si>
  <si>
    <t>236-265</t>
  </si>
  <si>
    <t>63-84</t>
  </si>
  <si>
    <t>78-104</t>
  </si>
  <si>
    <t>50-156</t>
  </si>
  <si>
    <t>83-105</t>
  </si>
  <si>
    <t>Quelle: Daten aus LEL Marktfrüchte Stand Juli 2021</t>
  </si>
  <si>
    <t>Futterbaubetrieb</t>
  </si>
  <si>
    <t>Gemischtbetrieb</t>
  </si>
  <si>
    <t>Marktfruchtbetrieb</t>
  </si>
  <si>
    <t>ErtragsmessZahl der Gemarkung</t>
  </si>
  <si>
    <t>EMZ bis 24,9</t>
  </si>
  <si>
    <t>EMZ 25,0 bis 29,9</t>
  </si>
  <si>
    <t>EMZ 40,0 bis 46,6</t>
  </si>
  <si>
    <t xml:space="preserve">EMZ 35,0 bis 39,9 </t>
  </si>
  <si>
    <t>EMZ 30,0 bis 34,9</t>
  </si>
  <si>
    <t>70 €/ ha</t>
  </si>
  <si>
    <t>60 €/ ha</t>
  </si>
  <si>
    <t>50 €/ ha</t>
  </si>
  <si>
    <t>40 €/ ha</t>
  </si>
  <si>
    <t>30 €/ ha</t>
  </si>
  <si>
    <t>25 €/ ha</t>
  </si>
  <si>
    <t>30 €/ha</t>
  </si>
  <si>
    <t>35 €/ ha</t>
  </si>
  <si>
    <t>45 €/ ha</t>
  </si>
  <si>
    <t xml:space="preserve"> 80 €/ha</t>
  </si>
  <si>
    <t xml:space="preserve"> 70 €/ha</t>
  </si>
  <si>
    <t xml:space="preserve"> 60 €/ha</t>
  </si>
  <si>
    <t xml:space="preserve"> 50 €/ha</t>
  </si>
  <si>
    <t xml:space="preserve"> 40 €/ha</t>
  </si>
  <si>
    <t xml:space="preserve"> EMZ bis 19,9</t>
  </si>
  <si>
    <t xml:space="preserve"> EMZ 20,0 bis 24,9</t>
  </si>
  <si>
    <t xml:space="preserve"> EMZ 25,0 bis 29,9</t>
  </si>
  <si>
    <t xml:space="preserve"> EMZ 30,0 bis 34,9</t>
  </si>
  <si>
    <t xml:space="preserve"> EMZ ab 35,0</t>
  </si>
  <si>
    <t>Ertragsmesszahl der Gemarkung ( EMZ)</t>
  </si>
  <si>
    <t xml:space="preserve">Zuwendung </t>
  </si>
  <si>
    <t>1.Benachteiligte Gebiete</t>
  </si>
  <si>
    <t>2. Berggebiete</t>
  </si>
  <si>
    <t>3. Aus anderen speziefischen Gründen benachteiligte Gebiete:</t>
  </si>
  <si>
    <t>AZL bis zu 40 €/ha landwirtschaftlich genutzter Fläche</t>
  </si>
  <si>
    <t>Das relevante Bewirtschaftungssystem wird für jeden antragstellenden Betrieb jährlich über den Anteil Grünland und Ackerfutter auf Grundlage der im InVeKoS-Sammelantrag (Gemeinsamer Antrag) enthaltenen Flächen ermittelt, wobei unter »Grünland und Ackerfutter« neben Grünland auch der klassische Anbau von Ackerfutter wie Klee- und Grasarten in Rein- oder Gemengeanbau berücksichtigt wird.</t>
  </si>
  <si>
    <r>
      <t xml:space="preserve">Ein Bewirtschaftungssystem </t>
    </r>
    <r>
      <rPr>
        <sz val="10"/>
        <color rgb="FF00B050"/>
        <rFont val="Arial"/>
        <family val="2"/>
      </rPr>
      <t>»Marktfruchtbetrieb«</t>
    </r>
    <r>
      <rPr>
        <sz val="10"/>
        <rFont val="Arial"/>
        <family val="2"/>
      </rPr>
      <t xml:space="preserve"> in diesem Sinne ist gegeben, wenn der </t>
    </r>
    <r>
      <rPr>
        <sz val="10"/>
        <color rgb="FF00B050"/>
        <rFont val="Arial"/>
        <family val="2"/>
      </rPr>
      <t>Anteil Grünland und Ackerfutte</t>
    </r>
    <r>
      <rPr>
        <sz val="10"/>
        <rFont val="Arial"/>
        <family val="2"/>
      </rPr>
      <t xml:space="preserve">r an der landwirtschaftlichen Fläche des Betriebes </t>
    </r>
    <r>
      <rPr>
        <sz val="10"/>
        <color rgb="FF00B050"/>
        <rFont val="Arial"/>
        <family val="2"/>
      </rPr>
      <t>weniger als 30 Prozent</t>
    </r>
    <r>
      <rPr>
        <sz val="10"/>
        <rFont val="Arial"/>
        <family val="2"/>
      </rPr>
      <t xml:space="preserve"> beträgt.</t>
    </r>
  </si>
  <si>
    <r>
      <t xml:space="preserve">Ein Bewirtschaftungssystem </t>
    </r>
    <r>
      <rPr>
        <sz val="10"/>
        <color rgb="FF00B050"/>
        <rFont val="Arial"/>
        <family val="2"/>
      </rPr>
      <t xml:space="preserve">»Gemischtbetrieb« </t>
    </r>
    <r>
      <rPr>
        <sz val="10"/>
        <rFont val="Arial"/>
        <family val="2"/>
      </rPr>
      <t xml:space="preserve">in diesem Sinne ist gegeben, wenn der </t>
    </r>
    <r>
      <rPr>
        <sz val="10"/>
        <color rgb="FF00B050"/>
        <rFont val="Arial"/>
        <family val="2"/>
      </rPr>
      <t>Anteil Grünland und Ackerfutter</t>
    </r>
    <r>
      <rPr>
        <sz val="10"/>
        <rFont val="Arial"/>
        <family val="2"/>
      </rPr>
      <t xml:space="preserve"> an der landwirtschaftlichen Fläche des Betriebes </t>
    </r>
    <r>
      <rPr>
        <sz val="10"/>
        <color rgb="FF00B050"/>
        <rFont val="Arial"/>
        <family val="2"/>
      </rPr>
      <t xml:space="preserve">mindestens 30 Prozent </t>
    </r>
    <r>
      <rPr>
        <sz val="10"/>
        <rFont val="Arial"/>
        <family val="2"/>
      </rPr>
      <t>und</t>
    </r>
    <r>
      <rPr>
        <sz val="10"/>
        <color rgb="FF00B050"/>
        <rFont val="Arial"/>
        <family val="2"/>
      </rPr>
      <t xml:space="preserve"> weniger als 70 Prozent</t>
    </r>
    <r>
      <rPr>
        <sz val="10"/>
        <rFont val="Arial"/>
        <family val="2"/>
      </rPr>
      <t xml:space="preserve"> beträgt.</t>
    </r>
  </si>
  <si>
    <r>
      <t xml:space="preserve">Ein Bewirtschaftungssystem </t>
    </r>
    <r>
      <rPr>
        <sz val="10"/>
        <color rgb="FF00B050"/>
        <rFont val="Arial"/>
        <family val="2"/>
      </rPr>
      <t>»Futterbau«</t>
    </r>
    <r>
      <rPr>
        <sz val="10"/>
        <rFont val="Arial"/>
        <family val="2"/>
      </rPr>
      <t xml:space="preserve"> in diesem Sinne ist gegeben, wenn der </t>
    </r>
    <r>
      <rPr>
        <sz val="10"/>
        <color rgb="FF00B050"/>
        <rFont val="Arial"/>
        <family val="2"/>
      </rPr>
      <t>Anteil</t>
    </r>
    <r>
      <rPr>
        <sz val="10"/>
        <color rgb="FFCCFFCC"/>
        <rFont val="Arial"/>
        <family val="2"/>
      </rPr>
      <t xml:space="preserve"> </t>
    </r>
    <r>
      <rPr>
        <sz val="10"/>
        <color rgb="FF00B050"/>
        <rFont val="Arial"/>
        <family val="2"/>
      </rPr>
      <t xml:space="preserve">Grünland und Ackerfutter </t>
    </r>
    <r>
      <rPr>
        <sz val="10"/>
        <rFont val="Arial"/>
        <family val="2"/>
      </rPr>
      <t xml:space="preserve">an der landwirtschaftlichen Fläche des Betriebes </t>
    </r>
    <r>
      <rPr>
        <sz val="10"/>
        <color rgb="FF00B050"/>
        <rFont val="Arial"/>
        <family val="2"/>
      </rPr>
      <t>mindestens 70 Prozent</t>
    </r>
    <r>
      <rPr>
        <sz val="10"/>
        <rFont val="Arial"/>
        <family val="2"/>
      </rPr>
      <t xml:space="preserve"> beträgt.</t>
    </r>
  </si>
  <si>
    <t>GPS + Weidelgras ab Feld</t>
  </si>
  <si>
    <t>GPS und Weidelgras</t>
  </si>
  <si>
    <t>Ganzpflanze ab Feld</t>
  </si>
  <si>
    <t>Individuelle Eingabe</t>
  </si>
  <si>
    <t>Quelle: Donausilphie online</t>
  </si>
  <si>
    <t>Quelle: Stammdaten Marktfrüchte</t>
  </si>
  <si>
    <t>Quelle: BAG &amp; Beratungsdienst Milchvieh</t>
  </si>
  <si>
    <t>Quelle: MW: BAG, LfL, LEL intern</t>
  </si>
  <si>
    <t>Quelle:Stammdaten Marktfrüchte</t>
  </si>
  <si>
    <t>Quelle: Stammdaten Marktfrüchte und LfL</t>
  </si>
  <si>
    <t>Quelle: Übernahme Vorjahr</t>
  </si>
  <si>
    <t>12 bis 49</t>
  </si>
  <si>
    <t>Quelle; Übernahme Vorjahr</t>
  </si>
  <si>
    <t>Quelle: Baywa Onlineshop</t>
  </si>
  <si>
    <t>Eigenes Verfahren</t>
  </si>
  <si>
    <t>Prämien aus Zahlungsansprüchen</t>
  </si>
  <si>
    <t>(Saatmischung für Wiesen Nachsaat 15kg/ha Quelle KTBL 2019/2020)</t>
  </si>
  <si>
    <t>€/kg.</t>
  </si>
  <si>
    <t>€/Kg</t>
  </si>
  <si>
    <t>Kg /ha</t>
  </si>
  <si>
    <t>120 Kw</t>
  </si>
  <si>
    <t>102 kW</t>
  </si>
  <si>
    <t>Schlepper 75-92 kW</t>
  </si>
  <si>
    <t>Schlepper 60-74 kW Allrad</t>
  </si>
  <si>
    <t>Schlepper 185 - 215 kW</t>
  </si>
  <si>
    <t>Schlepper 112-129 kW</t>
  </si>
  <si>
    <t>Schlepper 93-111 kW</t>
  </si>
  <si>
    <t>Schlepper 49-59 kW</t>
  </si>
  <si>
    <t>54 kW</t>
  </si>
  <si>
    <t>S. 90+95+103+182</t>
  </si>
  <si>
    <t>S. 103+182</t>
  </si>
  <si>
    <t>45 kW</t>
  </si>
  <si>
    <t>Schlepper 41-48 kW</t>
  </si>
  <si>
    <t>Einzelkornsaat 6r</t>
  </si>
  <si>
    <t>S. 77+211</t>
  </si>
  <si>
    <t>S. 84+211</t>
  </si>
  <si>
    <t>S. 95+187</t>
  </si>
  <si>
    <t>S. 107+187</t>
  </si>
  <si>
    <t>S. 110+200</t>
  </si>
  <si>
    <t>Quelle: Camena Saatgut</t>
  </si>
  <si>
    <t>KTBL Daten 2020/21 Daten aus KalkDat Marktfrucht übernommen</t>
  </si>
  <si>
    <t>Quelle: KTBL Betriebsplanung Landw. 2020/21</t>
  </si>
  <si>
    <t>S. 116+210</t>
  </si>
  <si>
    <t>LEL, Abtlg. II  (Gr., Kr., GU)</t>
  </si>
  <si>
    <t>Kalkulationsdaten Futterbau 4.2</t>
  </si>
  <si>
    <t>S. 209, 115, KTBL, var. Kosten je t FM 0,3€, Arbeitszeitwert erhöht von 0,48 auf 0,8 Akh/ha</t>
  </si>
  <si>
    <t>S. 209, S. 115, KTBL, var. Kosten je t FM  0,3 €, Arbeitszeitwert erhöht von 0,41 auf 0,5 Akh/ha</t>
  </si>
  <si>
    <t>MLF 14:13</t>
  </si>
  <si>
    <t>MFL 18/13</t>
  </si>
  <si>
    <r>
      <t xml:space="preserve">Hauptfrucht </t>
    </r>
    <r>
      <rPr>
        <sz val="11"/>
        <color rgb="FFFF0000"/>
        <rFont val="Arial"/>
        <family val="2"/>
      </rPr>
      <t>450 €/ Einheit bei 15 jähr. Nutzungsdauer</t>
    </r>
  </si>
  <si>
    <t>4 Einheiten/ha                 0,17</t>
  </si>
  <si>
    <t>Dr. Ralf Over, Marcus Köhler, Karl Krieg,</t>
  </si>
  <si>
    <t>überarbeitet im Okt. 2021: Frank Gräter, Juliane Gürtler</t>
  </si>
  <si>
    <t>Version 4.2. 2021</t>
  </si>
  <si>
    <t>Ernte 2019</t>
  </si>
  <si>
    <t>Gülle ausbr. 20m³/ha (10m³ Fass, Schleppschl. 6m)</t>
  </si>
  <si>
    <t>Gülle ausbr. 20m³/ha (15m³ Fass, Schleppschl. 7,5m)</t>
  </si>
  <si>
    <t>5x Silage, eigene Ernte LW günstige Ertragslage</t>
  </si>
  <si>
    <t>3 Nutzungen, eigene Ernte, Ladewagen, ungünstige Ertragslage</t>
  </si>
  <si>
    <t>4 Nutzungen, eigene Ernte, Ladewagen, ungünstige Ertragslage</t>
  </si>
  <si>
    <t>3 x Silage, Eigenmechanisierung bis Schwaden, Ernte LU LW, ungünstige Ertragslage</t>
  </si>
  <si>
    <t>4 x Silage, Eigenmechanisierung bis Schwaden, Ernte LU LW, ungünstige Ertragslage</t>
  </si>
  <si>
    <t>5 x Silage, Eigenmechanisierung bis Schwaden, Ernte LU LW, günstige Ertragslage</t>
  </si>
  <si>
    <t>3 Nutzungen günstiger Standort, eigenmechanisiert, Runballen in Lohn</t>
  </si>
  <si>
    <t>intensive Standweide (als Kurzrasen- oder Umtriebsweide), ohne FAKT-Förderung, ungünsige Ertragslage</t>
  </si>
  <si>
    <t>3 Nutzungen, ungünstiger Standort</t>
  </si>
  <si>
    <t>4 Nutzungen; ungünstige Ertragslage</t>
  </si>
  <si>
    <t>5 Nutzungen, eigene Grünfutterernte, günstige Ertragslage</t>
  </si>
  <si>
    <t>3 Nutzungen,ungünstiger Ertragslage, eigene Mechanisierung bis Schwaden, Rundballen LU, einfahren eigene Leistung</t>
  </si>
  <si>
    <t>2 Nutzungen ungünstiger Standort, eigenmechanisiert, Rundballen in LU</t>
  </si>
  <si>
    <t>2-jährig, Grünfutterernte, grasbetont</t>
  </si>
  <si>
    <t>jeweils hin und zurück</t>
  </si>
  <si>
    <t>Zuschlag je km hin und zurück bei</t>
  </si>
  <si>
    <t>KTBL S. 65  (s.u.)</t>
  </si>
  <si>
    <t>KTBL 2020/21 S. 65</t>
  </si>
  <si>
    <t>KTBL 2020/21 S. 72 120 Kw Allrad</t>
  </si>
  <si>
    <t>Kalkulationsdaten Futterbau 4.2, 10/2021</t>
  </si>
  <si>
    <t>ᴓ</t>
  </si>
  <si>
    <t>3-</t>
  </si>
  <si>
    <t>Jahresmittelwert</t>
  </si>
  <si>
    <t>MFL 20/4</t>
  </si>
  <si>
    <t>MLF 20:4</t>
  </si>
  <si>
    <t>Quelle: AMI März 2022 ;Preise Top Agrar März 2022</t>
  </si>
  <si>
    <t>Preise für Lohnmaschinen und Pflanzenschutzmittel werden in den Berechnungsgrundlagen beim jeweiligen Produktionsverfahren eingegeben.</t>
  </si>
  <si>
    <r>
      <t xml:space="preserve">Produktionsverfahren hinzu gerechnet. </t>
    </r>
    <r>
      <rPr>
        <sz val="10"/>
        <color rgb="FFFF0000"/>
        <rFont val="Arial"/>
        <family val="2"/>
      </rPr>
      <t xml:space="preserve"> </t>
    </r>
  </si>
  <si>
    <t>Neu ist 2022: Die Preise für Rohnährstoffe werden im 3 Jahresmittel berechnet.</t>
  </si>
  <si>
    <t>Grund dafür ist die enorme Preissteigerung für Düngemittel und Kraftstoffe Ende 2021 und Anfang 2022.</t>
  </si>
  <si>
    <t>Der Dieselpreis kann individuell im Blatt " Arbeitsgänge" eingegeben werden. Als Standardeinstellung wird der aktuelle Dieselpreis angenommen.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</si>
</sst>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8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\ _D_M_-;\-* #,##0\ _D_M_-;_-* &quot;-&quot;\ _D_M_-;_-@_-"/>
    <numFmt numFmtId="165" formatCode="_-* #,##0.00\ _D_M_-;\-* #,##0.00\ _D_M_-;_-* &quot;-&quot;??\ _D_M_-;_-@_-"/>
    <numFmt numFmtId="166" formatCode="0.0"/>
    <numFmt numFmtId="167" formatCode="_-* #,##0\ _D_M_-;\-* #,##0\ _D_M_-;_-* &quot;-&quot;??\ _D_M_-;_-@_-"/>
    <numFmt numFmtId="168" formatCode="0\ \ "/>
    <numFmt numFmtId="169" formatCode="0.00\ \ "/>
    <numFmt numFmtId="170" formatCode="#,##0\ \ "/>
    <numFmt numFmtId="171" formatCode="0.00\ "/>
    <numFmt numFmtId="172" formatCode="#,##0\ \ \ \ \ "/>
    <numFmt numFmtId="173" formatCode="#,##0\ \ \ \ \ \ "/>
    <numFmt numFmtId="174" formatCode="0\ \ \ \ \ "/>
    <numFmt numFmtId="175" formatCode="0.00\ \ \ \ "/>
    <numFmt numFmtId="176" formatCode="0.00\ \ \ "/>
    <numFmt numFmtId="177" formatCode="#,##0\ \ \ "/>
    <numFmt numFmtId="178" formatCode="0.0\ \ \ \ \ "/>
    <numFmt numFmtId="179" formatCode="0.0\ \ \ "/>
    <numFmt numFmtId="180" formatCode="0\ "/>
    <numFmt numFmtId="181" formatCode="0.0\ "/>
    <numFmt numFmtId="182" formatCode="0.0\ \ "/>
    <numFmt numFmtId="183" formatCode="0.00\ \ \ \ \ "/>
    <numFmt numFmtId="184" formatCode="General\ \ "/>
    <numFmt numFmtId="185" formatCode="#,##0\ "/>
    <numFmt numFmtId="186" formatCode="@\ "/>
    <numFmt numFmtId="187" formatCode="\ \ @\ "/>
    <numFmt numFmtId="188" formatCode="#,##0.00\ "/>
    <numFmt numFmtId="189" formatCode="#,##0.0"/>
    <numFmt numFmtId="190" formatCode="#,##0.0\ "/>
    <numFmt numFmtId="191" formatCode="0\ \ \ "/>
    <numFmt numFmtId="192" formatCode="0\ \ \ \ "/>
    <numFmt numFmtId="193" formatCode="0&quot; DM/AKh&quot;"/>
    <numFmt numFmtId="194" formatCode="@\ \ "/>
    <numFmt numFmtId="195" formatCode="\ @"/>
    <numFmt numFmtId="196" formatCode="#,##0.0\ \ "/>
    <numFmt numFmtId="197" formatCode="#,##0.00\ \ "/>
    <numFmt numFmtId="198" formatCode="#,##0&quot; /&quot;"/>
    <numFmt numFmtId="199" formatCode="0&quot; DM/m3        &quot;"/>
    <numFmt numFmtId="200" formatCode="@\ \ \ \ \ \ \ \ \ \ \ \ \ "/>
    <numFmt numFmtId="201" formatCode="0.0\ &quot;DM/m3&quot;"/>
    <numFmt numFmtId="202" formatCode="0.0&quot;DM/m3&quot;"/>
    <numFmt numFmtId="203" formatCode="#,##0.00__"/>
    <numFmt numFmtId="204" formatCode="d/m/yy"/>
    <numFmt numFmtId="205" formatCode="#,##0.00\ &quot;€&quot;"/>
    <numFmt numFmtId="206" formatCode="#,##0.0\ &quot;€&quot;"/>
    <numFmt numFmtId="207" formatCode="#,##0\ &quot;€&quot;"/>
    <numFmt numFmtId="208" formatCode="0%;0%;[Black]0%"/>
    <numFmt numFmtId="209" formatCode="#,##0.00\ &quot;€/m3&quot;\ "/>
    <numFmt numFmtId="210" formatCode="0.00\ &quot;€/m3&quot;"/>
    <numFmt numFmtId="211" formatCode="0\ &quot;m3&quot;\ "/>
    <numFmt numFmtId="212" formatCode="0\ &quot;€/t TM&quot;"/>
    <numFmt numFmtId="213" formatCode="0.000"/>
    <numFmt numFmtId="214" formatCode="0.00\ &quot;km&quot;"/>
    <numFmt numFmtId="215" formatCode="0\ &quot;km&quot;"/>
    <numFmt numFmtId="216" formatCode="#,##0.0\ &quot;€&quot;;[Red]\-#,##0.0\ &quot;€&quot;"/>
    <numFmt numFmtId="217" formatCode="0.00\ &quot;Akh&quot;"/>
    <numFmt numFmtId="218" formatCode="0\ &quot;t&quot;"/>
    <numFmt numFmtId="219" formatCode="0.000\ \ \ \ "/>
    <numFmt numFmtId="220" formatCode="#,##0\ &quot;%&quot;"/>
    <numFmt numFmtId="221" formatCode="0\ &quot;m3&quot;"/>
    <numFmt numFmtId="222" formatCode="0.00\ \ &quot;€/t FM&quot;"/>
    <numFmt numFmtId="223" formatCode="_-* #,##0.00\ [$€]_-;\-* #,##0.00\ [$€]_-;_-* &quot;-&quot;??\ [$€]_-;_-@_-"/>
    <numFmt numFmtId="224" formatCode="0_ ;\-0\ "/>
    <numFmt numFmtId="225" formatCode="#,##0____"/>
    <numFmt numFmtId="226" formatCode="0&quot;0&quot;\ \ \ "/>
    <numFmt numFmtId="227" formatCode="#_'###_'##0;\-#_'###_'##0;&quot;-&quot;"/>
    <numFmt numFmtId="228" formatCode="_-* #,##0.00\ [$€-407]_-;\-* #,##0.00\ [$€-407]_-;_-* &quot;-&quot;??\ [$€-407]_-;_-@_-"/>
  </numFmts>
  <fonts count="19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4"/>
      <name val="Arial"/>
      <family val="2"/>
    </font>
    <font>
      <b/>
      <sz val="13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i/>
      <sz val="11"/>
      <name val="Arial"/>
      <family val="2"/>
    </font>
    <font>
      <vertAlign val="subscript"/>
      <sz val="12"/>
      <name val="Arial"/>
      <family val="2"/>
    </font>
    <font>
      <sz val="10"/>
      <name val="Arial"/>
      <family val="2"/>
    </font>
    <font>
      <vertAlign val="superscript"/>
      <sz val="11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i/>
      <sz val="16"/>
      <color indexed="8"/>
      <name val="Arial"/>
      <family val="2"/>
    </font>
    <font>
      <b/>
      <i/>
      <sz val="28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22"/>
      <color indexed="8"/>
      <name val="Arial"/>
      <family val="2"/>
    </font>
    <font>
      <b/>
      <sz val="18"/>
      <color indexed="8"/>
      <name val="Arial"/>
      <family val="2"/>
    </font>
    <font>
      <vertAlign val="superscript"/>
      <sz val="10"/>
      <name val="Arial"/>
      <family val="2"/>
    </font>
    <font>
      <b/>
      <sz val="20"/>
      <color indexed="8"/>
      <name val="Arial"/>
      <family val="2"/>
    </font>
    <font>
      <vertAlign val="subscript"/>
      <sz val="11"/>
      <name val="Arial"/>
      <family val="2"/>
    </font>
    <font>
      <sz val="18"/>
      <name val="Arial"/>
      <family val="2"/>
    </font>
    <font>
      <sz val="16"/>
      <name val="Arial"/>
      <family val="2"/>
    </font>
    <font>
      <b/>
      <sz val="32"/>
      <color indexed="8"/>
      <name val="Arial"/>
      <family val="2"/>
    </font>
    <font>
      <b/>
      <sz val="26"/>
      <color indexed="8"/>
      <name val="Arial"/>
      <family val="2"/>
    </font>
    <font>
      <sz val="20"/>
      <name val="Arial"/>
      <family val="2"/>
    </font>
    <font>
      <b/>
      <sz val="18"/>
      <color indexed="8"/>
      <name val="Arial"/>
      <family val="2"/>
    </font>
    <font>
      <sz val="20"/>
      <color indexed="8"/>
      <name val="Arial"/>
      <family val="2"/>
    </font>
    <font>
      <sz val="9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3"/>
      <name val="Arial"/>
      <family val="2"/>
    </font>
    <font>
      <b/>
      <sz val="13.5"/>
      <name val="Arial"/>
      <family val="2"/>
    </font>
    <font>
      <vertAlign val="subscript"/>
      <sz val="10"/>
      <name val="Arial"/>
      <family val="2"/>
    </font>
    <font>
      <sz val="11"/>
      <color indexed="10"/>
      <name val="Arial"/>
      <family val="2"/>
    </font>
    <font>
      <sz val="11"/>
      <color indexed="12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b/>
      <vertAlign val="superscript"/>
      <sz val="10"/>
      <name val="Arial"/>
      <family val="2"/>
    </font>
    <font>
      <u/>
      <sz val="7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u/>
      <sz val="14"/>
      <name val="Arial"/>
      <family val="2"/>
    </font>
    <font>
      <b/>
      <i/>
      <sz val="12"/>
      <color indexed="17"/>
      <name val="Arial"/>
      <family val="2"/>
    </font>
    <font>
      <b/>
      <vertAlign val="superscript"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vertAlign val="superscript"/>
      <sz val="18"/>
      <name val="Arial"/>
      <family val="2"/>
    </font>
    <font>
      <vertAlign val="superscript"/>
      <sz val="12"/>
      <name val="Arial"/>
      <family val="2"/>
    </font>
    <font>
      <vertAlign val="superscript"/>
      <sz val="16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8"/>
      <color indexed="81"/>
      <name val="Tahoma"/>
      <family val="2"/>
    </font>
    <font>
      <sz val="12"/>
      <color indexed="10"/>
      <name val="Arial"/>
      <family val="2"/>
    </font>
    <font>
      <b/>
      <vertAlign val="superscript"/>
      <sz val="14"/>
      <name val="Arial"/>
      <family val="2"/>
    </font>
    <font>
      <vertAlign val="superscript"/>
      <sz val="14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color indexed="56"/>
      <name val="Arial"/>
      <family val="2"/>
    </font>
    <font>
      <b/>
      <sz val="9"/>
      <color indexed="56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81"/>
      <name val="Tahoma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indexed="56"/>
      <name val="Arial"/>
      <family val="2"/>
    </font>
    <font>
      <b/>
      <i/>
      <sz val="12"/>
      <color indexed="10"/>
      <name val="Arial"/>
      <family val="2"/>
    </font>
    <font>
      <sz val="14"/>
      <color indexed="10"/>
      <name val="Arial"/>
      <family val="2"/>
    </font>
    <font>
      <sz val="10"/>
      <color indexed="10"/>
      <name val="Arial"/>
      <family val="2"/>
    </font>
    <font>
      <b/>
      <i/>
      <sz val="14"/>
      <name val="Arial"/>
      <family val="2"/>
    </font>
    <font>
      <b/>
      <sz val="8"/>
      <color indexed="81"/>
      <name val="Tahoma"/>
      <family val="2"/>
    </font>
    <font>
      <b/>
      <sz val="15"/>
      <name val="Arial"/>
      <family val="2"/>
    </font>
    <font>
      <b/>
      <vertAlign val="superscript"/>
      <sz val="13"/>
      <name val="Arial"/>
      <family val="2"/>
    </font>
    <font>
      <b/>
      <sz val="10.5"/>
      <name val="Arial"/>
      <family val="2"/>
    </font>
    <font>
      <b/>
      <u/>
      <sz val="11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i/>
      <sz val="12"/>
      <color indexed="10"/>
      <name val="Arial"/>
      <family val="2"/>
    </font>
    <font>
      <b/>
      <sz val="14"/>
      <color indexed="18"/>
      <name val="Arial"/>
      <family val="2"/>
    </font>
    <font>
      <b/>
      <sz val="11"/>
      <color indexed="18"/>
      <name val="Arial"/>
      <family val="2"/>
    </font>
    <font>
      <b/>
      <sz val="12"/>
      <color indexed="18"/>
      <name val="Arial"/>
      <family val="2"/>
    </font>
    <font>
      <sz val="10"/>
      <color indexed="18"/>
      <name val="Arial"/>
      <family val="2"/>
    </font>
    <font>
      <sz val="15"/>
      <name val="Arial"/>
      <family val="2"/>
    </font>
    <font>
      <b/>
      <i/>
      <sz val="26"/>
      <color indexed="8"/>
      <name val="Arial"/>
      <family val="2"/>
    </font>
    <font>
      <b/>
      <sz val="26"/>
      <name val="Arial"/>
      <family val="2"/>
    </font>
    <font>
      <u/>
      <sz val="14"/>
      <color indexed="12"/>
      <name val="Arial"/>
      <family val="2"/>
    </font>
    <font>
      <b/>
      <u/>
      <sz val="14"/>
      <color indexed="12"/>
      <name val="Arial"/>
      <family val="2"/>
    </font>
    <font>
      <b/>
      <sz val="10"/>
      <name val="Arial Narrow"/>
      <family val="2"/>
    </font>
    <font>
      <u/>
      <sz val="14"/>
      <name val="Arial"/>
      <family val="2"/>
    </font>
    <font>
      <b/>
      <i/>
      <sz val="30"/>
      <color indexed="8"/>
      <name val="Arial"/>
      <family val="2"/>
    </font>
    <font>
      <b/>
      <sz val="14"/>
      <name val="Arial Narrow"/>
      <family val="2"/>
    </font>
    <font>
      <b/>
      <vertAlign val="superscript"/>
      <sz val="14"/>
      <name val="Arial Narrow"/>
      <family val="2"/>
    </font>
    <font>
      <b/>
      <u/>
      <sz val="18"/>
      <name val="Arial"/>
      <family val="2"/>
    </font>
    <font>
      <b/>
      <sz val="12"/>
      <color indexed="12"/>
      <name val="Arial"/>
      <family val="2"/>
    </font>
    <font>
      <u/>
      <sz val="11"/>
      <color indexed="12"/>
      <name val="Arial"/>
      <family val="2"/>
    </font>
    <font>
      <b/>
      <vertAlign val="superscript"/>
      <sz val="12"/>
      <color indexed="10"/>
      <name val="Arial"/>
      <family val="2"/>
    </font>
    <font>
      <b/>
      <vertAlign val="superscript"/>
      <sz val="10"/>
      <color indexed="10"/>
      <name val="Arial"/>
      <family val="2"/>
    </font>
    <font>
      <b/>
      <u/>
      <vertAlign val="superscript"/>
      <sz val="14"/>
      <name val="Arial"/>
      <family val="2"/>
    </font>
    <font>
      <b/>
      <u/>
      <sz val="12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16"/>
      <color indexed="8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sz val="13"/>
      <color indexed="10"/>
      <name val="Arial"/>
      <family val="2"/>
    </font>
    <font>
      <b/>
      <sz val="15"/>
      <color indexed="10"/>
      <name val="Arial"/>
      <family val="2"/>
    </font>
    <font>
      <sz val="12"/>
      <color indexed="30"/>
      <name val="Arial"/>
      <family val="2"/>
    </font>
    <font>
      <b/>
      <sz val="12"/>
      <color indexed="30"/>
      <name val="Arial"/>
      <family val="2"/>
    </font>
    <font>
      <b/>
      <sz val="11"/>
      <color indexed="10"/>
      <name val="Arial"/>
      <family val="2"/>
    </font>
    <font>
      <sz val="12"/>
      <color indexed="10"/>
      <name val="Arial"/>
      <family val="2"/>
    </font>
    <font>
      <b/>
      <vertAlign val="superscript"/>
      <sz val="11"/>
      <name val="Arial"/>
      <family val="2"/>
    </font>
    <font>
      <sz val="11"/>
      <color theme="0"/>
      <name val="Arial"/>
      <family val="2"/>
    </font>
    <font>
      <sz val="8"/>
      <color rgb="FF000000"/>
      <name val="Tahoma"/>
      <family val="2"/>
    </font>
    <font>
      <b/>
      <sz val="10"/>
      <color indexed="81"/>
      <name val="Tahoma"/>
      <family val="2"/>
    </font>
    <font>
      <sz val="12"/>
      <color indexed="81"/>
      <name val="Tahoma"/>
      <family val="2"/>
    </font>
    <font>
      <sz val="10"/>
      <color rgb="FFFF0000"/>
      <name val="Arial"/>
      <family val="2"/>
    </font>
    <font>
      <sz val="11"/>
      <name val="Arial Narrow"/>
      <family val="2"/>
    </font>
    <font>
      <sz val="14"/>
      <color indexed="12"/>
      <name val="Arial"/>
      <family val="2"/>
    </font>
    <font>
      <sz val="12"/>
      <color indexed="12"/>
      <name val="Arial"/>
      <family val="2"/>
    </font>
    <font>
      <b/>
      <sz val="14"/>
      <color indexed="12"/>
      <name val="Arial"/>
      <family val="2"/>
    </font>
    <font>
      <sz val="7"/>
      <color indexed="12"/>
      <name val="Arial"/>
      <family val="2"/>
    </font>
    <font>
      <b/>
      <u/>
      <sz val="9"/>
      <color indexed="12"/>
      <name val="Arial"/>
      <family val="2"/>
    </font>
    <font>
      <b/>
      <sz val="11"/>
      <color rgb="FF3F3F3F"/>
      <name val="Arial"/>
      <family val="2"/>
    </font>
    <font>
      <u/>
      <sz val="7.2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2"/>
      <color rgb="FFFF0000"/>
      <name val="Arial"/>
      <family val="2"/>
    </font>
    <font>
      <sz val="10"/>
      <color rgb="FF00B050"/>
      <name val="Arial"/>
      <family val="2"/>
    </font>
    <font>
      <sz val="10"/>
      <color rgb="FFCCFFCC"/>
      <name val="Arial"/>
      <family val="2"/>
    </font>
    <font>
      <u/>
      <sz val="12"/>
      <color indexed="12"/>
      <name val="Arial"/>
      <family val="2"/>
    </font>
    <font>
      <sz val="11"/>
      <color rgb="FFFF000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45">
    <fill>
      <patternFill patternType="none"/>
    </fill>
    <fill>
      <patternFill patternType="gray125"/>
    </fill>
    <fill>
      <patternFill patternType="solid">
        <fgColor indexed="51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7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00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dotted">
        <color indexed="64"/>
      </right>
      <top style="thin">
        <color indexed="64"/>
      </top>
      <bottom/>
      <diagonal/>
    </border>
    <border>
      <left style="hair">
        <color indexed="64"/>
      </left>
      <right style="dotted">
        <color indexed="64"/>
      </right>
      <top/>
      <bottom/>
      <diagonal/>
    </border>
  </borders>
  <cellStyleXfs count="107">
    <xf numFmtId="0" fontId="0" fillId="0" borderId="0"/>
    <xf numFmtId="0" fontId="155" fillId="2" borderId="0" applyNumberFormat="0" applyBorder="0" applyAlignment="0" applyProtection="0"/>
    <xf numFmtId="223" fontId="20" fillId="0" borderId="0" applyFont="0" applyFill="0" applyBorder="0" applyAlignment="0" applyProtection="0"/>
    <xf numFmtId="209" fontId="33" fillId="0" borderId="1">
      <alignment horizontal="center" vertical="center"/>
    </xf>
    <xf numFmtId="4" fontId="20" fillId="3" borderId="0" applyProtection="0"/>
    <xf numFmtId="3" fontId="26" fillId="3" borderId="2" applyProtection="0"/>
    <xf numFmtId="0" fontId="26" fillId="3" borderId="0">
      <alignment horizontal="right" vertical="center"/>
    </xf>
    <xf numFmtId="0" fontId="20" fillId="4" borderId="0">
      <alignment horizontal="left" vertical="center"/>
    </xf>
    <xf numFmtId="0" fontId="20" fillId="5" borderId="0"/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65" fontId="20" fillId="0" borderId="0" applyFont="0" applyFill="0" applyBorder="0" applyAlignment="0" applyProtection="0"/>
    <xf numFmtId="2" fontId="20" fillId="0" borderId="3">
      <alignment vertical="center" shrinkToFit="1"/>
      <protection locked="0"/>
    </xf>
    <xf numFmtId="4" fontId="20" fillId="0" borderId="4">
      <alignment vertical="center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1" fillId="0" borderId="0"/>
    <xf numFmtId="0" fontId="168" fillId="24" borderId="0" applyNumberFormat="0" applyBorder="0" applyAlignment="0" applyProtection="0"/>
    <xf numFmtId="0" fontId="168" fillId="25" borderId="0" applyNumberFormat="0" applyBorder="0" applyAlignment="0" applyProtection="0"/>
    <xf numFmtId="0" fontId="168" fillId="26" borderId="0" applyNumberFormat="0" applyBorder="0" applyAlignment="0" applyProtection="0"/>
    <xf numFmtId="0" fontId="168" fillId="27" borderId="0" applyNumberFormat="0" applyBorder="0" applyAlignment="0" applyProtection="0"/>
    <xf numFmtId="0" fontId="168" fillId="23" borderId="0" applyNumberFormat="0" applyBorder="0" applyAlignment="0" applyProtection="0"/>
    <xf numFmtId="0" fontId="168" fillId="22" borderId="0" applyNumberFormat="0" applyBorder="0" applyAlignment="0" applyProtection="0"/>
    <xf numFmtId="0" fontId="168" fillId="19" borderId="0" applyNumberFormat="0" applyBorder="0" applyAlignment="0" applyProtection="0"/>
    <xf numFmtId="0" fontId="168" fillId="20" borderId="0" applyNumberFormat="0" applyBorder="0" applyAlignment="0" applyProtection="0"/>
    <xf numFmtId="0" fontId="168" fillId="29" borderId="0" applyNumberFormat="0" applyBorder="0" applyAlignment="0" applyProtection="0"/>
    <xf numFmtId="0" fontId="168" fillId="27" borderId="0" applyNumberFormat="0" applyBorder="0" applyAlignment="0" applyProtection="0"/>
    <xf numFmtId="0" fontId="168" fillId="19" borderId="0" applyNumberFormat="0" applyBorder="0" applyAlignment="0" applyProtection="0"/>
    <xf numFmtId="0" fontId="168" fillId="2" borderId="0" applyNumberFormat="0" applyBorder="0" applyAlignment="0" applyProtection="0"/>
    <xf numFmtId="0" fontId="169" fillId="31" borderId="0" applyNumberFormat="0" applyBorder="0" applyAlignment="0" applyProtection="0"/>
    <xf numFmtId="0" fontId="169" fillId="20" borderId="0" applyNumberFormat="0" applyBorder="0" applyAlignment="0" applyProtection="0"/>
    <xf numFmtId="0" fontId="169" fillId="29" borderId="0" applyNumberFormat="0" applyBorder="0" applyAlignment="0" applyProtection="0"/>
    <xf numFmtId="0" fontId="169" fillId="32" borderId="0" applyNumberFormat="0" applyBorder="0" applyAlignment="0" applyProtection="0"/>
    <xf numFmtId="0" fontId="169" fillId="33" borderId="0" applyNumberFormat="0" applyBorder="0" applyAlignment="0" applyProtection="0"/>
    <xf numFmtId="0" fontId="169" fillId="34" borderId="0" applyNumberFormat="0" applyBorder="0" applyAlignment="0" applyProtection="0"/>
    <xf numFmtId="0" fontId="169" fillId="35" borderId="0" applyNumberFormat="0" applyBorder="0" applyAlignment="0" applyProtection="0"/>
    <xf numFmtId="0" fontId="169" fillId="36" borderId="0" applyNumberFormat="0" applyBorder="0" applyAlignment="0" applyProtection="0"/>
    <xf numFmtId="0" fontId="169" fillId="37" borderId="0" applyNumberFormat="0" applyBorder="0" applyAlignment="0" applyProtection="0"/>
    <xf numFmtId="0" fontId="169" fillId="32" borderId="0" applyNumberFormat="0" applyBorder="0" applyAlignment="0" applyProtection="0"/>
    <xf numFmtId="0" fontId="169" fillId="33" borderId="0" applyNumberFormat="0" applyBorder="0" applyAlignment="0" applyProtection="0"/>
    <xf numFmtId="0" fontId="169" fillId="30" borderId="0" applyNumberFormat="0" applyBorder="0" applyAlignment="0" applyProtection="0"/>
    <xf numFmtId="0" fontId="166" fillId="38" borderId="169" applyNumberFormat="0" applyAlignment="0" applyProtection="0"/>
    <xf numFmtId="0" fontId="170" fillId="39" borderId="170" applyNumberFormat="0" applyAlignment="0" applyProtection="0"/>
    <xf numFmtId="0" fontId="74" fillId="38" borderId="168" applyNumberFormat="0" applyAlignment="0" applyProtection="0"/>
    <xf numFmtId="0" fontId="171" fillId="39" borderId="171" applyNumberFormat="0" applyAlignment="0" applyProtection="0"/>
    <xf numFmtId="4" fontId="20" fillId="0" borderId="3"/>
    <xf numFmtId="189" fontId="20" fillId="0" borderId="69">
      <protection locked="0"/>
    </xf>
    <xf numFmtId="189" fontId="20" fillId="0" borderId="69">
      <protection locked="0"/>
    </xf>
    <xf numFmtId="189" fontId="20" fillId="0" borderId="69">
      <protection locked="0"/>
    </xf>
    <xf numFmtId="189" fontId="20" fillId="0" borderId="69">
      <protection locked="0"/>
    </xf>
    <xf numFmtId="0" fontId="172" fillId="22" borderId="171" applyNumberFormat="0" applyAlignment="0" applyProtection="0"/>
    <xf numFmtId="0" fontId="173" fillId="0" borderId="172" applyNumberFormat="0" applyFill="0" applyAlignment="0" applyProtection="0"/>
    <xf numFmtId="0" fontId="174" fillId="0" borderId="0" applyNumberForma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9" fontId="16" fillId="0" borderId="1">
      <alignment horizontal="center" vertical="center"/>
    </xf>
    <xf numFmtId="0" fontId="175" fillId="26" borderId="0" applyNumberFormat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165" fontId="20" fillId="0" borderId="0" applyFont="0" applyFill="0" applyBorder="0" applyAlignment="0" applyProtection="0"/>
    <xf numFmtId="0" fontId="143" fillId="0" borderId="0">
      <alignment horizontal="center"/>
    </xf>
    <xf numFmtId="0" fontId="176" fillId="28" borderId="0" applyNumberFormat="0" applyBorder="0" applyAlignment="0" applyProtection="0"/>
    <xf numFmtId="0" fontId="20" fillId="21" borderId="173" applyNumberFormat="0" applyFont="0" applyAlignment="0" applyProtection="0"/>
    <xf numFmtId="0" fontId="20" fillId="21" borderId="173" applyNumberFormat="0" applyFont="0" applyAlignment="0" applyProtection="0"/>
    <xf numFmtId="0" fontId="20" fillId="21" borderId="173" applyNumberFormat="0" applyFont="0" applyAlignment="0" applyProtection="0"/>
    <xf numFmtId="0" fontId="20" fillId="21" borderId="173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7" fillId="25" borderId="0" applyNumberFormat="0" applyBorder="0" applyAlignment="0" applyProtection="0"/>
    <xf numFmtId="0" fontId="24" fillId="6" borderId="3" applyNumberFormat="0">
      <alignment horizontal="center"/>
    </xf>
    <xf numFmtId="0" fontId="20" fillId="0" borderId="0"/>
    <xf numFmtId="0" fontId="88" fillId="6" borderId="174" applyProtection="0">
      <protection locked="0"/>
    </xf>
    <xf numFmtId="0" fontId="15" fillId="0" borderId="0"/>
    <xf numFmtId="0" fontId="88" fillId="0" borderId="0">
      <protection locked="0"/>
    </xf>
    <xf numFmtId="170" fontId="16" fillId="41" borderId="37">
      <alignment horizontal="right" vertical="center"/>
    </xf>
    <xf numFmtId="49" fontId="20" fillId="0" borderId="3"/>
    <xf numFmtId="49" fontId="20" fillId="0" borderId="3"/>
    <xf numFmtId="49" fontId="20" fillId="0" borderId="3"/>
    <xf numFmtId="49" fontId="20" fillId="0" borderId="3"/>
    <xf numFmtId="0" fontId="179" fillId="0" borderId="175" applyNumberFormat="0" applyFill="0" applyAlignment="0" applyProtection="0"/>
    <xf numFmtId="0" fontId="180" fillId="0" borderId="176" applyNumberFormat="0" applyFill="0" applyAlignment="0" applyProtection="0"/>
    <xf numFmtId="0" fontId="181" fillId="0" borderId="177" applyNumberFormat="0" applyFill="0" applyAlignment="0" applyProtection="0"/>
    <xf numFmtId="0" fontId="181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72" fillId="0" borderId="178" applyNumberFormat="0" applyFill="0" applyAlignment="0" applyProtection="0"/>
    <xf numFmtId="0" fontId="182" fillId="0" borderId="179" applyNumberFormat="0" applyFill="0" applyAlignment="0" applyProtection="0"/>
    <xf numFmtId="44" fontId="20" fillId="0" borderId="0" applyFont="0" applyFill="0" applyBorder="0" applyAlignment="0" applyProtection="0"/>
    <xf numFmtId="0" fontId="183" fillId="0" borderId="0" applyNumberFormat="0" applyFill="0" applyBorder="0" applyAlignment="0" applyProtection="0"/>
    <xf numFmtId="0" fontId="184" fillId="40" borderId="180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11" fillId="0" borderId="0" applyFont="0" applyFill="0" applyBorder="0" applyAlignment="0" applyProtection="0"/>
  </cellStyleXfs>
  <cellXfs count="4362">
    <xf numFmtId="0" fontId="0" fillId="0" borderId="0" xfId="0"/>
    <xf numFmtId="0" fontId="25" fillId="0" borderId="0" xfId="0" applyFont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5" xfId="17" applyFont="1" applyBorder="1" applyAlignment="1">
      <alignment vertical="center"/>
    </xf>
    <xf numFmtId="0" fontId="26" fillId="0" borderId="5" xfId="17" applyFont="1" applyBorder="1" applyAlignment="1" applyProtection="1">
      <alignment vertical="center"/>
    </xf>
    <xf numFmtId="0" fontId="23" fillId="0" borderId="6" xfId="17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9" fillId="0" borderId="0" xfId="17" applyFont="1" applyBorder="1" applyAlignment="1" applyProtection="1">
      <alignment vertical="center"/>
    </xf>
    <xf numFmtId="0" fontId="28" fillId="0" borderId="7" xfId="17" applyFont="1" applyBorder="1" applyAlignment="1" applyProtection="1">
      <alignment vertical="center"/>
    </xf>
    <xf numFmtId="0" fontId="28" fillId="0" borderId="5" xfId="17" applyFont="1" applyBorder="1" applyAlignment="1" applyProtection="1">
      <alignment vertical="center"/>
    </xf>
    <xf numFmtId="0" fontId="29" fillId="0" borderId="5" xfId="17" applyFont="1" applyBorder="1" applyAlignment="1" applyProtection="1">
      <alignment vertical="center"/>
    </xf>
    <xf numFmtId="0" fontId="30" fillId="0" borderId="8" xfId="17" applyFont="1" applyBorder="1" applyAlignment="1" applyProtection="1">
      <alignment horizontal="left" vertical="center"/>
    </xf>
    <xf numFmtId="0" fontId="23" fillId="0" borderId="2" xfId="0" applyFont="1" applyBorder="1" applyAlignment="1">
      <alignment vertical="center"/>
    </xf>
    <xf numFmtId="0" fontId="26" fillId="0" borderId="8" xfId="17" applyFont="1" applyBorder="1" applyAlignment="1" applyProtection="1">
      <alignment vertical="center"/>
    </xf>
    <xf numFmtId="0" fontId="26" fillId="0" borderId="0" xfId="17" applyFont="1" applyBorder="1" applyAlignment="1">
      <alignment vertical="center"/>
    </xf>
    <xf numFmtId="0" fontId="26" fillId="0" borderId="0" xfId="17" applyFont="1" applyBorder="1" applyAlignment="1" applyProtection="1">
      <alignment vertical="center"/>
    </xf>
    <xf numFmtId="173" fontId="24" fillId="6" borderId="9" xfId="0" applyNumberFormat="1" applyFont="1" applyFill="1" applyBorder="1" applyAlignment="1">
      <alignment horizontal="right" vertical="center"/>
    </xf>
    <xf numFmtId="0" fontId="30" fillId="0" borderId="0" xfId="17" applyFont="1" applyBorder="1" applyAlignment="1" applyProtection="1">
      <alignment horizontal="left" vertical="center"/>
    </xf>
    <xf numFmtId="173" fontId="30" fillId="0" borderId="10" xfId="0" applyNumberFormat="1" applyFont="1" applyBorder="1" applyAlignment="1">
      <alignment horizontal="right" vertical="center"/>
    </xf>
    <xf numFmtId="173" fontId="30" fillId="6" borderId="10" xfId="0" applyNumberFormat="1" applyFont="1" applyFill="1" applyBorder="1" applyAlignment="1">
      <alignment horizontal="right" vertical="center"/>
    </xf>
    <xf numFmtId="173" fontId="30" fillId="0" borderId="9" xfId="0" applyNumberFormat="1" applyFont="1" applyBorder="1" applyAlignment="1">
      <alignment horizontal="right" vertical="center"/>
    </xf>
    <xf numFmtId="173" fontId="30" fillId="6" borderId="9" xfId="0" applyNumberFormat="1" applyFont="1" applyFill="1" applyBorder="1" applyAlignment="1">
      <alignment horizontal="right" vertical="center"/>
    </xf>
    <xf numFmtId="0" fontId="30" fillId="0" borderId="0" xfId="0" applyFont="1" applyBorder="1" applyAlignment="1">
      <alignment horizontal="left" vertical="center"/>
    </xf>
    <xf numFmtId="0" fontId="30" fillId="0" borderId="11" xfId="17" applyFont="1" applyBorder="1" applyAlignment="1" applyProtection="1">
      <alignment horizontal="left" vertical="center"/>
    </xf>
    <xf numFmtId="0" fontId="23" fillId="0" borderId="0" xfId="0" applyFont="1" applyBorder="1" applyAlignment="1">
      <alignment vertical="center"/>
    </xf>
    <xf numFmtId="0" fontId="29" fillId="0" borderId="8" xfId="17" applyFont="1" applyBorder="1" applyAlignment="1" applyProtection="1">
      <alignment vertical="center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22" fillId="0" borderId="0" xfId="0" applyFont="1" applyAlignment="1">
      <alignment horizontal="right" vertical="top"/>
    </xf>
    <xf numFmtId="0" fontId="27" fillId="0" borderId="0" xfId="0" applyFont="1" applyAlignment="1">
      <alignment horizontal="right" vertical="top"/>
    </xf>
    <xf numFmtId="0" fontId="32" fillId="0" borderId="0" xfId="0" applyFont="1" applyBorder="1" applyAlignment="1">
      <alignment horizontal="right" vertical="top"/>
    </xf>
    <xf numFmtId="0" fontId="0" fillId="0" borderId="0" xfId="0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6" fillId="0" borderId="0" xfId="0" applyFont="1" applyBorder="1" applyAlignment="1">
      <alignment vertical="top"/>
    </xf>
    <xf numFmtId="0" fontId="0" fillId="0" borderId="2" xfId="0" applyBorder="1"/>
    <xf numFmtId="0" fontId="31" fillId="0" borderId="2" xfId="0" applyFont="1" applyBorder="1" applyAlignment="1">
      <alignment vertical="center"/>
    </xf>
    <xf numFmtId="0" fontId="41" fillId="0" borderId="0" xfId="0" applyFont="1" applyBorder="1" applyAlignment="1">
      <alignment vertical="top"/>
    </xf>
    <xf numFmtId="0" fontId="40" fillId="0" borderId="0" xfId="0" applyFont="1" applyBorder="1" applyAlignment="1">
      <alignment horizontal="right" vertical="top"/>
    </xf>
    <xf numFmtId="0" fontId="29" fillId="0" borderId="7" xfId="17" applyFont="1" applyBorder="1" applyAlignment="1" applyProtection="1">
      <alignment vertical="center"/>
    </xf>
    <xf numFmtId="0" fontId="20" fillId="0" borderId="0" xfId="0" applyFont="1" applyBorder="1" applyAlignment="1">
      <alignment horizontal="left" vertical="center"/>
    </xf>
    <xf numFmtId="0" fontId="0" fillId="0" borderId="0" xfId="0" applyAlignment="1">
      <alignment horizontal="centerContinuous" vertical="center"/>
    </xf>
    <xf numFmtId="0" fontId="27" fillId="0" borderId="0" xfId="0" applyFont="1" applyAlignment="1">
      <alignment horizontal="right" vertical="center"/>
    </xf>
    <xf numFmtId="0" fontId="34" fillId="0" borderId="0" xfId="0" applyFont="1" applyAlignment="1">
      <alignment vertical="center"/>
    </xf>
    <xf numFmtId="0" fontId="31" fillId="0" borderId="7" xfId="0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6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22" fillId="0" borderId="0" xfId="0" applyFont="1" applyBorder="1" applyAlignment="1">
      <alignment vertical="top"/>
    </xf>
    <xf numFmtId="0" fontId="26" fillId="0" borderId="8" xfId="0" applyFont="1" applyBorder="1" applyAlignment="1">
      <alignment vertical="center"/>
    </xf>
    <xf numFmtId="0" fontId="26" fillId="0" borderId="2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Continuous" vertical="center"/>
    </xf>
    <xf numFmtId="0" fontId="22" fillId="0" borderId="5" xfId="0" applyFont="1" applyBorder="1" applyAlignment="1">
      <alignment vertical="center"/>
    </xf>
    <xf numFmtId="0" fontId="30" fillId="0" borderId="7" xfId="0" applyFont="1" applyBorder="1" applyAlignment="1">
      <alignment horizontal="centerContinuous" vertical="center"/>
    </xf>
    <xf numFmtId="0" fontId="24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Continuous" vertical="center"/>
    </xf>
    <xf numFmtId="176" fontId="26" fillId="3" borderId="17" xfId="0" applyNumberFormat="1" applyFont="1" applyFill="1" applyBorder="1" applyAlignment="1" applyProtection="1">
      <alignment vertical="center"/>
      <protection locked="0"/>
    </xf>
    <xf numFmtId="176" fontId="26" fillId="3" borderId="18" xfId="0" applyNumberFormat="1" applyFont="1" applyFill="1" applyBorder="1" applyAlignment="1" applyProtection="1">
      <alignment vertical="center"/>
      <protection locked="0"/>
    </xf>
    <xf numFmtId="176" fontId="26" fillId="3" borderId="19" xfId="0" applyNumberFormat="1" applyFont="1" applyFill="1" applyBorder="1" applyAlignment="1" applyProtection="1">
      <alignment vertical="center"/>
      <protection locked="0"/>
    </xf>
    <xf numFmtId="176" fontId="26" fillId="3" borderId="20" xfId="0" applyNumberFormat="1" applyFont="1" applyFill="1" applyBorder="1" applyAlignment="1" applyProtection="1">
      <alignment vertical="center"/>
      <protection locked="0"/>
    </xf>
    <xf numFmtId="176" fontId="26" fillId="3" borderId="21" xfId="0" applyNumberFormat="1" applyFont="1" applyFill="1" applyBorder="1" applyAlignment="1" applyProtection="1">
      <alignment vertical="center"/>
      <protection locked="0"/>
    </xf>
    <xf numFmtId="0" fontId="41" fillId="7" borderId="0" xfId="0" applyFont="1" applyFill="1" applyAlignment="1" applyProtection="1">
      <alignment horizontal="right" vertical="top"/>
    </xf>
    <xf numFmtId="0" fontId="39" fillId="7" borderId="0" xfId="0" applyFont="1" applyFill="1" applyBorder="1" applyAlignment="1" applyProtection="1">
      <alignment horizontal="right" vertical="top"/>
    </xf>
    <xf numFmtId="0" fontId="26" fillId="3" borderId="0" xfId="0" applyFont="1" applyFill="1" applyBorder="1" applyAlignment="1" applyProtection="1">
      <alignment vertical="center"/>
      <protection locked="0"/>
    </xf>
    <xf numFmtId="0" fontId="0" fillId="0" borderId="2" xfId="0" applyBorder="1" applyAlignment="1">
      <alignment vertical="center"/>
    </xf>
    <xf numFmtId="0" fontId="40" fillId="0" borderId="0" xfId="0" applyFont="1" applyBorder="1" applyAlignment="1">
      <alignment horizontal="left" vertical="top"/>
    </xf>
    <xf numFmtId="0" fontId="33" fillId="0" borderId="22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33" fillId="0" borderId="5" xfId="0" applyFont="1" applyBorder="1" applyAlignment="1" applyProtection="1">
      <alignment vertical="center"/>
    </xf>
    <xf numFmtId="0" fontId="33" fillId="0" borderId="0" xfId="0" applyFont="1" applyBorder="1" applyAlignment="1" applyProtection="1">
      <alignment vertical="center"/>
    </xf>
    <xf numFmtId="0" fontId="33" fillId="7" borderId="0" xfId="0" applyFont="1" applyFill="1" applyBorder="1" applyAlignment="1" applyProtection="1">
      <alignment vertical="center"/>
    </xf>
    <xf numFmtId="0" fontId="33" fillId="0" borderId="6" xfId="0" applyFont="1" applyBorder="1" applyAlignment="1" applyProtection="1">
      <alignment vertical="center"/>
    </xf>
    <xf numFmtId="0" fontId="33" fillId="0" borderId="2" xfId="0" applyFont="1" applyBorder="1" applyAlignment="1" applyProtection="1">
      <alignment vertical="center"/>
    </xf>
    <xf numFmtId="0" fontId="35" fillId="0" borderId="23" xfId="0" applyFont="1" applyBorder="1" applyAlignment="1">
      <alignment vertical="center"/>
    </xf>
    <xf numFmtId="0" fontId="33" fillId="0" borderId="23" xfId="0" applyFont="1" applyBorder="1" applyAlignment="1">
      <alignment horizontal="left" vertical="center"/>
    </xf>
    <xf numFmtId="0" fontId="0" fillId="0" borderId="23" xfId="0" applyBorder="1" applyAlignment="1">
      <alignment vertical="center"/>
    </xf>
    <xf numFmtId="0" fontId="33" fillId="0" borderId="24" xfId="0" applyFont="1" applyFill="1" applyBorder="1" applyAlignment="1">
      <alignment horizontal="center" vertical="center"/>
    </xf>
    <xf numFmtId="170" fontId="33" fillId="3" borderId="19" xfId="0" applyNumberFormat="1" applyFont="1" applyFill="1" applyBorder="1" applyAlignment="1" applyProtection="1">
      <alignment horizontal="right" vertical="center"/>
      <protection locked="0"/>
    </xf>
    <xf numFmtId="166" fontId="33" fillId="3" borderId="23" xfId="0" applyNumberFormat="1" applyFont="1" applyFill="1" applyBorder="1" applyAlignment="1" applyProtection="1">
      <alignment horizontal="right" vertical="center"/>
      <protection locked="0"/>
    </xf>
    <xf numFmtId="0" fontId="0" fillId="0" borderId="25" xfId="0" applyBorder="1"/>
    <xf numFmtId="0" fontId="38" fillId="0" borderId="0" xfId="0" applyFont="1" applyAlignment="1">
      <alignment vertical="center"/>
    </xf>
    <xf numFmtId="0" fontId="37" fillId="0" borderId="0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31" fillId="0" borderId="5" xfId="0" applyFont="1" applyBorder="1" applyAlignment="1">
      <alignment vertical="center"/>
    </xf>
    <xf numFmtId="0" fontId="33" fillId="0" borderId="25" xfId="0" applyFont="1" applyBorder="1" applyAlignment="1">
      <alignment vertical="center"/>
    </xf>
    <xf numFmtId="0" fontId="37" fillId="0" borderId="2" xfId="0" applyFont="1" applyBorder="1" applyAlignment="1">
      <alignment vertical="center"/>
    </xf>
    <xf numFmtId="0" fontId="33" fillId="3" borderId="2" xfId="0" applyFont="1" applyFill="1" applyBorder="1" applyAlignment="1" applyProtection="1">
      <alignment vertical="center"/>
      <protection locked="0"/>
    </xf>
    <xf numFmtId="0" fontId="19" fillId="0" borderId="0" xfId="0" applyFont="1" applyAlignment="1">
      <alignment vertical="center"/>
    </xf>
    <xf numFmtId="0" fontId="0" fillId="0" borderId="11" xfId="0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26" fillId="0" borderId="26" xfId="0" applyFont="1" applyBorder="1" applyAlignment="1">
      <alignment vertical="center"/>
    </xf>
    <xf numFmtId="0" fontId="31" fillId="0" borderId="27" xfId="0" applyFont="1" applyBorder="1" applyAlignment="1">
      <alignment vertical="center"/>
    </xf>
    <xf numFmtId="0" fontId="26" fillId="0" borderId="27" xfId="0" applyFont="1" applyBorder="1" applyAlignment="1">
      <alignment vertical="center"/>
    </xf>
    <xf numFmtId="0" fontId="30" fillId="0" borderId="27" xfId="0" applyFont="1" applyBorder="1" applyAlignment="1">
      <alignment horizontal="left" vertical="center"/>
    </xf>
    <xf numFmtId="0" fontId="33" fillId="0" borderId="5" xfId="17" applyFont="1" applyBorder="1" applyAlignment="1" applyProtection="1">
      <alignment vertical="center"/>
    </xf>
    <xf numFmtId="0" fontId="33" fillId="0" borderId="0" xfId="17" applyFont="1" applyBorder="1" applyAlignment="1" applyProtection="1">
      <alignment vertical="center"/>
    </xf>
    <xf numFmtId="170" fontId="33" fillId="0" borderId="20" xfId="0" applyNumberFormat="1" applyFont="1" applyBorder="1" applyAlignment="1">
      <alignment horizontal="right" vertical="center"/>
    </xf>
    <xf numFmtId="0" fontId="33" fillId="0" borderId="6" xfId="17" applyFont="1" applyBorder="1" applyAlignment="1" applyProtection="1">
      <alignment vertical="center"/>
    </xf>
    <xf numFmtId="0" fontId="33" fillId="0" borderId="2" xfId="17" applyFont="1" applyBorder="1" applyAlignment="1" applyProtection="1">
      <alignment vertical="center"/>
    </xf>
    <xf numFmtId="176" fontId="33" fillId="0" borderId="2" xfId="17" applyNumberFormat="1" applyFont="1" applyBorder="1" applyAlignment="1" applyProtection="1">
      <alignment vertical="center"/>
    </xf>
    <xf numFmtId="170" fontId="33" fillId="0" borderId="16" xfId="0" applyNumberFormat="1" applyFont="1" applyBorder="1" applyAlignment="1">
      <alignment horizontal="right" vertical="center"/>
    </xf>
    <xf numFmtId="0" fontId="31" fillId="0" borderId="5" xfId="17" applyFont="1" applyBorder="1" applyAlignment="1">
      <alignment vertical="center"/>
    </xf>
    <xf numFmtId="0" fontId="31" fillId="0" borderId="0" xfId="17" applyFont="1" applyBorder="1" applyAlignment="1">
      <alignment vertical="center"/>
    </xf>
    <xf numFmtId="0" fontId="31" fillId="0" borderId="22" xfId="17" applyFont="1" applyBorder="1" applyAlignment="1">
      <alignment vertical="center"/>
    </xf>
    <xf numFmtId="0" fontId="31" fillId="0" borderId="23" xfId="17" applyFont="1" applyBorder="1" applyAlignment="1">
      <alignment vertical="center"/>
    </xf>
    <xf numFmtId="0" fontId="33" fillId="0" borderId="24" xfId="17" applyFont="1" applyBorder="1" applyAlignment="1">
      <alignment horizontal="center" vertical="center"/>
    </xf>
    <xf numFmtId="176" fontId="33" fillId="3" borderId="19" xfId="17" applyNumberFormat="1" applyFont="1" applyFill="1" applyBorder="1" applyAlignment="1" applyProtection="1">
      <alignment vertical="center"/>
      <protection locked="0"/>
    </xf>
    <xf numFmtId="168" fontId="33" fillId="3" borderId="19" xfId="17" applyNumberFormat="1" applyFont="1" applyFill="1" applyBorder="1" applyAlignment="1" applyProtection="1">
      <alignment horizontal="right" vertical="center"/>
      <protection locked="0"/>
    </xf>
    <xf numFmtId="0" fontId="37" fillId="0" borderId="0" xfId="0" applyFont="1" applyBorder="1" applyAlignment="1">
      <alignment vertical="center"/>
    </xf>
    <xf numFmtId="176" fontId="33" fillId="3" borderId="15" xfId="17" applyNumberFormat="1" applyFont="1" applyFill="1" applyBorder="1" applyAlignment="1" applyProtection="1">
      <alignment vertical="center"/>
      <protection locked="0"/>
    </xf>
    <xf numFmtId="168" fontId="33" fillId="3" borderId="15" xfId="17" applyNumberFormat="1" applyFont="1" applyFill="1" applyBorder="1" applyAlignment="1" applyProtection="1">
      <alignment horizontal="right" vertical="center"/>
      <protection locked="0"/>
    </xf>
    <xf numFmtId="0" fontId="31" fillId="0" borderId="5" xfId="17" applyFont="1" applyBorder="1" applyAlignment="1" applyProtection="1">
      <alignment vertical="center"/>
    </xf>
    <xf numFmtId="0" fontId="31" fillId="0" borderId="0" xfId="17" applyFont="1" applyBorder="1" applyAlignment="1" applyProtection="1">
      <alignment vertical="center"/>
    </xf>
    <xf numFmtId="2" fontId="19" fillId="0" borderId="0" xfId="17" applyNumberFormat="1" applyFont="1" applyBorder="1" applyAlignment="1" applyProtection="1">
      <alignment vertical="center"/>
    </xf>
    <xf numFmtId="0" fontId="31" fillId="0" borderId="26" xfId="17" applyFont="1" applyBorder="1" applyAlignment="1" applyProtection="1">
      <alignment vertical="center"/>
    </xf>
    <xf numFmtId="0" fontId="31" fillId="0" borderId="27" xfId="17" applyFont="1" applyBorder="1" applyAlignment="1" applyProtection="1">
      <alignment vertical="center"/>
    </xf>
    <xf numFmtId="2" fontId="19" fillId="0" borderId="27" xfId="17" applyNumberFormat="1" applyFont="1" applyBorder="1" applyAlignment="1" applyProtection="1">
      <alignment vertical="center"/>
    </xf>
    <xf numFmtId="0" fontId="30" fillId="0" borderId="27" xfId="17" applyFont="1" applyFill="1" applyBorder="1" applyAlignment="1" applyProtection="1">
      <alignment horizontal="left" vertical="center"/>
    </xf>
    <xf numFmtId="0" fontId="33" fillId="3" borderId="0" xfId="17" applyFont="1" applyFill="1" applyBorder="1" applyAlignment="1" applyProtection="1">
      <alignment vertical="center"/>
      <protection locked="0"/>
    </xf>
    <xf numFmtId="2" fontId="33" fillId="0" borderId="0" xfId="17" applyNumberFormat="1" applyFont="1" applyBorder="1" applyAlignment="1" applyProtection="1">
      <alignment vertical="center"/>
    </xf>
    <xf numFmtId="0" fontId="33" fillId="3" borderId="2" xfId="17" applyFont="1" applyFill="1" applyBorder="1" applyAlignment="1" applyProtection="1">
      <alignment vertical="center"/>
      <protection locked="0"/>
    </xf>
    <xf numFmtId="2" fontId="33" fillId="0" borderId="2" xfId="17" applyNumberFormat="1" applyFont="1" applyBorder="1" applyAlignment="1" applyProtection="1">
      <alignment vertical="center"/>
    </xf>
    <xf numFmtId="0" fontId="33" fillId="0" borderId="28" xfId="17" applyFont="1" applyBorder="1" applyAlignment="1" applyProtection="1">
      <alignment vertical="center"/>
    </xf>
    <xf numFmtId="0" fontId="33" fillId="0" borderId="29" xfId="17" applyFont="1" applyBorder="1" applyAlignment="1" applyProtection="1">
      <alignment vertical="center"/>
    </xf>
    <xf numFmtId="0" fontId="36" fillId="0" borderId="29" xfId="17" applyFont="1" applyBorder="1" applyAlignment="1" applyProtection="1">
      <alignment vertical="center"/>
    </xf>
    <xf numFmtId="0" fontId="33" fillId="0" borderId="22" xfId="17" applyFont="1" applyBorder="1" applyAlignment="1" applyProtection="1">
      <alignment vertical="center"/>
    </xf>
    <xf numFmtId="0" fontId="33" fillId="0" borderId="23" xfId="17" applyFont="1" applyBorder="1" applyAlignment="1" applyProtection="1">
      <alignment vertical="center"/>
    </xf>
    <xf numFmtId="0" fontId="33" fillId="7" borderId="0" xfId="17" applyFont="1" applyFill="1" applyBorder="1" applyAlignment="1" applyProtection="1">
      <alignment vertical="center"/>
    </xf>
    <xf numFmtId="0" fontId="33" fillId="7" borderId="23" xfId="17" applyFont="1" applyFill="1" applyBorder="1" applyAlignment="1" applyProtection="1">
      <alignment vertical="center"/>
    </xf>
    <xf numFmtId="0" fontId="36" fillId="0" borderId="0" xfId="0" applyFont="1" applyAlignment="1">
      <alignment vertical="center"/>
    </xf>
    <xf numFmtId="0" fontId="36" fillId="0" borderId="28" xfId="17" applyFont="1" applyBorder="1" applyAlignment="1" applyProtection="1">
      <alignment vertical="center"/>
    </xf>
    <xf numFmtId="0" fontId="36" fillId="0" borderId="0" xfId="17" applyFont="1" applyBorder="1" applyAlignment="1" applyProtection="1">
      <alignment vertical="center"/>
    </xf>
    <xf numFmtId="0" fontId="36" fillId="0" borderId="6" xfId="17" applyFont="1" applyBorder="1" applyAlignment="1" applyProtection="1">
      <alignment vertical="center"/>
    </xf>
    <xf numFmtId="0" fontId="31" fillId="0" borderId="2" xfId="17" applyFont="1" applyBorder="1" applyAlignment="1" applyProtection="1">
      <alignment vertical="center"/>
    </xf>
    <xf numFmtId="0" fontId="33" fillId="0" borderId="2" xfId="0" applyFont="1" applyBorder="1" applyAlignment="1">
      <alignment horizontal="right" vertical="center"/>
    </xf>
    <xf numFmtId="174" fontId="33" fillId="3" borderId="30" xfId="17" applyNumberFormat="1" applyFont="1" applyFill="1" applyBorder="1" applyAlignment="1" applyProtection="1">
      <alignment vertical="center"/>
      <protection locked="0"/>
    </xf>
    <xf numFmtId="0" fontId="37" fillId="0" borderId="11" xfId="17" applyFont="1" applyBorder="1" applyAlignment="1" applyProtection="1">
      <alignment horizontal="left" vertical="center"/>
    </xf>
    <xf numFmtId="0" fontId="26" fillId="0" borderId="2" xfId="17" applyFont="1" applyBorder="1" applyAlignment="1" applyProtection="1">
      <alignment vertical="center"/>
    </xf>
    <xf numFmtId="0" fontId="33" fillId="0" borderId="2" xfId="0" applyFont="1" applyBorder="1" applyAlignment="1">
      <alignment horizontal="center" vertical="center"/>
    </xf>
    <xf numFmtId="177" fontId="33" fillId="3" borderId="6" xfId="0" applyNumberFormat="1" applyFont="1" applyFill="1" applyBorder="1" applyAlignment="1" applyProtection="1">
      <alignment horizontal="right" vertical="center"/>
      <protection locked="0"/>
    </xf>
    <xf numFmtId="0" fontId="31" fillId="0" borderId="7" xfId="17" applyFont="1" applyBorder="1" applyAlignment="1" applyProtection="1">
      <alignment vertical="center"/>
    </xf>
    <xf numFmtId="0" fontId="31" fillId="0" borderId="23" xfId="17" applyFont="1" applyBorder="1" applyAlignment="1" applyProtection="1">
      <alignment vertical="center"/>
    </xf>
    <xf numFmtId="0" fontId="33" fillId="0" borderId="5" xfId="17" applyFont="1" applyBorder="1" applyAlignment="1">
      <alignment vertical="center"/>
    </xf>
    <xf numFmtId="0" fontId="33" fillId="0" borderId="0" xfId="17" applyFont="1" applyBorder="1" applyAlignment="1">
      <alignment vertical="center"/>
    </xf>
    <xf numFmtId="0" fontId="31" fillId="0" borderId="12" xfId="17" applyFont="1" applyBorder="1" applyAlignment="1">
      <alignment vertical="center"/>
    </xf>
    <xf numFmtId="0" fontId="31" fillId="0" borderId="31" xfId="17" applyFont="1" applyBorder="1" applyAlignment="1">
      <alignment vertical="center"/>
    </xf>
    <xf numFmtId="0" fontId="0" fillId="0" borderId="31" xfId="0" applyBorder="1" applyAlignment="1">
      <alignment vertical="center"/>
    </xf>
    <xf numFmtId="0" fontId="30" fillId="0" borderId="32" xfId="17" applyFont="1" applyBorder="1" applyAlignment="1" applyProtection="1">
      <alignment horizontal="left" vertical="center"/>
    </xf>
    <xf numFmtId="0" fontId="33" fillId="0" borderId="31" xfId="0" applyFont="1" applyBorder="1" applyAlignment="1">
      <alignment horizontal="right" vertical="center"/>
    </xf>
    <xf numFmtId="0" fontId="0" fillId="0" borderId="19" xfId="0" applyBorder="1"/>
    <xf numFmtId="0" fontId="0" fillId="0" borderId="24" xfId="0" applyBorder="1"/>
    <xf numFmtId="0" fontId="0" fillId="0" borderId="15" xfId="0" applyBorder="1"/>
    <xf numFmtId="0" fontId="33" fillId="0" borderId="4" xfId="17" applyFont="1" applyBorder="1" applyAlignment="1">
      <alignment horizontal="center" vertical="center"/>
    </xf>
    <xf numFmtId="171" fontId="33" fillId="3" borderId="21" xfId="17" applyNumberFormat="1" applyFont="1" applyFill="1" applyBorder="1" applyAlignment="1" applyProtection="1">
      <alignment vertical="center"/>
      <protection locked="0"/>
    </xf>
    <xf numFmtId="0" fontId="33" fillId="0" borderId="24" xfId="17" applyFont="1" applyBorder="1" applyAlignment="1" applyProtection="1">
      <alignment horizontal="center" vertical="center"/>
    </xf>
    <xf numFmtId="169" fontId="33" fillId="3" borderId="33" xfId="17" applyNumberFormat="1" applyFont="1" applyFill="1" applyBorder="1" applyAlignment="1" applyProtection="1">
      <alignment vertical="center"/>
      <protection locked="0"/>
    </xf>
    <xf numFmtId="169" fontId="33" fillId="3" borderId="34" xfId="17" applyNumberFormat="1" applyFont="1" applyFill="1" applyBorder="1" applyAlignment="1" applyProtection="1">
      <alignment vertical="center"/>
      <protection locked="0"/>
    </xf>
    <xf numFmtId="0" fontId="30" fillId="0" borderId="0" xfId="0" applyFont="1" applyAlignment="1">
      <alignment vertical="center"/>
    </xf>
    <xf numFmtId="193" fontId="26" fillId="0" borderId="0" xfId="17" applyNumberFormat="1" applyFont="1" applyBorder="1" applyAlignment="1" applyProtection="1">
      <alignment horizontal="left" vertical="center"/>
    </xf>
    <xf numFmtId="182" fontId="31" fillId="0" borderId="9" xfId="0" applyNumberFormat="1" applyFont="1" applyBorder="1" applyAlignment="1">
      <alignment horizontal="right" vertical="center"/>
    </xf>
    <xf numFmtId="182" fontId="31" fillId="6" borderId="9" xfId="0" applyNumberFormat="1" applyFont="1" applyFill="1" applyBorder="1" applyAlignment="1">
      <alignment horizontal="right" vertical="center"/>
    </xf>
    <xf numFmtId="0" fontId="31" fillId="0" borderId="6" xfId="17" applyFont="1" applyBorder="1" applyAlignment="1" applyProtection="1">
      <alignment vertical="center"/>
    </xf>
    <xf numFmtId="0" fontId="0" fillId="0" borderId="0" xfId="0" applyBorder="1"/>
    <xf numFmtId="0" fontId="0" fillId="0" borderId="6" xfId="0" applyBorder="1"/>
    <xf numFmtId="0" fontId="0" fillId="0" borderId="5" xfId="0" applyBorder="1" applyAlignment="1">
      <alignment vertical="center"/>
    </xf>
    <xf numFmtId="0" fontId="23" fillId="6" borderId="6" xfId="17" applyFont="1" applyFill="1" applyBorder="1" applyAlignment="1" applyProtection="1">
      <alignment vertical="center"/>
    </xf>
    <xf numFmtId="49" fontId="45" fillId="0" borderId="0" xfId="0" applyNumberFormat="1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34" fillId="0" borderId="5" xfId="0" applyFont="1" applyBorder="1" applyAlignment="1">
      <alignment vertical="center"/>
    </xf>
    <xf numFmtId="0" fontId="33" fillId="0" borderId="11" xfId="0" applyFont="1" applyBorder="1" applyAlignment="1">
      <alignment vertical="center"/>
    </xf>
    <xf numFmtId="0" fontId="44" fillId="0" borderId="11" xfId="0" applyFont="1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19" fillId="0" borderId="5" xfId="0" applyFont="1" applyBorder="1" applyAlignment="1">
      <alignment vertical="center"/>
    </xf>
    <xf numFmtId="0" fontId="33" fillId="3" borderId="11" xfId="0" applyFont="1" applyFill="1" applyBorder="1" applyAlignment="1" applyProtection="1">
      <alignment vertical="center"/>
      <protection locked="0"/>
    </xf>
    <xf numFmtId="0" fontId="19" fillId="0" borderId="11" xfId="0" applyFont="1" applyBorder="1" applyAlignment="1">
      <alignment vertical="center"/>
    </xf>
    <xf numFmtId="0" fontId="36" fillId="0" borderId="5" xfId="0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25" xfId="0" applyFont="1" applyBorder="1" applyAlignment="1">
      <alignment vertical="center"/>
    </xf>
    <xf numFmtId="0" fontId="0" fillId="0" borderId="5" xfId="0" applyBorder="1" applyAlignment="1">
      <alignment horizontal="centerContinuous" vertical="center" wrapText="1"/>
    </xf>
    <xf numFmtId="0" fontId="0" fillId="0" borderId="11" xfId="0" applyBorder="1" applyAlignment="1">
      <alignment horizontal="centerContinuous" vertical="center" wrapText="1"/>
    </xf>
    <xf numFmtId="0" fontId="44" fillId="0" borderId="7" xfId="0" applyFont="1" applyBorder="1" applyAlignment="1">
      <alignment horizontal="centerContinuous" wrapText="1"/>
    </xf>
    <xf numFmtId="0" fontId="0" fillId="0" borderId="14" xfId="0" applyBorder="1" applyAlignment="1">
      <alignment horizontal="centerContinuous"/>
    </xf>
    <xf numFmtId="0" fontId="38" fillId="0" borderId="0" xfId="0" applyFont="1" applyBorder="1" applyAlignment="1">
      <alignment horizontal="centerContinuous" vertical="center"/>
    </xf>
    <xf numFmtId="0" fontId="38" fillId="0" borderId="11" xfId="0" applyFont="1" applyBorder="1" applyAlignment="1">
      <alignment horizontal="centerContinuous" vertical="center"/>
    </xf>
    <xf numFmtId="0" fontId="33" fillId="0" borderId="5" xfId="0" applyFont="1" applyBorder="1" applyAlignment="1">
      <alignment horizontal="right" vertical="center"/>
    </xf>
    <xf numFmtId="0" fontId="36" fillId="0" borderId="6" xfId="0" applyFont="1" applyBorder="1" applyAlignment="1">
      <alignment vertical="center"/>
    </xf>
    <xf numFmtId="0" fontId="36" fillId="0" borderId="25" xfId="0" applyFont="1" applyBorder="1" applyAlignment="1">
      <alignment vertical="center"/>
    </xf>
    <xf numFmtId="0" fontId="33" fillId="0" borderId="6" xfId="0" applyFont="1" applyBorder="1" applyAlignment="1">
      <alignment horizontal="right" vertical="center"/>
    </xf>
    <xf numFmtId="0" fontId="33" fillId="3" borderId="25" xfId="0" applyFont="1" applyFill="1" applyBorder="1" applyAlignment="1" applyProtection="1">
      <alignment vertical="center"/>
      <protection locked="0"/>
    </xf>
    <xf numFmtId="0" fontId="33" fillId="7" borderId="2" xfId="0" applyFont="1" applyFill="1" applyBorder="1" applyAlignment="1" applyProtection="1">
      <alignment vertical="center"/>
    </xf>
    <xf numFmtId="170" fontId="33" fillId="7" borderId="0" xfId="0" applyNumberFormat="1" applyFont="1" applyFill="1" applyBorder="1" applyAlignment="1" applyProtection="1">
      <alignment horizontal="right" vertical="center"/>
    </xf>
    <xf numFmtId="170" fontId="33" fillId="7" borderId="11" xfId="0" applyNumberFormat="1" applyFont="1" applyFill="1" applyBorder="1" applyAlignment="1" applyProtection="1">
      <alignment horizontal="right" vertical="center"/>
    </xf>
    <xf numFmtId="0" fontId="33" fillId="0" borderId="0" xfId="0" applyFont="1"/>
    <xf numFmtId="0" fontId="33" fillId="0" borderId="0" xfId="0" applyFont="1" applyAlignment="1">
      <alignment horizontal="left" vertical="top"/>
    </xf>
    <xf numFmtId="14" fontId="33" fillId="0" borderId="0" xfId="0" applyNumberFormat="1" applyFont="1" applyAlignment="1">
      <alignment horizontal="left" vertical="top"/>
    </xf>
    <xf numFmtId="0" fontId="33" fillId="0" borderId="0" xfId="0" applyFont="1" applyAlignment="1">
      <alignment vertical="top"/>
    </xf>
    <xf numFmtId="0" fontId="0" fillId="0" borderId="5" xfId="0" applyBorder="1"/>
    <xf numFmtId="169" fontId="33" fillId="3" borderId="30" xfId="17" applyNumberFormat="1" applyFont="1" applyFill="1" applyBorder="1" applyAlignment="1" applyProtection="1">
      <alignment vertical="center"/>
      <protection locked="0"/>
    </xf>
    <xf numFmtId="0" fontId="53" fillId="7" borderId="0" xfId="0" applyFont="1" applyFill="1" applyBorder="1" applyAlignment="1" applyProtection="1">
      <alignment horizontal="centerContinuous" vertical="top"/>
    </xf>
    <xf numFmtId="0" fontId="54" fillId="7" borderId="0" xfId="0" applyFont="1" applyFill="1" applyBorder="1" applyAlignment="1" applyProtection="1">
      <alignment horizontal="centerContinuous" vertical="top"/>
    </xf>
    <xf numFmtId="0" fontId="48" fillId="7" borderId="0" xfId="0" applyFont="1" applyFill="1" applyBorder="1" applyAlignment="1" applyProtection="1">
      <alignment horizontal="centerContinuous" vertical="top"/>
    </xf>
    <xf numFmtId="0" fontId="46" fillId="7" borderId="0" xfId="0" applyFont="1" applyFill="1" applyBorder="1" applyAlignment="1" applyProtection="1">
      <alignment horizontal="centerContinuous" vertical="top"/>
    </xf>
    <xf numFmtId="17" fontId="47" fillId="7" borderId="0" xfId="0" applyNumberFormat="1" applyFont="1" applyFill="1" applyBorder="1" applyAlignment="1" applyProtection="1">
      <alignment horizontal="centerContinuous" vertical="top"/>
    </xf>
    <xf numFmtId="49" fontId="39" fillId="7" borderId="0" xfId="0" applyNumberFormat="1" applyFont="1" applyFill="1" applyBorder="1" applyAlignment="1" applyProtection="1">
      <alignment horizontal="centerContinuous" vertical="top"/>
    </xf>
    <xf numFmtId="0" fontId="24" fillId="7" borderId="0" xfId="0" applyFont="1" applyFill="1" applyBorder="1" applyAlignment="1" applyProtection="1">
      <alignment vertical="top"/>
    </xf>
    <xf numFmtId="0" fontId="41" fillId="7" borderId="0" xfId="0" applyFont="1" applyFill="1" applyBorder="1" applyAlignment="1" applyProtection="1">
      <alignment horizontal="centerContinuous" vertical="top"/>
    </xf>
    <xf numFmtId="17" fontId="52" fillId="7" borderId="0" xfId="0" applyNumberFormat="1" applyFont="1" applyFill="1" applyBorder="1" applyAlignment="1" applyProtection="1">
      <alignment horizontal="centerContinuous" vertical="top"/>
    </xf>
    <xf numFmtId="0" fontId="50" fillId="7" borderId="0" xfId="0" applyFont="1" applyFill="1" applyBorder="1" applyAlignment="1" applyProtection="1">
      <alignment horizontal="left" vertical="top"/>
    </xf>
    <xf numFmtId="0" fontId="50" fillId="7" borderId="0" xfId="0" applyFont="1" applyFill="1" applyBorder="1" applyAlignment="1" applyProtection="1">
      <alignment horizontal="centerContinuous" vertical="top"/>
    </xf>
    <xf numFmtId="0" fontId="41" fillId="7" borderId="0" xfId="0" applyFont="1" applyFill="1" applyBorder="1" applyAlignment="1" applyProtection="1">
      <alignment horizontal="centerContinuous" vertical="center"/>
    </xf>
    <xf numFmtId="17" fontId="52" fillId="7" borderId="0" xfId="0" applyNumberFormat="1" applyFont="1" applyFill="1" applyBorder="1" applyAlignment="1" applyProtection="1">
      <alignment horizontal="centerContinuous" vertical="center"/>
    </xf>
    <xf numFmtId="49" fontId="41" fillId="7" borderId="0" xfId="0" applyNumberFormat="1" applyFont="1" applyFill="1" applyBorder="1" applyAlignment="1" applyProtection="1">
      <alignment horizontal="centerContinuous" vertical="center"/>
    </xf>
    <xf numFmtId="0" fontId="0" fillId="0" borderId="0" xfId="0" applyAlignment="1">
      <alignment horizontal="left"/>
    </xf>
    <xf numFmtId="0" fontId="58" fillId="7" borderId="0" xfId="0" applyFont="1" applyFill="1" applyBorder="1" applyAlignment="1" applyProtection="1">
      <alignment vertical="center"/>
    </xf>
    <xf numFmtId="0" fontId="24" fillId="0" borderId="0" xfId="0" applyFont="1" applyBorder="1" applyAlignment="1">
      <alignment vertical="center"/>
    </xf>
    <xf numFmtId="0" fontId="33" fillId="3" borderId="0" xfId="0" applyFont="1" applyFill="1" applyBorder="1" applyAlignment="1" applyProtection="1">
      <alignment vertical="center"/>
      <protection locked="0"/>
    </xf>
    <xf numFmtId="0" fontId="30" fillId="0" borderId="14" xfId="17" applyFont="1" applyBorder="1" applyAlignment="1" applyProtection="1">
      <alignment horizontal="left" vertical="center"/>
    </xf>
    <xf numFmtId="173" fontId="24" fillId="0" borderId="9" xfId="0" applyNumberFormat="1" applyFont="1" applyBorder="1" applyAlignment="1">
      <alignment horizontal="right" vertical="center"/>
    </xf>
    <xf numFmtId="0" fontId="39" fillId="0" borderId="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12" xfId="0" applyFont="1" applyBorder="1" applyAlignment="1">
      <alignment vertical="center"/>
    </xf>
    <xf numFmtId="0" fontId="39" fillId="0" borderId="6" xfId="0" applyFont="1" applyBorder="1" applyAlignment="1">
      <alignment vertical="center"/>
    </xf>
    <xf numFmtId="0" fontId="39" fillId="0" borderId="2" xfId="0" applyFont="1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0" fontId="35" fillId="0" borderId="2" xfId="0" applyFont="1" applyBorder="1" applyAlignment="1">
      <alignment vertical="center"/>
    </xf>
    <xf numFmtId="0" fontId="26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vertical="center"/>
    </xf>
    <xf numFmtId="0" fontId="24" fillId="0" borderId="0" xfId="0" applyFont="1" applyBorder="1" applyAlignment="1">
      <alignment horizontal="right" vertical="center"/>
    </xf>
    <xf numFmtId="170" fontId="33" fillId="0" borderId="0" xfId="0" applyNumberFormat="1" applyFont="1" applyBorder="1" applyAlignment="1">
      <alignment horizontal="right" vertical="center"/>
    </xf>
    <xf numFmtId="170" fontId="33" fillId="0" borderId="2" xfId="0" applyNumberFormat="1" applyFont="1" applyBorder="1" applyAlignment="1">
      <alignment horizontal="right" vertical="center"/>
    </xf>
    <xf numFmtId="170" fontId="33" fillId="7" borderId="2" xfId="14" applyNumberFormat="1" applyFont="1" applyFill="1" applyBorder="1" applyAlignment="1" applyProtection="1">
      <alignment vertical="center"/>
    </xf>
    <xf numFmtId="0" fontId="39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173" fontId="35" fillId="3" borderId="2" xfId="14" applyNumberFormat="1" applyFont="1" applyFill="1" applyBorder="1" applyAlignment="1" applyProtection="1">
      <alignment horizontal="center" vertical="center"/>
      <protection locked="0"/>
    </xf>
    <xf numFmtId="173" fontId="35" fillId="3" borderId="15" xfId="14" applyNumberFormat="1" applyFont="1" applyFill="1" applyBorder="1" applyAlignment="1" applyProtection="1">
      <alignment horizontal="center" vertical="center"/>
      <protection locked="0"/>
    </xf>
    <xf numFmtId="170" fontId="33" fillId="7" borderId="19" xfId="0" applyNumberFormat="1" applyFont="1" applyFill="1" applyBorder="1" applyAlignment="1" applyProtection="1">
      <alignment horizontal="right" vertical="center"/>
    </xf>
    <xf numFmtId="170" fontId="33" fillId="7" borderId="15" xfId="14" applyNumberFormat="1" applyFont="1" applyFill="1" applyBorder="1" applyAlignment="1" applyProtection="1">
      <alignment vertical="center"/>
    </xf>
    <xf numFmtId="170" fontId="33" fillId="0" borderId="19" xfId="0" applyNumberFormat="1" applyFont="1" applyBorder="1" applyAlignment="1">
      <alignment horizontal="right" vertical="center"/>
    </xf>
    <xf numFmtId="170" fontId="33" fillId="0" borderId="15" xfId="0" applyNumberFormat="1" applyFont="1" applyBorder="1" applyAlignment="1">
      <alignment horizontal="right" vertical="center"/>
    </xf>
    <xf numFmtId="185" fontId="35" fillId="0" borderId="0" xfId="14" applyNumberFormat="1" applyFont="1" applyBorder="1" applyAlignment="1">
      <alignment horizontal="right" vertical="center"/>
    </xf>
    <xf numFmtId="185" fontId="35" fillId="0" borderId="19" xfId="14" applyNumberFormat="1" applyFont="1" applyBorder="1" applyAlignment="1">
      <alignment horizontal="right" vertical="center"/>
    </xf>
    <xf numFmtId="185" fontId="35" fillId="0" borderId="0" xfId="14" applyNumberFormat="1" applyFont="1" applyBorder="1" applyAlignment="1">
      <alignment vertical="center"/>
    </xf>
    <xf numFmtId="185" fontId="35" fillId="0" borderId="19" xfId="14" applyNumberFormat="1" applyFont="1" applyBorder="1" applyAlignment="1">
      <alignment vertical="center"/>
    </xf>
    <xf numFmtId="173" fontId="35" fillId="3" borderId="16" xfId="14" applyNumberFormat="1" applyFont="1" applyFill="1" applyBorder="1" applyAlignment="1" applyProtection="1">
      <alignment horizontal="center" vertical="center"/>
      <protection locked="0"/>
    </xf>
    <xf numFmtId="185" fontId="35" fillId="0" borderId="20" xfId="14" applyNumberFormat="1" applyFont="1" applyBorder="1" applyAlignment="1">
      <alignment horizontal="right" vertical="center"/>
    </xf>
    <xf numFmtId="185" fontId="35" fillId="0" borderId="20" xfId="14" applyNumberFormat="1" applyFont="1" applyBorder="1" applyAlignment="1">
      <alignment vertical="center"/>
    </xf>
    <xf numFmtId="170" fontId="33" fillId="7" borderId="20" xfId="0" applyNumberFormat="1" applyFont="1" applyFill="1" applyBorder="1" applyAlignment="1" applyProtection="1">
      <alignment horizontal="right" vertical="center"/>
    </xf>
    <xf numFmtId="170" fontId="33" fillId="7" borderId="16" xfId="14" applyNumberFormat="1" applyFont="1" applyFill="1" applyBorder="1" applyAlignment="1" applyProtection="1">
      <alignment vertical="center"/>
    </xf>
    <xf numFmtId="0" fontId="33" fillId="0" borderId="28" xfId="0" applyFont="1" applyBorder="1" applyAlignment="1">
      <alignment horizontal="centerContinuous" vertical="center"/>
    </xf>
    <xf numFmtId="0" fontId="33" fillId="0" borderId="29" xfId="0" applyFont="1" applyBorder="1" applyAlignment="1">
      <alignment horizontal="centerContinuous" vertical="center"/>
    </xf>
    <xf numFmtId="0" fontId="33" fillId="0" borderId="35" xfId="0" applyFont="1" applyBorder="1" applyAlignment="1">
      <alignment horizontal="centerContinuous" vertical="center"/>
    </xf>
    <xf numFmtId="179" fontId="33" fillId="0" borderId="22" xfId="0" applyNumberFormat="1" applyFont="1" applyBorder="1" applyAlignment="1">
      <alignment horizontal="centerContinuous" vertical="center"/>
    </xf>
    <xf numFmtId="179" fontId="33" fillId="0" borderId="23" xfId="0" applyNumberFormat="1" applyFont="1" applyBorder="1" applyAlignment="1">
      <alignment horizontal="centerContinuous" vertical="center"/>
    </xf>
    <xf numFmtId="179" fontId="33" fillId="0" borderId="36" xfId="0" applyNumberFormat="1" applyFont="1" applyBorder="1" applyAlignment="1">
      <alignment horizontal="centerContinuous" vertical="center"/>
    </xf>
    <xf numFmtId="178" fontId="33" fillId="7" borderId="17" xfId="0" applyNumberFormat="1" applyFont="1" applyFill="1" applyBorder="1" applyAlignment="1" applyProtection="1">
      <alignment horizontal="right" vertical="center"/>
    </xf>
    <xf numFmtId="178" fontId="33" fillId="7" borderId="18" xfId="0" applyNumberFormat="1" applyFont="1" applyFill="1" applyBorder="1" applyAlignment="1" applyProtection="1">
      <alignment horizontal="right" vertical="center"/>
    </xf>
    <xf numFmtId="178" fontId="33" fillId="7" borderId="15" xfId="0" applyNumberFormat="1" applyFont="1" applyFill="1" applyBorder="1" applyAlignment="1" applyProtection="1">
      <alignment horizontal="right" vertical="center"/>
    </xf>
    <xf numFmtId="178" fontId="33" fillId="7" borderId="16" xfId="0" applyNumberFormat="1" applyFont="1" applyFill="1" applyBorder="1" applyAlignment="1" applyProtection="1">
      <alignment horizontal="right" vertical="center"/>
    </xf>
    <xf numFmtId="181" fontId="35" fillId="0" borderId="2" xfId="14" applyNumberFormat="1" applyFont="1" applyBorder="1" applyAlignment="1">
      <alignment vertical="center"/>
    </xf>
    <xf numFmtId="0" fontId="33" fillId="0" borderId="26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0" fontId="33" fillId="0" borderId="37" xfId="0" applyFont="1" applyBorder="1" applyAlignment="1">
      <alignment horizontal="centerContinuous" vertical="center"/>
    </xf>
    <xf numFmtId="178" fontId="33" fillId="7" borderId="1" xfId="0" applyNumberFormat="1" applyFont="1" applyFill="1" applyBorder="1" applyAlignment="1" applyProtection="1">
      <alignment horizontal="right" vertical="center"/>
    </xf>
    <xf numFmtId="178" fontId="33" fillId="7" borderId="38" xfId="0" applyNumberFormat="1" applyFont="1" applyFill="1" applyBorder="1" applyAlignment="1" applyProtection="1">
      <alignment horizontal="right" vertical="center"/>
    </xf>
    <xf numFmtId="0" fontId="23" fillId="0" borderId="0" xfId="17" applyFont="1" applyBorder="1" applyAlignment="1" applyProtection="1">
      <alignment vertical="center"/>
    </xf>
    <xf numFmtId="0" fontId="23" fillId="0" borderId="5" xfId="17" applyFont="1" applyBorder="1" applyAlignment="1" applyProtection="1">
      <alignment vertical="center"/>
    </xf>
    <xf numFmtId="182" fontId="37" fillId="0" borderId="0" xfId="14" applyNumberFormat="1" applyFont="1" applyBorder="1" applyAlignment="1">
      <alignment vertical="center"/>
    </xf>
    <xf numFmtId="173" fontId="33" fillId="0" borderId="0" xfId="0" applyNumberFormat="1" applyFont="1" applyBorder="1" applyAlignment="1">
      <alignment horizontal="center" vertical="center"/>
    </xf>
    <xf numFmtId="173" fontId="33" fillId="0" borderId="29" xfId="0" applyNumberFormat="1" applyFont="1" applyBorder="1" applyAlignment="1">
      <alignment horizontal="center" vertical="center"/>
    </xf>
    <xf numFmtId="173" fontId="33" fillId="0" borderId="39" xfId="0" applyNumberFormat="1" applyFont="1" applyBorder="1" applyAlignment="1">
      <alignment horizontal="center" vertical="center"/>
    </xf>
    <xf numFmtId="173" fontId="33" fillId="0" borderId="40" xfId="0" applyNumberFormat="1" applyFont="1" applyBorder="1" applyAlignment="1">
      <alignment horizontal="center" vertical="center"/>
    </xf>
    <xf numFmtId="173" fontId="33" fillId="0" borderId="19" xfId="0" applyNumberFormat="1" applyFont="1" applyBorder="1" applyAlignment="1">
      <alignment horizontal="center" vertical="center"/>
    </xf>
    <xf numFmtId="173" fontId="33" fillId="0" borderId="20" xfId="0" applyNumberFormat="1" applyFont="1" applyBorder="1" applyAlignment="1">
      <alignment horizontal="center" vertical="center"/>
    </xf>
    <xf numFmtId="170" fontId="30" fillId="7" borderId="9" xfId="0" applyNumberFormat="1" applyFont="1" applyFill="1" applyBorder="1" applyAlignment="1">
      <alignment horizontal="right" vertical="center"/>
    </xf>
    <xf numFmtId="0" fontId="0" fillId="6" borderId="6" xfId="0" applyFill="1" applyBorder="1"/>
    <xf numFmtId="0" fontId="30" fillId="0" borderId="0" xfId="17" applyFont="1" applyBorder="1" applyAlignment="1" applyProtection="1">
      <alignment vertical="center"/>
    </xf>
    <xf numFmtId="0" fontId="28" fillId="0" borderId="0" xfId="17" applyFont="1" applyBorder="1" applyAlignment="1" applyProtection="1">
      <alignment vertical="center"/>
    </xf>
    <xf numFmtId="0" fontId="26" fillId="0" borderId="0" xfId="17" applyFont="1" applyBorder="1" applyAlignment="1" applyProtection="1">
      <alignment horizontal="right" vertical="center"/>
    </xf>
    <xf numFmtId="171" fontId="31" fillId="0" borderId="9" xfId="0" applyNumberFormat="1" applyFont="1" applyBorder="1" applyAlignment="1">
      <alignment horizontal="right" vertical="center"/>
    </xf>
    <xf numFmtId="171" fontId="31" fillId="6" borderId="9" xfId="0" applyNumberFormat="1" applyFont="1" applyFill="1" applyBorder="1" applyAlignment="1">
      <alignment horizontal="right" vertical="center"/>
    </xf>
    <xf numFmtId="173" fontId="24" fillId="0" borderId="8" xfId="14" applyNumberFormat="1" applyFont="1" applyBorder="1" applyAlignment="1">
      <alignment horizontal="center" vertical="center"/>
    </xf>
    <xf numFmtId="173" fontId="24" fillId="0" borderId="17" xfId="14" applyNumberFormat="1" applyFont="1" applyBorder="1" applyAlignment="1">
      <alignment horizontal="center" vertical="center"/>
    </xf>
    <xf numFmtId="173" fontId="24" fillId="0" borderId="18" xfId="14" applyNumberFormat="1" applyFont="1" applyBorder="1" applyAlignment="1">
      <alignment horizontal="center" vertical="center"/>
    </xf>
    <xf numFmtId="0" fontId="0" fillId="0" borderId="0" xfId="0" applyBorder="1" applyAlignment="1">
      <alignment horizontal="centerContinuous" vertical="center" wrapText="1"/>
    </xf>
    <xf numFmtId="0" fontId="33" fillId="0" borderId="0" xfId="0" applyFont="1" applyAlignment="1">
      <alignment horizontal="right" vertical="center"/>
    </xf>
    <xf numFmtId="0" fontId="0" fillId="0" borderId="0" xfId="0" applyAlignment="1">
      <alignment horizontal="centerContinuous"/>
    </xf>
    <xf numFmtId="0" fontId="0" fillId="7" borderId="0" xfId="0" applyFill="1" applyAlignment="1">
      <alignment horizontal="centerContinuous"/>
    </xf>
    <xf numFmtId="0" fontId="0" fillId="7" borderId="0" xfId="0" applyFill="1" applyBorder="1" applyAlignment="1">
      <alignment horizontal="centerContinuous" vertical="top"/>
    </xf>
    <xf numFmtId="0" fontId="0" fillId="7" borderId="0" xfId="0" applyFill="1" applyAlignment="1">
      <alignment vertical="top"/>
    </xf>
    <xf numFmtId="0" fontId="0" fillId="7" borderId="0" xfId="0" applyFill="1" applyBorder="1" applyAlignment="1">
      <alignment vertical="top"/>
    </xf>
    <xf numFmtId="14" fontId="33" fillId="7" borderId="0" xfId="0" applyNumberFormat="1" applyFont="1" applyFill="1" applyBorder="1" applyAlignment="1">
      <alignment horizontal="left" vertical="top"/>
    </xf>
    <xf numFmtId="0" fontId="46" fillId="7" borderId="0" xfId="0" applyFont="1" applyFill="1" applyBorder="1" applyAlignment="1">
      <alignment horizontal="centerContinuous" vertical="top"/>
    </xf>
    <xf numFmtId="0" fontId="0" fillId="7" borderId="0" xfId="0" applyFill="1"/>
    <xf numFmtId="0" fontId="0" fillId="7" borderId="0" xfId="0" applyFill="1" applyBorder="1"/>
    <xf numFmtId="191" fontId="33" fillId="3" borderId="19" xfId="0" applyNumberFormat="1" applyFont="1" applyFill="1" applyBorder="1" applyAlignment="1" applyProtection="1">
      <alignment horizontal="right" vertical="center"/>
      <protection locked="0"/>
    </xf>
    <xf numFmtId="170" fontId="33" fillId="7" borderId="2" xfId="0" applyNumberFormat="1" applyFont="1" applyFill="1" applyBorder="1" applyAlignment="1" applyProtection="1">
      <alignment horizontal="right" vertical="center"/>
    </xf>
    <xf numFmtId="170" fontId="33" fillId="7" borderId="16" xfId="0" applyNumberFormat="1" applyFont="1" applyFill="1" applyBorder="1" applyAlignment="1" applyProtection="1">
      <alignment horizontal="right" vertical="center"/>
    </xf>
    <xf numFmtId="0" fontId="37" fillId="7" borderId="2" xfId="0" applyFont="1" applyFill="1" applyBorder="1" applyAlignment="1" applyProtection="1">
      <alignment horizontal="left" vertical="center"/>
    </xf>
    <xf numFmtId="0" fontId="26" fillId="7" borderId="0" xfId="0" applyFont="1" applyFill="1" applyBorder="1" applyAlignment="1" applyProtection="1">
      <alignment horizontal="left" vertical="center"/>
    </xf>
    <xf numFmtId="0" fontId="26" fillId="7" borderId="2" xfId="0" applyFont="1" applyFill="1" applyBorder="1" applyAlignment="1" applyProtection="1">
      <alignment horizontal="left" vertical="center"/>
    </xf>
    <xf numFmtId="197" fontId="33" fillId="3" borderId="0" xfId="0" applyNumberFormat="1" applyFont="1" applyFill="1" applyBorder="1" applyAlignment="1" applyProtection="1">
      <alignment horizontal="right" vertical="center"/>
      <protection locked="0"/>
    </xf>
    <xf numFmtId="197" fontId="33" fillId="3" borderId="19" xfId="0" applyNumberFormat="1" applyFont="1" applyFill="1" applyBorder="1" applyAlignment="1" applyProtection="1">
      <alignment horizontal="right" vertical="center"/>
      <protection locked="0"/>
    </xf>
    <xf numFmtId="197" fontId="33" fillId="3" borderId="20" xfId="0" applyNumberFormat="1" applyFont="1" applyFill="1" applyBorder="1" applyAlignment="1" applyProtection="1">
      <alignment horizontal="right" vertical="center"/>
      <protection locked="0"/>
    </xf>
    <xf numFmtId="0" fontId="33" fillId="0" borderId="27" xfId="17" applyFont="1" applyBorder="1" applyAlignment="1">
      <alignment vertical="center"/>
    </xf>
    <xf numFmtId="185" fontId="29" fillId="7" borderId="9" xfId="11" applyNumberFormat="1" applyFont="1" applyFill="1" applyBorder="1" applyAlignment="1">
      <alignment horizontal="right" vertical="center"/>
    </xf>
    <xf numFmtId="176" fontId="33" fillId="3" borderId="5" xfId="0" applyNumberFormat="1" applyFont="1" applyFill="1" applyBorder="1" applyAlignment="1" applyProtection="1">
      <alignment horizontal="right" vertical="center"/>
      <protection locked="0"/>
    </xf>
    <xf numFmtId="176" fontId="33" fillId="3" borderId="19" xfId="0" applyNumberFormat="1" applyFont="1" applyFill="1" applyBorder="1" applyAlignment="1" applyProtection="1">
      <alignment horizontal="right" vertical="center"/>
      <protection locked="0"/>
    </xf>
    <xf numFmtId="176" fontId="33" fillId="3" borderId="20" xfId="0" applyNumberFormat="1" applyFont="1" applyFill="1" applyBorder="1" applyAlignment="1" applyProtection="1">
      <alignment horizontal="right" vertical="center"/>
      <protection locked="0"/>
    </xf>
    <xf numFmtId="176" fontId="33" fillId="3" borderId="6" xfId="0" applyNumberFormat="1" applyFont="1" applyFill="1" applyBorder="1" applyAlignment="1" applyProtection="1">
      <alignment horizontal="right" vertical="center"/>
      <protection locked="0"/>
    </xf>
    <xf numFmtId="176" fontId="33" fillId="3" borderId="15" xfId="0" applyNumberFormat="1" applyFont="1" applyFill="1" applyBorder="1" applyAlignment="1" applyProtection="1">
      <alignment horizontal="right" vertical="center"/>
      <protection locked="0"/>
    </xf>
    <xf numFmtId="176" fontId="33" fillId="3" borderId="16" xfId="0" applyNumberFormat="1" applyFont="1" applyFill="1" applyBorder="1" applyAlignment="1" applyProtection="1">
      <alignment horizontal="right" vertical="center"/>
      <protection locked="0"/>
    </xf>
    <xf numFmtId="0" fontId="24" fillId="0" borderId="31" xfId="0" applyFont="1" applyBorder="1" applyAlignment="1">
      <alignment vertical="center"/>
    </xf>
    <xf numFmtId="0" fontId="26" fillId="0" borderId="31" xfId="0" applyFont="1" applyBorder="1" applyAlignment="1">
      <alignment horizontal="left" vertical="center"/>
    </xf>
    <xf numFmtId="185" fontId="31" fillId="7" borderId="14" xfId="14" applyNumberFormat="1" applyFont="1" applyFill="1" applyBorder="1" applyAlignment="1">
      <alignment vertical="center"/>
    </xf>
    <xf numFmtId="173" fontId="31" fillId="7" borderId="5" xfId="14" applyNumberFormat="1" applyFont="1" applyFill="1" applyBorder="1" applyAlignment="1">
      <alignment vertical="center"/>
    </xf>
    <xf numFmtId="173" fontId="33" fillId="7" borderId="5" xfId="14" applyNumberFormat="1" applyFont="1" applyFill="1" applyBorder="1" applyAlignment="1">
      <alignment vertical="center"/>
    </xf>
    <xf numFmtId="173" fontId="33" fillId="7" borderId="6" xfId="14" applyNumberFormat="1" applyFont="1" applyFill="1" applyBorder="1" applyAlignment="1">
      <alignment vertical="center"/>
    </xf>
    <xf numFmtId="170" fontId="33" fillId="7" borderId="25" xfId="0" applyNumberFormat="1" applyFont="1" applyFill="1" applyBorder="1" applyAlignment="1" applyProtection="1">
      <alignment horizontal="right" vertical="center"/>
    </xf>
    <xf numFmtId="173" fontId="26" fillId="7" borderId="5" xfId="0" applyNumberFormat="1" applyFont="1" applyFill="1" applyBorder="1" applyAlignment="1">
      <alignment vertical="center"/>
    </xf>
    <xf numFmtId="173" fontId="33" fillId="7" borderId="41" xfId="0" applyNumberFormat="1" applyFont="1" applyFill="1" applyBorder="1" applyAlignment="1">
      <alignment horizontal="center" vertical="center"/>
    </xf>
    <xf numFmtId="173" fontId="33" fillId="7" borderId="42" xfId="0" applyNumberFormat="1" applyFont="1" applyFill="1" applyBorder="1" applyAlignment="1">
      <alignment horizontal="center" vertical="center"/>
    </xf>
    <xf numFmtId="170" fontId="33" fillId="7" borderId="16" xfId="0" applyNumberFormat="1" applyFont="1" applyFill="1" applyBorder="1" applyAlignment="1">
      <alignment horizontal="right" vertical="center"/>
    </xf>
    <xf numFmtId="173" fontId="31" fillId="7" borderId="5" xfId="0" applyNumberFormat="1" applyFont="1" applyFill="1" applyBorder="1" applyAlignment="1">
      <alignment horizontal="right" vertical="center"/>
    </xf>
    <xf numFmtId="173" fontId="33" fillId="7" borderId="43" xfId="0" applyNumberFormat="1" applyFont="1" applyFill="1" applyBorder="1" applyAlignment="1">
      <alignment horizontal="center" vertical="center"/>
    </xf>
    <xf numFmtId="177" fontId="33" fillId="7" borderId="33" xfId="0" applyNumberFormat="1" applyFont="1" applyFill="1" applyBorder="1" applyAlignment="1">
      <alignment horizontal="right" vertical="center"/>
    </xf>
    <xf numFmtId="170" fontId="33" fillId="7" borderId="20" xfId="0" applyNumberFormat="1" applyFont="1" applyFill="1" applyBorder="1" applyAlignment="1">
      <alignment horizontal="right" vertical="center"/>
    </xf>
    <xf numFmtId="177" fontId="33" fillId="7" borderId="34" xfId="0" applyNumberFormat="1" applyFont="1" applyFill="1" applyBorder="1" applyAlignment="1">
      <alignment horizontal="right" vertical="center"/>
    </xf>
    <xf numFmtId="177" fontId="33" fillId="7" borderId="5" xfId="0" applyNumberFormat="1" applyFont="1" applyFill="1" applyBorder="1" applyAlignment="1">
      <alignment horizontal="right" vertical="center"/>
    </xf>
    <xf numFmtId="166" fontId="30" fillId="7" borderId="0" xfId="14" applyNumberFormat="1" applyFont="1" applyFill="1" applyBorder="1" applyAlignment="1">
      <alignment vertical="center"/>
    </xf>
    <xf numFmtId="170" fontId="20" fillId="7" borderId="11" xfId="0" applyNumberFormat="1" applyFont="1" applyFill="1" applyBorder="1" applyAlignment="1">
      <alignment vertical="center"/>
    </xf>
    <xf numFmtId="166" fontId="31" fillId="7" borderId="2" xfId="14" applyNumberFormat="1" applyFont="1" applyFill="1" applyBorder="1" applyAlignment="1">
      <alignment vertical="center"/>
    </xf>
    <xf numFmtId="170" fontId="36" fillId="7" borderId="25" xfId="0" applyNumberFormat="1" applyFont="1" applyFill="1" applyBorder="1" applyAlignment="1">
      <alignment horizontal="right" vertical="center"/>
    </xf>
    <xf numFmtId="173" fontId="36" fillId="7" borderId="5" xfId="0" applyNumberFormat="1" applyFont="1" applyFill="1" applyBorder="1" applyAlignment="1">
      <alignment horizontal="right" vertical="center"/>
    </xf>
    <xf numFmtId="0" fontId="33" fillId="7" borderId="0" xfId="0" applyFont="1" applyFill="1" applyBorder="1" applyAlignment="1">
      <alignment horizontal="center" vertical="center"/>
    </xf>
    <xf numFmtId="173" fontId="31" fillId="7" borderId="25" xfId="0" applyNumberFormat="1" applyFont="1" applyFill="1" applyBorder="1" applyAlignment="1">
      <alignment horizontal="right" vertical="center"/>
    </xf>
    <xf numFmtId="0" fontId="33" fillId="7" borderId="0" xfId="0" applyFont="1" applyFill="1" applyBorder="1" applyAlignment="1">
      <alignment horizontal="left" vertical="center"/>
    </xf>
    <xf numFmtId="185" fontId="31" fillId="7" borderId="25" xfId="14" applyNumberFormat="1" applyFont="1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36" fillId="0" borderId="23" xfId="17" applyFont="1" applyBorder="1" applyAlignment="1" applyProtection="1">
      <alignment vertical="center"/>
    </xf>
    <xf numFmtId="0" fontId="0" fillId="0" borderId="23" xfId="0" applyBorder="1"/>
    <xf numFmtId="0" fontId="33" fillId="0" borderId="27" xfId="17" applyFont="1" applyBorder="1" applyAlignment="1" applyProtection="1">
      <alignment vertical="center"/>
    </xf>
    <xf numFmtId="0" fontId="31" fillId="0" borderId="22" xfId="17" applyFont="1" applyBorder="1" applyAlignment="1" applyProtection="1">
      <alignment vertical="center"/>
    </xf>
    <xf numFmtId="0" fontId="33" fillId="0" borderId="26" xfId="17" applyFont="1" applyBorder="1" applyAlignment="1" applyProtection="1">
      <alignment vertical="center"/>
    </xf>
    <xf numFmtId="0" fontId="0" fillId="0" borderId="27" xfId="0" applyBorder="1"/>
    <xf numFmtId="0" fontId="33" fillId="0" borderId="25" xfId="17" applyFont="1" applyBorder="1" applyAlignment="1" applyProtection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/>
    </xf>
    <xf numFmtId="0" fontId="33" fillId="0" borderId="11" xfId="17" applyFont="1" applyFill="1" applyBorder="1" applyAlignment="1" applyProtection="1">
      <alignment horizontal="left" vertical="center"/>
    </xf>
    <xf numFmtId="0" fontId="33" fillId="0" borderId="11" xfId="17" applyFont="1" applyBorder="1" applyAlignment="1" applyProtection="1">
      <alignment horizontal="left" vertical="center"/>
    </xf>
    <xf numFmtId="0" fontId="33" fillId="0" borderId="2" xfId="17" applyFont="1" applyBorder="1" applyAlignment="1" applyProtection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33" fillId="7" borderId="2" xfId="0" applyFont="1" applyFill="1" applyBorder="1" applyAlignment="1" applyProtection="1">
      <alignment horizontal="left" vertical="center"/>
    </xf>
    <xf numFmtId="0" fontId="33" fillId="0" borderId="39" xfId="17" applyFont="1" applyBorder="1" applyAlignment="1" applyProtection="1">
      <alignment horizontal="center" vertical="center"/>
    </xf>
    <xf numFmtId="0" fontId="0" fillId="0" borderId="6" xfId="0" applyBorder="1" applyAlignment="1">
      <alignment horizontal="centerContinuous" vertical="center" wrapText="1"/>
    </xf>
    <xf numFmtId="0" fontId="38" fillId="0" borderId="25" xfId="0" applyFont="1" applyBorder="1" applyAlignment="1">
      <alignment horizontal="centerContinuous" vertical="center"/>
    </xf>
    <xf numFmtId="0" fontId="38" fillId="0" borderId="2" xfId="0" applyFont="1" applyBorder="1" applyAlignment="1">
      <alignment horizontal="centerContinuous" vertical="center"/>
    </xf>
    <xf numFmtId="0" fontId="33" fillId="0" borderId="36" xfId="17" applyFont="1" applyBorder="1" applyAlignment="1" applyProtection="1">
      <alignment horizontal="left" vertical="center"/>
    </xf>
    <xf numFmtId="3" fontId="24" fillId="7" borderId="31" xfId="0" applyNumberFormat="1" applyFont="1" applyFill="1" applyBorder="1" applyAlignment="1" applyProtection="1">
      <alignment horizontal="centerContinuous" vertical="center"/>
    </xf>
    <xf numFmtId="3" fontId="24" fillId="3" borderId="2" xfId="0" applyNumberFormat="1" applyFont="1" applyFill="1" applyBorder="1" applyAlignment="1" applyProtection="1">
      <alignment horizontal="centerContinuous" vertical="center"/>
      <protection locked="0"/>
    </xf>
    <xf numFmtId="3" fontId="24" fillId="6" borderId="31" xfId="0" applyNumberFormat="1" applyFont="1" applyFill="1" applyBorder="1" applyAlignment="1" applyProtection="1">
      <alignment horizontal="centerContinuous" vertical="center"/>
    </xf>
    <xf numFmtId="170" fontId="37" fillId="7" borderId="43" xfId="14" applyNumberFormat="1" applyFont="1" applyFill="1" applyBorder="1" applyAlignment="1">
      <alignment vertical="center"/>
    </xf>
    <xf numFmtId="179" fontId="33" fillId="7" borderId="44" xfId="0" applyNumberFormat="1" applyFont="1" applyFill="1" applyBorder="1" applyAlignment="1">
      <alignment horizontal="center" vertical="center"/>
    </xf>
    <xf numFmtId="179" fontId="33" fillId="3" borderId="33" xfId="0" applyNumberFormat="1" applyFont="1" applyFill="1" applyBorder="1" applyAlignment="1" applyProtection="1">
      <alignment horizontal="right" vertical="center"/>
      <protection locked="0"/>
    </xf>
    <xf numFmtId="179" fontId="33" fillId="3" borderId="33" xfId="17" applyNumberFormat="1" applyFont="1" applyFill="1" applyBorder="1" applyAlignment="1" applyProtection="1">
      <alignment horizontal="right" vertical="center"/>
      <protection locked="0"/>
    </xf>
    <xf numFmtId="179" fontId="33" fillId="3" borderId="44" xfId="17" applyNumberFormat="1" applyFont="1" applyFill="1" applyBorder="1" applyAlignment="1" applyProtection="1">
      <alignment vertical="center"/>
      <protection locked="0"/>
    </xf>
    <xf numFmtId="179" fontId="33" fillId="3" borderId="5" xfId="17" applyNumberFormat="1" applyFont="1" applyFill="1" applyBorder="1" applyAlignment="1" applyProtection="1">
      <alignment horizontal="right" vertical="center"/>
      <protection locked="0"/>
    </xf>
    <xf numFmtId="179" fontId="33" fillId="3" borderId="22" xfId="17" applyNumberFormat="1" applyFont="1" applyFill="1" applyBorder="1" applyAlignment="1" applyProtection="1">
      <alignment vertical="center"/>
      <protection locked="0"/>
    </xf>
    <xf numFmtId="171" fontId="33" fillId="3" borderId="19" xfId="17" applyNumberFormat="1" applyFont="1" applyFill="1" applyBorder="1" applyAlignment="1" applyProtection="1">
      <alignment vertical="center"/>
      <protection locked="0"/>
    </xf>
    <xf numFmtId="171" fontId="33" fillId="3" borderId="15" xfId="17" applyNumberFormat="1" applyFont="1" applyFill="1" applyBorder="1" applyAlignment="1" applyProtection="1">
      <alignment vertical="center"/>
      <protection locked="0"/>
    </xf>
    <xf numFmtId="185" fontId="33" fillId="3" borderId="6" xfId="0" applyNumberFormat="1" applyFont="1" applyFill="1" applyBorder="1" applyAlignment="1" applyProtection="1">
      <alignment horizontal="right" vertical="center"/>
      <protection locked="0"/>
    </xf>
    <xf numFmtId="0" fontId="24" fillId="0" borderId="2" xfId="0" applyFont="1" applyBorder="1" applyAlignment="1">
      <alignment horizontal="right" vertical="center"/>
    </xf>
    <xf numFmtId="0" fontId="31" fillId="0" borderId="26" xfId="17" applyFont="1" applyBorder="1" applyAlignment="1">
      <alignment vertical="center"/>
    </xf>
    <xf numFmtId="0" fontId="33" fillId="0" borderId="45" xfId="17" applyFont="1" applyBorder="1" applyAlignment="1">
      <alignment horizontal="center" vertical="center"/>
    </xf>
    <xf numFmtId="0" fontId="33" fillId="0" borderId="45" xfId="0" applyFont="1" applyBorder="1" applyAlignment="1">
      <alignment horizontal="left" vertical="center"/>
    </xf>
    <xf numFmtId="168" fontId="33" fillId="3" borderId="46" xfId="17" applyNumberFormat="1" applyFont="1" applyFill="1" applyBorder="1" applyAlignment="1" applyProtection="1">
      <alignment horizontal="right" vertical="center"/>
      <protection locked="0"/>
    </xf>
    <xf numFmtId="168" fontId="33" fillId="3" borderId="21" xfId="17" applyNumberFormat="1" applyFont="1" applyFill="1" applyBorder="1" applyAlignment="1" applyProtection="1">
      <alignment horizontal="right" vertical="center"/>
      <protection locked="0"/>
    </xf>
    <xf numFmtId="0" fontId="33" fillId="0" borderId="45" xfId="0" applyFont="1" applyBorder="1" applyAlignment="1">
      <alignment horizontal="right" vertical="center"/>
    </xf>
    <xf numFmtId="169" fontId="33" fillId="7" borderId="46" xfId="17" applyNumberFormat="1" applyFont="1" applyFill="1" applyBorder="1" applyAlignment="1" applyProtection="1">
      <alignment vertical="center"/>
    </xf>
    <xf numFmtId="169" fontId="33" fillId="7" borderId="21" xfId="17" applyNumberFormat="1" applyFont="1" applyFill="1" applyBorder="1" applyAlignment="1" applyProtection="1">
      <alignment vertical="center"/>
    </xf>
    <xf numFmtId="0" fontId="29" fillId="0" borderId="0" xfId="0" applyFont="1" applyBorder="1" applyAlignment="1">
      <alignment vertical="center"/>
    </xf>
    <xf numFmtId="171" fontId="33" fillId="3" borderId="46" xfId="17" applyNumberFormat="1" applyFont="1" applyFill="1" applyBorder="1" applyAlignment="1" applyProtection="1">
      <alignment horizontal="right" vertical="center"/>
      <protection locked="0"/>
    </xf>
    <xf numFmtId="171" fontId="33" fillId="3" borderId="21" xfId="17" applyNumberFormat="1" applyFont="1" applyFill="1" applyBorder="1" applyAlignment="1" applyProtection="1">
      <alignment horizontal="right" vertical="center"/>
      <protection locked="0"/>
    </xf>
    <xf numFmtId="176" fontId="33" fillId="7" borderId="2" xfId="0" applyNumberFormat="1" applyFont="1" applyFill="1" applyBorder="1" applyAlignment="1" applyProtection="1">
      <alignment horizontal="right" vertical="center"/>
    </xf>
    <xf numFmtId="0" fontId="33" fillId="0" borderId="19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Continuous" vertical="top"/>
    </xf>
    <xf numFmtId="0" fontId="33" fillId="0" borderId="47" xfId="0" applyFont="1" applyBorder="1" applyAlignment="1">
      <alignment vertical="center"/>
    </xf>
    <xf numFmtId="0" fontId="33" fillId="0" borderId="48" xfId="0" applyFont="1" applyBorder="1" applyAlignment="1">
      <alignment horizontal="left" vertical="center"/>
    </xf>
    <xf numFmtId="166" fontId="33" fillId="7" borderId="48" xfId="0" applyNumberFormat="1" applyFont="1" applyFill="1" applyBorder="1" applyAlignment="1" applyProtection="1">
      <alignment horizontal="right" vertical="center"/>
    </xf>
    <xf numFmtId="0" fontId="0" fillId="0" borderId="8" xfId="0" applyBorder="1"/>
    <xf numFmtId="0" fontId="33" fillId="0" borderId="17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0" fillId="0" borderId="48" xfId="0" applyBorder="1"/>
    <xf numFmtId="0" fontId="33" fillId="3" borderId="23" xfId="0" applyFont="1" applyFill="1" applyBorder="1" applyAlignment="1" applyProtection="1">
      <alignment vertical="center"/>
      <protection locked="0"/>
    </xf>
    <xf numFmtId="0" fontId="33" fillId="0" borderId="23" xfId="0" applyFont="1" applyBorder="1" applyAlignment="1">
      <alignment vertical="center"/>
    </xf>
    <xf numFmtId="191" fontId="33" fillId="3" borderId="24" xfId="0" applyNumberFormat="1" applyFont="1" applyFill="1" applyBorder="1" applyAlignment="1" applyProtection="1">
      <alignment horizontal="right" vertical="center"/>
      <protection locked="0"/>
    </xf>
    <xf numFmtId="177" fontId="33" fillId="0" borderId="43" xfId="0" applyNumberFormat="1" applyFont="1" applyBorder="1" applyAlignment="1">
      <alignment horizontal="right" vertical="center"/>
    </xf>
    <xf numFmtId="0" fontId="33" fillId="0" borderId="17" xfId="0" applyFont="1" applyFill="1" applyBorder="1" applyAlignment="1">
      <alignment horizontal="centerContinuous" vertical="center"/>
    </xf>
    <xf numFmtId="0" fontId="33" fillId="0" borderId="8" xfId="0" applyFont="1" applyFill="1" applyBorder="1" applyAlignment="1">
      <alignment horizontal="centerContinuous" vertical="center"/>
    </xf>
    <xf numFmtId="185" fontId="33" fillId="3" borderId="19" xfId="0" applyNumberFormat="1" applyFont="1" applyFill="1" applyBorder="1" applyAlignment="1" applyProtection="1">
      <alignment horizontal="right" vertical="center"/>
      <protection locked="0"/>
    </xf>
    <xf numFmtId="185" fontId="33" fillId="3" borderId="24" xfId="0" applyNumberFormat="1" applyFont="1" applyFill="1" applyBorder="1" applyAlignment="1" applyProtection="1">
      <alignment horizontal="right" vertical="center"/>
      <protection locked="0"/>
    </xf>
    <xf numFmtId="171" fontId="33" fillId="7" borderId="19" xfId="0" applyNumberFormat="1" applyFont="1" applyFill="1" applyBorder="1" applyAlignment="1" applyProtection="1">
      <alignment horizontal="right" vertical="center"/>
    </xf>
    <xf numFmtId="171" fontId="33" fillId="7" borderId="24" xfId="0" applyNumberFormat="1" applyFont="1" applyFill="1" applyBorder="1" applyAlignment="1" applyProtection="1">
      <alignment horizontal="right" vertical="center"/>
    </xf>
    <xf numFmtId="3" fontId="24" fillId="3" borderId="6" xfId="0" applyNumberFormat="1" applyFont="1" applyFill="1" applyBorder="1" applyAlignment="1" applyProtection="1">
      <alignment horizontal="centerContinuous" vertical="center"/>
      <protection locked="0"/>
    </xf>
    <xf numFmtId="173" fontId="35" fillId="7" borderId="25" xfId="14" applyNumberFormat="1" applyFont="1" applyFill="1" applyBorder="1" applyAlignment="1">
      <alignment horizontal="centerContinuous" vertical="center"/>
    </xf>
    <xf numFmtId="173" fontId="35" fillId="7" borderId="11" xfId="14" applyNumberFormat="1" applyFont="1" applyFill="1" applyBorder="1" applyAlignment="1">
      <alignment horizontal="centerContinuous" vertical="center"/>
    </xf>
    <xf numFmtId="3" fontId="24" fillId="7" borderId="12" xfId="0" applyNumberFormat="1" applyFont="1" applyFill="1" applyBorder="1" applyAlignment="1" applyProtection="1">
      <alignment horizontal="centerContinuous" vertical="center"/>
    </xf>
    <xf numFmtId="173" fontId="35" fillId="7" borderId="32" xfId="14" applyNumberFormat="1" applyFont="1" applyFill="1" applyBorder="1" applyAlignment="1">
      <alignment horizontal="centerContinuous" vertical="center"/>
    </xf>
    <xf numFmtId="173" fontId="35" fillId="6" borderId="32" xfId="14" applyNumberFormat="1" applyFont="1" applyFill="1" applyBorder="1" applyAlignment="1">
      <alignment horizontal="centerContinuous" vertical="center"/>
    </xf>
    <xf numFmtId="179" fontId="33" fillId="7" borderId="28" xfId="0" applyNumberFormat="1" applyFont="1" applyFill="1" applyBorder="1" applyAlignment="1">
      <alignment horizontal="center" vertical="center"/>
    </xf>
    <xf numFmtId="170" fontId="37" fillId="7" borderId="40" xfId="14" applyNumberFormat="1" applyFont="1" applyFill="1" applyBorder="1" applyAlignment="1">
      <alignment horizontal="center" vertical="center"/>
    </xf>
    <xf numFmtId="0" fontId="33" fillId="7" borderId="41" xfId="17" applyFont="1" applyFill="1" applyBorder="1" applyAlignment="1">
      <alignment horizontal="center" vertical="center"/>
    </xf>
    <xf numFmtId="198" fontId="31" fillId="7" borderId="0" xfId="14" applyNumberFormat="1" applyFont="1" applyFill="1" applyBorder="1" applyAlignment="1">
      <alignment vertical="center"/>
    </xf>
    <xf numFmtId="189" fontId="33" fillId="3" borderId="46" xfId="17" applyNumberFormat="1" applyFont="1" applyFill="1" applyBorder="1" applyAlignment="1" applyProtection="1">
      <alignment vertical="center"/>
      <protection locked="0"/>
    </xf>
    <xf numFmtId="189" fontId="33" fillId="3" borderId="21" xfId="17" applyNumberFormat="1" applyFont="1" applyFill="1" applyBorder="1" applyAlignment="1" applyProtection="1">
      <alignment vertical="center"/>
      <protection locked="0"/>
    </xf>
    <xf numFmtId="173" fontId="35" fillId="6" borderId="25" xfId="14" applyNumberFormat="1" applyFont="1" applyFill="1" applyBorder="1" applyAlignment="1">
      <alignment horizontal="centerContinuous" vertical="center"/>
    </xf>
    <xf numFmtId="0" fontId="0" fillId="7" borderId="0" xfId="0" applyFill="1" applyAlignment="1">
      <alignment vertical="center"/>
    </xf>
    <xf numFmtId="0" fontId="29" fillId="7" borderId="5" xfId="17" applyFont="1" applyFill="1" applyBorder="1" applyAlignment="1" applyProtection="1">
      <alignment vertical="center"/>
    </xf>
    <xf numFmtId="0" fontId="29" fillId="7" borderId="0" xfId="17" applyFont="1" applyFill="1" applyBorder="1" applyAlignment="1" applyProtection="1">
      <alignment vertical="center"/>
    </xf>
    <xf numFmtId="0" fontId="31" fillId="7" borderId="0" xfId="17" applyFont="1" applyFill="1" applyBorder="1" applyAlignment="1" applyProtection="1">
      <alignment horizontal="right" vertical="center"/>
    </xf>
    <xf numFmtId="0" fontId="28" fillId="7" borderId="0" xfId="17" applyFont="1" applyFill="1" applyBorder="1" applyAlignment="1" applyProtection="1">
      <alignment vertical="center"/>
    </xf>
    <xf numFmtId="0" fontId="30" fillId="7" borderId="0" xfId="17" applyFont="1" applyFill="1" applyBorder="1" applyAlignment="1" applyProtection="1">
      <alignment horizontal="left" vertical="center"/>
    </xf>
    <xf numFmtId="0" fontId="26" fillId="7" borderId="0" xfId="17" applyFont="1" applyFill="1" applyBorder="1" applyAlignment="1" applyProtection="1">
      <alignment horizontal="right" vertical="center"/>
    </xf>
    <xf numFmtId="171" fontId="31" fillId="7" borderId="9" xfId="0" applyNumberFormat="1" applyFont="1" applyFill="1" applyBorder="1" applyAlignment="1">
      <alignment horizontal="right" vertical="center"/>
    </xf>
    <xf numFmtId="0" fontId="28" fillId="7" borderId="2" xfId="17" applyFont="1" applyFill="1" applyBorder="1" applyAlignment="1" applyProtection="1">
      <alignment vertical="center"/>
    </xf>
    <xf numFmtId="0" fontId="31" fillId="7" borderId="2" xfId="17" applyFont="1" applyFill="1" applyBorder="1" applyAlignment="1" applyProtection="1">
      <alignment horizontal="right" vertical="center"/>
    </xf>
    <xf numFmtId="0" fontId="30" fillId="0" borderId="2" xfId="0" applyFont="1" applyBorder="1" applyAlignment="1">
      <alignment vertical="center"/>
    </xf>
    <xf numFmtId="197" fontId="33" fillId="3" borderId="33" xfId="0" applyNumberFormat="1" applyFont="1" applyFill="1" applyBorder="1" applyAlignment="1" applyProtection="1">
      <alignment horizontal="right" vertical="center"/>
      <protection locked="0"/>
    </xf>
    <xf numFmtId="197" fontId="33" fillId="3" borderId="34" xfId="0" applyNumberFormat="1" applyFont="1" applyFill="1" applyBorder="1" applyAlignment="1" applyProtection="1">
      <alignment horizontal="right" vertical="center"/>
      <protection locked="0"/>
    </xf>
    <xf numFmtId="0" fontId="30" fillId="0" borderId="31" xfId="17" applyFont="1" applyBorder="1" applyAlignment="1" applyProtection="1">
      <alignment horizontal="left" vertical="center"/>
    </xf>
    <xf numFmtId="185" fontId="37" fillId="3" borderId="5" xfId="14" applyNumberFormat="1" applyFont="1" applyFill="1" applyBorder="1" applyAlignment="1" applyProtection="1">
      <alignment vertical="center"/>
      <protection locked="0"/>
    </xf>
    <xf numFmtId="185" fontId="37" fillId="3" borderId="19" xfId="14" applyNumberFormat="1" applyFont="1" applyFill="1" applyBorder="1" applyAlignment="1" applyProtection="1">
      <alignment vertical="center"/>
      <protection locked="0"/>
    </xf>
    <xf numFmtId="185" fontId="37" fillId="3" borderId="20" xfId="14" applyNumberFormat="1" applyFont="1" applyFill="1" applyBorder="1" applyAlignment="1" applyProtection="1">
      <alignment vertical="center"/>
      <protection locked="0"/>
    </xf>
    <xf numFmtId="3" fontId="24" fillId="7" borderId="5" xfId="0" applyNumberFormat="1" applyFont="1" applyFill="1" applyBorder="1" applyAlignment="1" applyProtection="1">
      <alignment vertical="center"/>
    </xf>
    <xf numFmtId="3" fontId="24" fillId="7" borderId="6" xfId="0" applyNumberFormat="1" applyFont="1" applyFill="1" applyBorder="1" applyAlignment="1" applyProtection="1">
      <alignment vertical="center"/>
    </xf>
    <xf numFmtId="3" fontId="24" fillId="7" borderId="19" xfId="0" applyNumberFormat="1" applyFont="1" applyFill="1" applyBorder="1" applyAlignment="1" applyProtection="1">
      <alignment vertical="center"/>
    </xf>
    <xf numFmtId="3" fontId="24" fillId="7" borderId="15" xfId="0" applyNumberFormat="1" applyFont="1" applyFill="1" applyBorder="1" applyAlignment="1" applyProtection="1">
      <alignment vertical="center"/>
    </xf>
    <xf numFmtId="3" fontId="24" fillId="7" borderId="20" xfId="0" applyNumberFormat="1" applyFont="1" applyFill="1" applyBorder="1" applyAlignment="1" applyProtection="1">
      <alignment vertical="center"/>
    </xf>
    <xf numFmtId="3" fontId="24" fillId="7" borderId="16" xfId="0" applyNumberFormat="1" applyFont="1" applyFill="1" applyBorder="1" applyAlignment="1" applyProtection="1">
      <alignment vertical="center"/>
    </xf>
    <xf numFmtId="185" fontId="26" fillId="7" borderId="5" xfId="11" applyNumberFormat="1" applyFont="1" applyFill="1" applyBorder="1" applyAlignment="1">
      <alignment horizontal="right" vertical="center"/>
    </xf>
    <xf numFmtId="0" fontId="37" fillId="0" borderId="2" xfId="0" applyFont="1" applyBorder="1" applyAlignment="1">
      <alignment horizontal="right" vertical="center"/>
    </xf>
    <xf numFmtId="0" fontId="33" fillId="0" borderId="2" xfId="17" applyFont="1" applyBorder="1" applyAlignment="1" applyProtection="1">
      <alignment horizontal="right" vertical="center"/>
    </xf>
    <xf numFmtId="176" fontId="33" fillId="3" borderId="30" xfId="17" applyNumberFormat="1" applyFont="1" applyFill="1" applyBorder="1" applyAlignment="1" applyProtection="1">
      <alignment horizontal="right" vertical="center"/>
      <protection locked="0"/>
    </xf>
    <xf numFmtId="0" fontId="33" fillId="0" borderId="24" xfId="17" applyFont="1" applyBorder="1" applyAlignment="1">
      <alignment horizontal="left" vertical="center"/>
    </xf>
    <xf numFmtId="0" fontId="33" fillId="0" borderId="24" xfId="17" applyFont="1" applyBorder="1" applyAlignment="1">
      <alignment horizontal="right" vertical="center"/>
    </xf>
    <xf numFmtId="0" fontId="33" fillId="0" borderId="23" xfId="0" applyFont="1" applyBorder="1" applyAlignment="1">
      <alignment horizontal="center" vertical="center"/>
    </xf>
    <xf numFmtId="0" fontId="33" fillId="0" borderId="36" xfId="17" applyFont="1" applyFill="1" applyBorder="1" applyAlignment="1" applyProtection="1">
      <alignment horizontal="left" vertical="center"/>
    </xf>
    <xf numFmtId="185" fontId="35" fillId="0" borderId="23" xfId="14" applyNumberFormat="1" applyFont="1" applyBorder="1" applyAlignment="1">
      <alignment vertical="center"/>
    </xf>
    <xf numFmtId="185" fontId="35" fillId="0" borderId="24" xfId="14" applyNumberFormat="1" applyFont="1" applyBorder="1" applyAlignment="1">
      <alignment vertical="center"/>
    </xf>
    <xf numFmtId="185" fontId="35" fillId="0" borderId="43" xfId="14" applyNumberFormat="1" applyFont="1" applyBorder="1" applyAlignment="1">
      <alignment vertical="center"/>
    </xf>
    <xf numFmtId="0" fontId="33" fillId="0" borderId="49" xfId="17" applyFont="1" applyBorder="1" applyAlignment="1">
      <alignment horizontal="center" vertical="center"/>
    </xf>
    <xf numFmtId="176" fontId="33" fillId="7" borderId="46" xfId="17" applyNumberFormat="1" applyFont="1" applyFill="1" applyBorder="1" applyAlignment="1" applyProtection="1">
      <alignment vertical="center"/>
    </xf>
    <xf numFmtId="176" fontId="33" fillId="7" borderId="21" xfId="17" applyNumberFormat="1" applyFont="1" applyFill="1" applyBorder="1" applyAlignment="1" applyProtection="1">
      <alignment vertical="center"/>
    </xf>
    <xf numFmtId="170" fontId="33" fillId="3" borderId="15" xfId="0" applyNumberFormat="1" applyFont="1" applyFill="1" applyBorder="1" applyAlignment="1" applyProtection="1">
      <alignment horizontal="right" vertical="center"/>
      <protection locked="0"/>
    </xf>
    <xf numFmtId="185" fontId="24" fillId="7" borderId="9" xfId="11" applyNumberFormat="1" applyFont="1" applyFill="1" applyBorder="1" applyAlignment="1">
      <alignment horizontal="right" vertical="center"/>
    </xf>
    <xf numFmtId="182" fontId="33" fillId="7" borderId="19" xfId="17" applyNumberFormat="1" applyFont="1" applyFill="1" applyBorder="1" applyAlignment="1" applyProtection="1">
      <alignment horizontal="right" vertical="center"/>
    </xf>
    <xf numFmtId="171" fontId="33" fillId="7" borderId="19" xfId="17" applyNumberFormat="1" applyFont="1" applyFill="1" applyBorder="1" applyAlignment="1" applyProtection="1">
      <alignment horizontal="right" vertical="center"/>
    </xf>
    <xf numFmtId="171" fontId="37" fillId="7" borderId="19" xfId="17" applyNumberFormat="1" applyFont="1" applyFill="1" applyBorder="1" applyAlignment="1" applyProtection="1">
      <alignment horizontal="right" vertical="center"/>
    </xf>
    <xf numFmtId="168" fontId="33" fillId="7" borderId="0" xfId="17" applyNumberFormat="1" applyFont="1" applyFill="1" applyBorder="1" applyAlignment="1" applyProtection="1">
      <alignment horizontal="right" vertical="center"/>
    </xf>
    <xf numFmtId="168" fontId="33" fillId="7" borderId="2" xfId="17" applyNumberFormat="1" applyFont="1" applyFill="1" applyBorder="1" applyAlignment="1" applyProtection="1">
      <alignment vertical="center"/>
    </xf>
    <xf numFmtId="185" fontId="26" fillId="7" borderId="6" xfId="11" applyNumberFormat="1" applyFont="1" applyFill="1" applyBorder="1" applyAlignment="1">
      <alignment horizontal="right" vertical="center"/>
    </xf>
    <xf numFmtId="0" fontId="20" fillId="0" borderId="0" xfId="0" applyFont="1"/>
    <xf numFmtId="0" fontId="67" fillId="0" borderId="0" xfId="0" applyFont="1"/>
    <xf numFmtId="185" fontId="33" fillId="3" borderId="0" xfId="0" applyNumberFormat="1" applyFont="1" applyFill="1" applyBorder="1" applyAlignment="1" applyProtection="1">
      <alignment horizontal="right" vertical="center"/>
      <protection locked="0"/>
    </xf>
    <xf numFmtId="185" fontId="33" fillId="3" borderId="20" xfId="0" applyNumberFormat="1" applyFont="1" applyFill="1" applyBorder="1" applyAlignment="1" applyProtection="1">
      <alignment horizontal="right" vertical="center"/>
      <protection locked="0"/>
    </xf>
    <xf numFmtId="183" fontId="33" fillId="7" borderId="5" xfId="0" applyNumberFormat="1" applyFont="1" applyFill="1" applyBorder="1" applyAlignment="1" applyProtection="1">
      <alignment horizontal="right" vertical="center"/>
    </xf>
    <xf numFmtId="183" fontId="33" fillId="7" borderId="19" xfId="0" applyNumberFormat="1" applyFont="1" applyFill="1" applyBorder="1" applyAlignment="1" applyProtection="1">
      <alignment horizontal="right" vertical="center"/>
    </xf>
    <xf numFmtId="183" fontId="33" fillId="7" borderId="20" xfId="0" applyNumberFormat="1" applyFont="1" applyFill="1" applyBorder="1" applyAlignment="1" applyProtection="1">
      <alignment horizontal="right" vertical="center"/>
    </xf>
    <xf numFmtId="183" fontId="33" fillId="7" borderId="6" xfId="0" applyNumberFormat="1" applyFont="1" applyFill="1" applyBorder="1" applyAlignment="1" applyProtection="1">
      <alignment horizontal="right" vertical="center"/>
    </xf>
    <xf numFmtId="183" fontId="33" fillId="7" borderId="15" xfId="0" applyNumberFormat="1" applyFont="1" applyFill="1" applyBorder="1" applyAlignment="1" applyProtection="1">
      <alignment horizontal="right" vertical="center"/>
    </xf>
    <xf numFmtId="183" fontId="33" fillId="7" borderId="16" xfId="0" applyNumberFormat="1" applyFont="1" applyFill="1" applyBorder="1" applyAlignment="1" applyProtection="1">
      <alignment horizontal="right" vertical="center"/>
    </xf>
    <xf numFmtId="185" fontId="35" fillId="0" borderId="0" xfId="14" applyNumberFormat="1" applyFont="1" applyBorder="1" applyAlignment="1">
      <alignment horizontal="center" vertical="center"/>
    </xf>
    <xf numFmtId="0" fontId="39" fillId="0" borderId="22" xfId="0" applyFont="1" applyBorder="1" applyAlignment="1">
      <alignment vertical="center"/>
    </xf>
    <xf numFmtId="0" fontId="39" fillId="0" borderId="23" xfId="0" applyFont="1" applyBorder="1" applyAlignment="1">
      <alignment vertical="center"/>
    </xf>
    <xf numFmtId="0" fontId="0" fillId="0" borderId="22" xfId="0" applyBorder="1"/>
    <xf numFmtId="185" fontId="37" fillId="3" borderId="22" xfId="14" applyNumberFormat="1" applyFont="1" applyFill="1" applyBorder="1" applyAlignment="1" applyProtection="1">
      <alignment vertical="center"/>
      <protection locked="0"/>
    </xf>
    <xf numFmtId="185" fontId="37" fillId="3" borderId="24" xfId="14" applyNumberFormat="1" applyFont="1" applyFill="1" applyBorder="1" applyAlignment="1" applyProtection="1">
      <alignment vertical="center"/>
      <protection locked="0"/>
    </xf>
    <xf numFmtId="185" fontId="37" fillId="3" borderId="43" xfId="14" applyNumberFormat="1" applyFont="1" applyFill="1" applyBorder="1" applyAlignment="1" applyProtection="1">
      <alignment vertical="center"/>
      <protection locked="0"/>
    </xf>
    <xf numFmtId="0" fontId="20" fillId="0" borderId="6" xfId="0" applyFont="1" applyBorder="1"/>
    <xf numFmtId="0" fontId="41" fillId="7" borderId="0" xfId="0" applyFont="1" applyFill="1" applyBorder="1" applyAlignment="1" applyProtection="1">
      <alignment horizontal="right" vertical="top"/>
    </xf>
    <xf numFmtId="0" fontId="26" fillId="0" borderId="6" xfId="0" applyFont="1" applyBorder="1" applyAlignment="1">
      <alignment vertical="center"/>
    </xf>
    <xf numFmtId="185" fontId="35" fillId="0" borderId="2" xfId="14" applyNumberFormat="1" applyFont="1" applyBorder="1" applyAlignment="1">
      <alignment vertical="center"/>
    </xf>
    <xf numFmtId="185" fontId="35" fillId="0" borderId="15" xfId="14" applyNumberFormat="1" applyFont="1" applyBorder="1" applyAlignment="1">
      <alignment vertical="center"/>
    </xf>
    <xf numFmtId="185" fontId="35" fillId="0" borderId="16" xfId="14" applyNumberFormat="1" applyFont="1" applyBorder="1" applyAlignment="1">
      <alignment vertical="center"/>
    </xf>
    <xf numFmtId="164" fontId="24" fillId="7" borderId="5" xfId="0" applyNumberFormat="1" applyFont="1" applyFill="1" applyBorder="1" applyAlignment="1" applyProtection="1">
      <alignment horizontal="centerContinuous" vertical="center"/>
    </xf>
    <xf numFmtId="164" fontId="24" fillId="7" borderId="6" xfId="0" applyNumberFormat="1" applyFont="1" applyFill="1" applyBorder="1" applyAlignment="1" applyProtection="1">
      <alignment horizontal="centerContinuous" vertical="center"/>
    </xf>
    <xf numFmtId="4" fontId="33" fillId="3" borderId="5" xfId="0" applyNumberFormat="1" applyFont="1" applyFill="1" applyBorder="1" applyAlignment="1" applyProtection="1">
      <alignment vertical="center"/>
      <protection locked="0"/>
    </xf>
    <xf numFmtId="171" fontId="33" fillId="3" borderId="30" xfId="17" applyNumberFormat="1" applyFont="1" applyFill="1" applyBorder="1" applyAlignment="1" applyProtection="1">
      <alignment horizontal="right" vertical="center"/>
      <protection locked="0"/>
    </xf>
    <xf numFmtId="0" fontId="24" fillId="0" borderId="23" xfId="0" applyFont="1" applyBorder="1" applyAlignment="1">
      <alignment vertical="center"/>
    </xf>
    <xf numFmtId="177" fontId="35" fillId="7" borderId="43" xfId="0" applyNumberFormat="1" applyFont="1" applyFill="1" applyBorder="1" applyAlignment="1" applyProtection="1">
      <alignment horizontal="right" vertical="center"/>
    </xf>
    <xf numFmtId="0" fontId="26" fillId="0" borderId="23" xfId="0" applyFont="1" applyBorder="1" applyAlignment="1">
      <alignment horizontal="left" vertical="center"/>
    </xf>
    <xf numFmtId="185" fontId="37" fillId="7" borderId="22" xfId="0" applyNumberFormat="1" applyFont="1" applyFill="1" applyBorder="1" applyAlignment="1" applyProtection="1">
      <alignment horizontal="right" vertical="center"/>
    </xf>
    <xf numFmtId="185" fontId="37" fillId="0" borderId="24" xfId="14" applyNumberFormat="1" applyFont="1" applyBorder="1" applyAlignment="1">
      <alignment horizontal="right" vertical="center"/>
    </xf>
    <xf numFmtId="185" fontId="37" fillId="0" borderId="43" xfId="14" applyNumberFormat="1" applyFont="1" applyBorder="1" applyAlignment="1">
      <alignment horizontal="right" vertical="center"/>
    </xf>
    <xf numFmtId="182" fontId="33" fillId="7" borderId="19" xfId="17" applyNumberFormat="1" applyFont="1" applyFill="1" applyBorder="1" applyAlignment="1" applyProtection="1">
      <alignment vertical="center"/>
    </xf>
    <xf numFmtId="182" fontId="37" fillId="0" borderId="19" xfId="14" applyNumberFormat="1" applyFont="1" applyBorder="1" applyAlignment="1">
      <alignment vertical="center"/>
    </xf>
    <xf numFmtId="181" fontId="35" fillId="0" borderId="15" xfId="14" applyNumberFormat="1" applyFont="1" applyBorder="1" applyAlignment="1">
      <alignment vertical="center"/>
    </xf>
    <xf numFmtId="182" fontId="37" fillId="0" borderId="20" xfId="14" applyNumberFormat="1" applyFont="1" applyBorder="1" applyAlignment="1">
      <alignment vertical="center"/>
    </xf>
    <xf numFmtId="181" fontId="35" fillId="0" borderId="16" xfId="14" applyNumberFormat="1" applyFont="1" applyBorder="1" applyAlignment="1">
      <alignment vertical="center"/>
    </xf>
    <xf numFmtId="0" fontId="33" fillId="0" borderId="0" xfId="0" applyFont="1" applyBorder="1" applyAlignment="1">
      <alignment horizontal="right" vertical="center"/>
    </xf>
    <xf numFmtId="4" fontId="33" fillId="7" borderId="5" xfId="0" applyNumberFormat="1" applyFont="1" applyFill="1" applyBorder="1" applyAlignment="1" applyProtection="1">
      <alignment vertical="center"/>
    </xf>
    <xf numFmtId="175" fontId="33" fillId="3" borderId="4" xfId="0" applyNumberFormat="1" applyFont="1" applyFill="1" applyBorder="1" applyAlignment="1" applyProtection="1">
      <alignment horizontal="right" vertical="center"/>
      <protection locked="0"/>
    </xf>
    <xf numFmtId="197" fontId="33" fillId="7" borderId="0" xfId="0" applyNumberFormat="1" applyFont="1" applyFill="1" applyBorder="1" applyAlignment="1" applyProtection="1">
      <alignment horizontal="right" vertical="center"/>
    </xf>
    <xf numFmtId="197" fontId="33" fillId="7" borderId="19" xfId="0" applyNumberFormat="1" applyFont="1" applyFill="1" applyBorder="1" applyAlignment="1" applyProtection="1">
      <alignment horizontal="right" vertical="center"/>
    </xf>
    <xf numFmtId="197" fontId="33" fillId="7" borderId="20" xfId="0" applyNumberFormat="1" applyFont="1" applyFill="1" applyBorder="1" applyAlignment="1" applyProtection="1">
      <alignment horizontal="right" vertical="center"/>
    </xf>
    <xf numFmtId="170" fontId="33" fillId="3" borderId="2" xfId="0" applyNumberFormat="1" applyFont="1" applyFill="1" applyBorder="1" applyAlignment="1" applyProtection="1">
      <alignment horizontal="right" vertical="center"/>
      <protection locked="0"/>
    </xf>
    <xf numFmtId="170" fontId="33" fillId="3" borderId="16" xfId="0" applyNumberFormat="1" applyFont="1" applyFill="1" applyBorder="1" applyAlignment="1" applyProtection="1">
      <alignment horizontal="right" vertical="center"/>
      <protection locked="0"/>
    </xf>
    <xf numFmtId="185" fontId="35" fillId="0" borderId="23" xfId="14" applyNumberFormat="1" applyFont="1" applyBorder="1" applyAlignment="1">
      <alignment horizontal="right" vertical="center"/>
    </xf>
    <xf numFmtId="185" fontId="35" fillId="0" borderId="24" xfId="14" applyNumberFormat="1" applyFont="1" applyBorder="1" applyAlignment="1">
      <alignment horizontal="right" vertical="center"/>
    </xf>
    <xf numFmtId="185" fontId="35" fillId="0" borderId="43" xfId="14" applyNumberFormat="1" applyFont="1" applyBorder="1" applyAlignment="1">
      <alignment horizontal="right" vertical="center"/>
    </xf>
    <xf numFmtId="0" fontId="0" fillId="0" borderId="0" xfId="0" applyAlignment="1" applyProtection="1">
      <alignment vertical="top"/>
    </xf>
    <xf numFmtId="0" fontId="27" fillId="0" borderId="0" xfId="0" applyFont="1" applyAlignment="1" applyProtection="1">
      <alignment horizontal="right" vertical="top"/>
    </xf>
    <xf numFmtId="0" fontId="38" fillId="0" borderId="0" xfId="0" applyFont="1" applyAlignment="1" applyProtection="1">
      <alignment vertical="center"/>
    </xf>
    <xf numFmtId="0" fontId="0" fillId="0" borderId="0" xfId="0" applyProtection="1"/>
    <xf numFmtId="0" fontId="34" fillId="0" borderId="0" xfId="0" applyFont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33" fillId="7" borderId="8" xfId="17" applyFont="1" applyFill="1" applyBorder="1" applyAlignment="1" applyProtection="1">
      <alignment horizontal="centerContinuous" vertical="center"/>
    </xf>
    <xf numFmtId="170" fontId="35" fillId="7" borderId="14" xfId="14" applyNumberFormat="1" applyFont="1" applyFill="1" applyBorder="1" applyAlignment="1" applyProtection="1">
      <alignment horizontal="centerContinuous" vertical="center"/>
    </xf>
    <xf numFmtId="0" fontId="33" fillId="7" borderId="23" xfId="17" applyFont="1" applyFill="1" applyBorder="1" applyAlignment="1" applyProtection="1">
      <alignment horizontal="center" vertical="center"/>
    </xf>
    <xf numFmtId="173" fontId="33" fillId="7" borderId="43" xfId="0" applyNumberFormat="1" applyFont="1" applyFill="1" applyBorder="1" applyAlignment="1" applyProtection="1">
      <alignment horizontal="center" vertical="center"/>
    </xf>
    <xf numFmtId="168" fontId="33" fillId="7" borderId="0" xfId="0" applyNumberFormat="1" applyFont="1" applyFill="1" applyBorder="1" applyAlignment="1" applyProtection="1">
      <alignment horizontal="right" vertical="center"/>
    </xf>
    <xf numFmtId="170" fontId="37" fillId="7" borderId="16" xfId="14" applyNumberFormat="1" applyFont="1" applyFill="1" applyBorder="1" applyAlignment="1" applyProtection="1">
      <alignment vertical="center"/>
    </xf>
    <xf numFmtId="0" fontId="36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top"/>
    </xf>
    <xf numFmtId="0" fontId="40" fillId="0" borderId="0" xfId="0" applyFont="1" applyBorder="1" applyAlignment="1" applyProtection="1">
      <alignment vertical="center"/>
    </xf>
    <xf numFmtId="0" fontId="0" fillId="0" borderId="0" xfId="0" applyBorder="1" applyProtection="1"/>
    <xf numFmtId="0" fontId="67" fillId="0" borderId="0" xfId="0" applyFont="1" applyProtection="1"/>
    <xf numFmtId="0" fontId="0" fillId="0" borderId="0" xfId="0" applyBorder="1" applyAlignment="1" applyProtection="1">
      <alignment vertical="center"/>
    </xf>
    <xf numFmtId="0" fontId="33" fillId="0" borderId="7" xfId="0" applyFont="1" applyBorder="1" applyAlignment="1" applyProtection="1">
      <alignment vertical="center"/>
    </xf>
    <xf numFmtId="0" fontId="33" fillId="0" borderId="8" xfId="0" applyFont="1" applyBorder="1" applyAlignment="1" applyProtection="1">
      <alignment vertical="center"/>
    </xf>
    <xf numFmtId="0" fontId="33" fillId="0" borderId="14" xfId="0" applyFont="1" applyBorder="1" applyAlignment="1" applyProtection="1">
      <alignment vertical="center"/>
    </xf>
    <xf numFmtId="0" fontId="0" fillId="0" borderId="22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43" xfId="0" applyBorder="1" applyAlignment="1" applyProtection="1">
      <alignment horizontal="center"/>
    </xf>
    <xf numFmtId="179" fontId="33" fillId="7" borderId="50" xfId="0" applyNumberFormat="1" applyFont="1" applyFill="1" applyBorder="1" applyAlignment="1" applyProtection="1">
      <alignment horizontal="left" vertical="center"/>
    </xf>
    <xf numFmtId="0" fontId="33" fillId="7" borderId="0" xfId="0" applyFont="1" applyFill="1" applyAlignment="1" applyProtection="1">
      <alignment vertical="center"/>
    </xf>
    <xf numFmtId="0" fontId="33" fillId="7" borderId="6" xfId="0" applyFont="1" applyFill="1" applyBorder="1" applyAlignment="1" applyProtection="1">
      <alignment vertical="center"/>
    </xf>
    <xf numFmtId="0" fontId="24" fillId="7" borderId="2" xfId="0" applyFont="1" applyFill="1" applyBorder="1" applyAlignment="1" applyProtection="1">
      <alignment vertical="center"/>
    </xf>
    <xf numFmtId="191" fontId="33" fillId="7" borderId="2" xfId="0" applyNumberFormat="1" applyFont="1" applyFill="1" applyBorder="1" applyAlignment="1" applyProtection="1">
      <alignment horizontal="right" vertical="center"/>
    </xf>
    <xf numFmtId="0" fontId="0" fillId="7" borderId="0" xfId="0" applyFill="1" applyProtection="1"/>
    <xf numFmtId="0" fontId="40" fillId="0" borderId="0" xfId="0" applyFont="1" applyBorder="1" applyAlignment="1" applyProtection="1">
      <alignment horizontal="right" vertical="top"/>
    </xf>
    <xf numFmtId="0" fontId="26" fillId="0" borderId="0" xfId="0" applyFont="1" applyBorder="1" applyAlignment="1" applyProtection="1">
      <alignment vertical="top"/>
    </xf>
    <xf numFmtId="0" fontId="26" fillId="0" borderId="0" xfId="0" applyFont="1" applyBorder="1" applyAlignment="1" applyProtection="1">
      <alignment horizontal="center" vertical="center"/>
    </xf>
    <xf numFmtId="0" fontId="26" fillId="0" borderId="2" xfId="0" applyFont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34" fillId="0" borderId="0" xfId="0" applyFont="1" applyAlignment="1" applyProtection="1">
      <alignment vertical="center"/>
      <protection locked="0"/>
    </xf>
    <xf numFmtId="0" fontId="3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40" fillId="7" borderId="0" xfId="0" applyFont="1" applyFill="1" applyBorder="1" applyAlignment="1" applyProtection="1">
      <alignment vertical="center"/>
    </xf>
    <xf numFmtId="0" fontId="0" fillId="7" borderId="0" xfId="0" applyFill="1" applyAlignment="1">
      <alignment horizontal="right"/>
    </xf>
    <xf numFmtId="173" fontId="24" fillId="0" borderId="8" xfId="14" applyNumberFormat="1" applyFont="1" applyBorder="1" applyAlignment="1" applyProtection="1">
      <alignment horizontal="centerContinuous" vertical="center"/>
      <protection locked="0"/>
    </xf>
    <xf numFmtId="173" fontId="24" fillId="0" borderId="14" xfId="14" applyNumberFormat="1" applyFont="1" applyBorder="1" applyAlignment="1" applyProtection="1">
      <alignment horizontal="centerContinuous" vertical="center"/>
      <protection locked="0"/>
    </xf>
    <xf numFmtId="173" fontId="24" fillId="0" borderId="51" xfId="14" applyNumberFormat="1" applyFont="1" applyBorder="1" applyAlignment="1" applyProtection="1">
      <alignment horizontal="center" vertical="center"/>
      <protection locked="0"/>
    </xf>
    <xf numFmtId="173" fontId="24" fillId="0" borderId="52" xfId="14" applyNumberFormat="1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vertical="center"/>
      <protection locked="0"/>
    </xf>
    <xf numFmtId="0" fontId="30" fillId="7" borderId="10" xfId="0" applyFont="1" applyFill="1" applyBorder="1" applyAlignment="1">
      <alignment horizontal="centerContinuous" vertical="center"/>
    </xf>
    <xf numFmtId="0" fontId="24" fillId="7" borderId="3" xfId="0" applyFont="1" applyFill="1" applyBorder="1" applyAlignment="1" applyProtection="1">
      <alignment horizontal="center" vertical="center"/>
    </xf>
    <xf numFmtId="176" fontId="26" fillId="7" borderId="10" xfId="0" applyNumberFormat="1" applyFont="1" applyFill="1" applyBorder="1" applyAlignment="1">
      <alignment vertical="center"/>
    </xf>
    <xf numFmtId="176" fontId="26" fillId="7" borderId="9" xfId="0" applyNumberFormat="1" applyFont="1" applyFill="1" applyBorder="1" applyAlignment="1">
      <alignment vertical="center"/>
    </xf>
    <xf numFmtId="176" fontId="26" fillId="7" borderId="53" xfId="0" applyNumberFormat="1" applyFont="1" applyFill="1" applyBorder="1" applyAlignment="1">
      <alignment vertical="center"/>
    </xf>
    <xf numFmtId="191" fontId="33" fillId="3" borderId="15" xfId="0" applyNumberFormat="1" applyFont="1" applyFill="1" applyBorder="1" applyAlignment="1" applyProtection="1">
      <alignment horizontal="right" vertical="center"/>
      <protection locked="0"/>
    </xf>
    <xf numFmtId="180" fontId="33" fillId="3" borderId="4" xfId="0" applyNumberFormat="1" applyFont="1" applyFill="1" applyBorder="1" applyAlignment="1" applyProtection="1">
      <alignment horizontal="right" vertical="center"/>
      <protection locked="0"/>
    </xf>
    <xf numFmtId="177" fontId="33" fillId="7" borderId="19" xfId="0" applyNumberFormat="1" applyFont="1" applyFill="1" applyBorder="1" applyAlignment="1" applyProtection="1">
      <alignment horizontal="right" vertical="center"/>
    </xf>
    <xf numFmtId="177" fontId="33" fillId="7" borderId="15" xfId="0" applyNumberFormat="1" applyFont="1" applyFill="1" applyBorder="1" applyAlignment="1" applyProtection="1">
      <alignment horizontal="right" vertical="center"/>
    </xf>
    <xf numFmtId="0" fontId="44" fillId="0" borderId="19" xfId="0" applyFont="1" applyFill="1" applyBorder="1" applyAlignment="1">
      <alignment horizontal="center" vertical="center"/>
    </xf>
    <xf numFmtId="170" fontId="33" fillId="7" borderId="15" xfId="0" applyNumberFormat="1" applyFont="1" applyFill="1" applyBorder="1" applyAlignment="1" applyProtection="1">
      <alignment horizontal="right" vertical="center"/>
    </xf>
    <xf numFmtId="0" fontId="33" fillId="7" borderId="17" xfId="0" applyFont="1" applyFill="1" applyBorder="1" applyAlignment="1">
      <alignment horizontal="center" vertical="center"/>
    </xf>
    <xf numFmtId="0" fontId="33" fillId="7" borderId="19" xfId="0" applyFont="1" applyFill="1" applyBorder="1" applyAlignment="1">
      <alignment horizontal="center" vertical="center"/>
    </xf>
    <xf numFmtId="0" fontId="33" fillId="7" borderId="24" xfId="0" applyFont="1" applyFill="1" applyBorder="1" applyAlignment="1">
      <alignment horizontal="center" vertical="center"/>
    </xf>
    <xf numFmtId="196" fontId="33" fillId="3" borderId="19" xfId="0" applyNumberFormat="1" applyFont="1" applyFill="1" applyBorder="1" applyAlignment="1" applyProtection="1">
      <alignment horizontal="right" vertical="center"/>
      <protection locked="0"/>
    </xf>
    <xf numFmtId="196" fontId="33" fillId="3" borderId="15" xfId="0" applyNumberFormat="1" applyFont="1" applyFill="1" applyBorder="1" applyAlignment="1" applyProtection="1">
      <alignment horizontal="right" vertical="center"/>
      <protection locked="0"/>
    </xf>
    <xf numFmtId="170" fontId="36" fillId="7" borderId="2" xfId="0" applyNumberFormat="1" applyFont="1" applyFill="1" applyBorder="1" applyAlignment="1" applyProtection="1">
      <alignment horizontal="right" vertical="center"/>
    </xf>
    <xf numFmtId="0" fontId="33" fillId="0" borderId="45" xfId="0" applyFont="1" applyBorder="1" applyAlignment="1">
      <alignment horizontal="centerContinuous" vertical="center"/>
    </xf>
    <xf numFmtId="0" fontId="33" fillId="0" borderId="54" xfId="0" applyFont="1" applyBorder="1" applyAlignment="1">
      <alignment horizontal="centerContinuous" vertical="center"/>
    </xf>
    <xf numFmtId="0" fontId="33" fillId="7" borderId="40" xfId="0" applyFont="1" applyFill="1" applyBorder="1" applyAlignment="1">
      <alignment horizontal="center" vertical="center"/>
    </xf>
    <xf numFmtId="179" fontId="33" fillId="7" borderId="43" xfId="0" applyNumberFormat="1" applyFont="1" applyFill="1" applyBorder="1" applyAlignment="1">
      <alignment horizontal="center" vertical="center"/>
    </xf>
    <xf numFmtId="181" fontId="33" fillId="7" borderId="20" xfId="0" applyNumberFormat="1" applyFont="1" applyFill="1" applyBorder="1" applyAlignment="1" applyProtection="1">
      <alignment horizontal="right" vertical="center"/>
    </xf>
    <xf numFmtId="1" fontId="33" fillId="7" borderId="7" xfId="0" applyNumberFormat="1" applyFont="1" applyFill="1" applyBorder="1" applyAlignment="1" applyProtection="1">
      <alignment horizontal="right" vertical="center"/>
    </xf>
    <xf numFmtId="182" fontId="33" fillId="3" borderId="6" xfId="0" applyNumberFormat="1" applyFont="1" applyFill="1" applyBorder="1" applyAlignment="1" applyProtection="1">
      <alignment horizontal="right" vertical="center"/>
      <protection locked="0"/>
    </xf>
    <xf numFmtId="182" fontId="33" fillId="3" borderId="15" xfId="0" applyNumberFormat="1" applyFont="1" applyFill="1" applyBorder="1" applyAlignment="1" applyProtection="1">
      <alignment horizontal="right" vertical="center"/>
      <protection locked="0"/>
    </xf>
    <xf numFmtId="182" fontId="33" fillId="3" borderId="16" xfId="0" applyNumberFormat="1" applyFont="1" applyFill="1" applyBorder="1" applyAlignment="1" applyProtection="1">
      <alignment horizontal="right" vertical="center"/>
      <protection locked="0"/>
    </xf>
    <xf numFmtId="0" fontId="26" fillId="0" borderId="47" xfId="0" applyFont="1" applyBorder="1" applyAlignment="1" applyProtection="1">
      <alignment vertical="center"/>
      <protection locked="0"/>
    </xf>
    <xf numFmtId="0" fontId="26" fillId="0" borderId="22" xfId="0" applyFont="1" applyBorder="1" applyAlignment="1" applyProtection="1">
      <alignment vertical="center"/>
      <protection locked="0"/>
    </xf>
    <xf numFmtId="0" fontId="0" fillId="0" borderId="52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3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173" fontId="24" fillId="0" borderId="7" xfId="14" applyNumberFormat="1" applyFont="1" applyBorder="1" applyAlignment="1" applyProtection="1">
      <alignment horizontal="centerContinuous" vertical="center"/>
      <protection locked="0"/>
    </xf>
    <xf numFmtId="173" fontId="24" fillId="0" borderId="47" xfId="14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/>
    </xf>
    <xf numFmtId="0" fontId="20" fillId="0" borderId="2" xfId="0" applyFont="1" applyBorder="1"/>
    <xf numFmtId="0" fontId="20" fillId="0" borderId="0" xfId="0" applyFont="1" applyProtection="1"/>
    <xf numFmtId="0" fontId="0" fillId="0" borderId="0" xfId="0" applyBorder="1" applyAlignment="1">
      <alignment horizontal="center"/>
    </xf>
    <xf numFmtId="0" fontId="66" fillId="7" borderId="0" xfId="0" applyFont="1" applyFill="1" applyAlignment="1" applyProtection="1">
      <alignment horizontal="left" vertical="top"/>
    </xf>
    <xf numFmtId="49" fontId="0" fillId="0" borderId="0" xfId="0" applyNumberFormat="1" applyAlignment="1">
      <alignment horizontal="right"/>
    </xf>
    <xf numFmtId="0" fontId="19" fillId="0" borderId="0" xfId="0" applyFont="1" applyAlignment="1">
      <alignment horizontal="centerContinuous"/>
    </xf>
    <xf numFmtId="0" fontId="20" fillId="0" borderId="0" xfId="0" applyFont="1" applyAlignment="1">
      <alignment horizontal="left"/>
    </xf>
    <xf numFmtId="0" fontId="0" fillId="0" borderId="11" xfId="0" applyBorder="1"/>
    <xf numFmtId="49" fontId="0" fillId="0" borderId="5" xfId="0" applyNumberFormat="1" applyBorder="1" applyAlignment="1">
      <alignment horizontal="center"/>
    </xf>
    <xf numFmtId="172" fontId="0" fillId="0" borderId="0" xfId="0" applyNumberFormat="1" applyBorder="1"/>
    <xf numFmtId="169" fontId="0" fillId="0" borderId="0" xfId="0" applyNumberFormat="1" applyBorder="1"/>
    <xf numFmtId="169" fontId="0" fillId="0" borderId="11" xfId="0" applyNumberFormat="1" applyBorder="1"/>
    <xf numFmtId="49" fontId="0" fillId="0" borderId="6" xfId="0" applyNumberFormat="1" applyBorder="1" applyAlignment="1">
      <alignment horizontal="center"/>
    </xf>
    <xf numFmtId="172" fontId="0" fillId="0" borderId="2" xfId="0" applyNumberFormat="1" applyBorder="1"/>
    <xf numFmtId="169" fontId="0" fillId="0" borderId="2" xfId="0" applyNumberFormat="1" applyBorder="1"/>
    <xf numFmtId="169" fontId="0" fillId="0" borderId="25" xfId="0" applyNumberFormat="1" applyBorder="1"/>
    <xf numFmtId="0" fontId="0" fillId="0" borderId="2" xfId="0" applyBorder="1" applyAlignment="1">
      <alignment horizontal="center"/>
    </xf>
    <xf numFmtId="172" fontId="0" fillId="0" borderId="5" xfId="0" applyNumberFormat="1" applyBorder="1"/>
    <xf numFmtId="172" fontId="0" fillId="0" borderId="6" xfId="0" applyNumberFormat="1" applyBorder="1"/>
    <xf numFmtId="0" fontId="19" fillId="0" borderId="22" xfId="0" applyFont="1" applyBorder="1" applyAlignment="1">
      <alignment vertical="center"/>
    </xf>
    <xf numFmtId="0" fontId="0" fillId="0" borderId="36" xfId="0" applyBorder="1" applyAlignment="1">
      <alignment vertical="center"/>
    </xf>
    <xf numFmtId="49" fontId="19" fillId="0" borderId="22" xfId="0" applyNumberFormat="1" applyFont="1" applyBorder="1" applyAlignment="1">
      <alignment horizontal="left" vertical="center"/>
    </xf>
    <xf numFmtId="169" fontId="0" fillId="0" borderId="23" xfId="0" applyNumberFormat="1" applyBorder="1" applyAlignment="1">
      <alignment vertical="center"/>
    </xf>
    <xf numFmtId="169" fontId="0" fillId="0" borderId="23" xfId="0" applyNumberFormat="1" applyBorder="1"/>
    <xf numFmtId="169" fontId="0" fillId="0" borderId="36" xfId="0" applyNumberFormat="1" applyBorder="1" applyAlignment="1">
      <alignment vertical="center"/>
    </xf>
    <xf numFmtId="169" fontId="0" fillId="0" borderId="5" xfId="0" applyNumberFormat="1" applyBorder="1"/>
    <xf numFmtId="169" fontId="0" fillId="0" borderId="6" xfId="0" applyNumberFormat="1" applyBorder="1"/>
    <xf numFmtId="0" fontId="70" fillId="0" borderId="0" xfId="0" applyFont="1" applyAlignment="1">
      <alignment vertical="top"/>
    </xf>
    <xf numFmtId="0" fontId="41" fillId="0" borderId="0" xfId="0" applyFont="1"/>
    <xf numFmtId="49" fontId="0" fillId="0" borderId="5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19" fillId="0" borderId="0" xfId="0" applyFont="1" applyAlignment="1">
      <alignment horizontal="centerContinuous" vertical="center"/>
    </xf>
    <xf numFmtId="9" fontId="0" fillId="0" borderId="23" xfId="0" applyNumberFormat="1" applyBorder="1" applyAlignment="1">
      <alignment horizontal="center" vertical="center"/>
    </xf>
    <xf numFmtId="9" fontId="0" fillId="0" borderId="36" xfId="0" applyNumberFormat="1" applyBorder="1" applyAlignment="1">
      <alignment horizontal="center" vertical="center"/>
    </xf>
    <xf numFmtId="188" fontId="37" fillId="7" borderId="2" xfId="14" applyNumberFormat="1" applyFont="1" applyFill="1" applyBorder="1" applyAlignment="1" applyProtection="1">
      <alignment vertical="center"/>
    </xf>
    <xf numFmtId="188" fontId="37" fillId="7" borderId="15" xfId="14" applyNumberFormat="1" applyFont="1" applyFill="1" applyBorder="1" applyAlignment="1" applyProtection="1">
      <alignment vertical="center"/>
    </xf>
    <xf numFmtId="188" fontId="37" fillId="7" borderId="16" xfId="14" applyNumberFormat="1" applyFont="1" applyFill="1" applyBorder="1" applyAlignment="1" applyProtection="1">
      <alignment vertical="center"/>
    </xf>
    <xf numFmtId="188" fontId="37" fillId="3" borderId="5" xfId="14" applyNumberFormat="1" applyFont="1" applyFill="1" applyBorder="1" applyAlignment="1" applyProtection="1">
      <alignment vertical="center"/>
      <protection locked="0"/>
    </xf>
    <xf numFmtId="188" fontId="37" fillId="3" borderId="19" xfId="14" applyNumberFormat="1" applyFont="1" applyFill="1" applyBorder="1" applyAlignment="1" applyProtection="1">
      <alignment vertical="center"/>
      <protection locked="0"/>
    </xf>
    <xf numFmtId="188" fontId="37" fillId="3" borderId="20" xfId="14" applyNumberFormat="1" applyFont="1" applyFill="1" applyBorder="1" applyAlignment="1" applyProtection="1">
      <alignment vertical="center"/>
      <protection locked="0"/>
    </xf>
    <xf numFmtId="173" fontId="24" fillId="0" borderId="0" xfId="0" applyNumberFormat="1" applyFont="1" applyBorder="1" applyAlignment="1">
      <alignment horizontal="right" vertical="center"/>
    </xf>
    <xf numFmtId="173" fontId="24" fillId="6" borderId="0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/>
    </xf>
    <xf numFmtId="49" fontId="0" fillId="0" borderId="22" xfId="0" applyNumberFormat="1" applyBorder="1" applyAlignment="1">
      <alignment horizontal="left"/>
    </xf>
    <xf numFmtId="172" fontId="0" fillId="0" borderId="5" xfId="0" applyNumberFormat="1" applyBorder="1" applyAlignment="1">
      <alignment horizontal="right"/>
    </xf>
    <xf numFmtId="1" fontId="0" fillId="0" borderId="5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166" fontId="0" fillId="0" borderId="23" xfId="0" applyNumberFormat="1" applyBorder="1" applyAlignment="1">
      <alignment horizontal="center"/>
    </xf>
    <xf numFmtId="166" fontId="0" fillId="0" borderId="36" xfId="0" applyNumberFormat="1" applyBorder="1" applyAlignment="1">
      <alignment horizontal="center"/>
    </xf>
    <xf numFmtId="166" fontId="0" fillId="0" borderId="23" xfId="0" applyNumberFormat="1" applyBorder="1" applyAlignment="1">
      <alignment horizontal="center" vertical="center"/>
    </xf>
    <xf numFmtId="166" fontId="0" fillId="0" borderId="36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53" xfId="0" applyBorder="1" applyAlignment="1">
      <alignment horizontal="center"/>
    </xf>
    <xf numFmtId="179" fontId="26" fillId="3" borderId="18" xfId="0" applyNumberFormat="1" applyFont="1" applyFill="1" applyBorder="1" applyAlignment="1" applyProtection="1">
      <alignment vertical="center"/>
      <protection locked="0"/>
    </xf>
    <xf numFmtId="179" fontId="26" fillId="0" borderId="10" xfId="0" applyNumberFormat="1" applyFont="1" applyBorder="1" applyAlignment="1">
      <alignment vertical="center"/>
    </xf>
    <xf numFmtId="179" fontId="26" fillId="3" borderId="19" xfId="0" applyNumberFormat="1" applyFont="1" applyFill="1" applyBorder="1" applyAlignment="1" applyProtection="1">
      <alignment vertical="center"/>
      <protection locked="0"/>
    </xf>
    <xf numFmtId="0" fontId="31" fillId="0" borderId="6" xfId="0" applyFont="1" applyBorder="1" applyAlignment="1">
      <alignment vertical="center"/>
    </xf>
    <xf numFmtId="0" fontId="26" fillId="0" borderId="0" xfId="0" applyFont="1" applyBorder="1" applyAlignment="1">
      <alignment horizontal="right" vertical="center"/>
    </xf>
    <xf numFmtId="181" fontId="33" fillId="7" borderId="4" xfId="0" applyNumberFormat="1" applyFont="1" applyFill="1" applyBorder="1" applyAlignment="1" applyProtection="1">
      <alignment horizontal="right" vertical="center"/>
    </xf>
    <xf numFmtId="185" fontId="33" fillId="7" borderId="19" xfId="0" applyNumberFormat="1" applyFont="1" applyFill="1" applyBorder="1" applyAlignment="1" applyProtection="1">
      <alignment horizontal="right" vertical="center"/>
    </xf>
    <xf numFmtId="185" fontId="33" fillId="7" borderId="24" xfId="0" applyNumberFormat="1" applyFont="1" applyFill="1" applyBorder="1" applyAlignment="1" applyProtection="1">
      <alignment horizontal="right" vertical="center"/>
    </xf>
    <xf numFmtId="0" fontId="0" fillId="0" borderId="7" xfId="0" applyBorder="1"/>
    <xf numFmtId="0" fontId="44" fillId="0" borderId="17" xfId="0" applyFont="1" applyFill="1" applyBorder="1" applyAlignment="1">
      <alignment horizontal="center" vertical="center"/>
    </xf>
    <xf numFmtId="0" fontId="44" fillId="0" borderId="18" xfId="0" applyFont="1" applyFill="1" applyBorder="1" applyAlignment="1">
      <alignment horizontal="center" vertical="center"/>
    </xf>
    <xf numFmtId="0" fontId="26" fillId="0" borderId="22" xfId="0" applyFont="1" applyBorder="1" applyAlignment="1">
      <alignment vertical="center"/>
    </xf>
    <xf numFmtId="0" fontId="31" fillId="0" borderId="23" xfId="0" applyFont="1" applyBorder="1" applyAlignment="1">
      <alignment vertical="center"/>
    </xf>
    <xf numFmtId="0" fontId="26" fillId="0" borderId="23" xfId="0" applyFont="1" applyBorder="1" applyAlignment="1">
      <alignment vertical="center"/>
    </xf>
    <xf numFmtId="0" fontId="33" fillId="0" borderId="23" xfId="0" applyFont="1" applyBorder="1" applyAlignment="1">
      <alignment horizontal="right" vertical="center"/>
    </xf>
    <xf numFmtId="166" fontId="33" fillId="7" borderId="4" xfId="0" applyNumberFormat="1" applyFont="1" applyFill="1" applyBorder="1" applyAlignment="1" applyProtection="1">
      <alignment horizontal="center" vertical="center"/>
    </xf>
    <xf numFmtId="0" fontId="33" fillId="0" borderId="45" xfId="17" applyFont="1" applyBorder="1" applyAlignment="1">
      <alignment horizontal="left" vertical="center"/>
    </xf>
    <xf numFmtId="171" fontId="33" fillId="7" borderId="21" xfId="17" applyNumberFormat="1" applyFont="1" applyFill="1" applyBorder="1" applyAlignment="1" applyProtection="1">
      <alignment vertical="center"/>
    </xf>
    <xf numFmtId="176" fontId="33" fillId="7" borderId="30" xfId="17" applyNumberFormat="1" applyFont="1" applyFill="1" applyBorder="1" applyAlignment="1" applyProtection="1">
      <alignment horizontal="right" vertical="center"/>
    </xf>
    <xf numFmtId="170" fontId="33" fillId="7" borderId="21" xfId="0" applyNumberFormat="1" applyFont="1" applyFill="1" applyBorder="1" applyAlignment="1" applyProtection="1">
      <alignment horizontal="right" vertical="center"/>
    </xf>
    <xf numFmtId="0" fontId="31" fillId="7" borderId="0" xfId="0" applyFont="1" applyFill="1" applyBorder="1" applyAlignment="1">
      <alignment vertical="center"/>
    </xf>
    <xf numFmtId="0" fontId="30" fillId="7" borderId="0" xfId="17" applyFont="1" applyFill="1" applyBorder="1" applyAlignment="1" applyProtection="1">
      <alignment horizontal="right" vertical="center"/>
    </xf>
    <xf numFmtId="0" fontId="30" fillId="7" borderId="2" xfId="17" applyFont="1" applyFill="1" applyBorder="1" applyAlignment="1" applyProtection="1">
      <alignment horizontal="right" vertical="center"/>
    </xf>
    <xf numFmtId="0" fontId="26" fillId="7" borderId="2" xfId="17" applyFont="1" applyFill="1" applyBorder="1" applyAlignment="1" applyProtection="1">
      <alignment vertical="center"/>
    </xf>
    <xf numFmtId="0" fontId="33" fillId="0" borderId="24" xfId="0" applyFont="1" applyBorder="1" applyAlignment="1">
      <alignment horizontal="left" vertical="center"/>
    </xf>
    <xf numFmtId="0" fontId="33" fillId="0" borderId="15" xfId="0" applyFont="1" applyBorder="1" applyAlignment="1">
      <alignment horizontal="right" vertical="center"/>
    </xf>
    <xf numFmtId="0" fontId="36" fillId="0" borderId="23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72" fillId="0" borderId="24" xfId="0" applyFont="1" applyBorder="1" applyAlignment="1">
      <alignment vertical="center"/>
    </xf>
    <xf numFmtId="0" fontId="72" fillId="0" borderId="15" xfId="0" applyFont="1" applyBorder="1" applyAlignment="1">
      <alignment vertical="center"/>
    </xf>
    <xf numFmtId="192" fontId="72" fillId="3" borderId="22" xfId="0" applyNumberFormat="1" applyFont="1" applyFill="1" applyBorder="1" applyAlignment="1" applyProtection="1">
      <alignment horizontal="right" vertical="center"/>
      <protection locked="0"/>
    </xf>
    <xf numFmtId="179" fontId="72" fillId="3" borderId="6" xfId="0" applyNumberFormat="1" applyFont="1" applyFill="1" applyBorder="1" applyAlignment="1" applyProtection="1">
      <alignment horizontal="right" vertical="center"/>
      <protection locked="0"/>
    </xf>
    <xf numFmtId="0" fontId="73" fillId="0" borderId="24" xfId="0" applyFont="1" applyBorder="1" applyAlignment="1">
      <alignment vertical="center"/>
    </xf>
    <xf numFmtId="0" fontId="73" fillId="0" borderId="15" xfId="0" applyFont="1" applyBorder="1" applyAlignment="1">
      <alignment vertical="center"/>
    </xf>
    <xf numFmtId="192" fontId="73" fillId="3" borderId="43" xfId="0" applyNumberFormat="1" applyFont="1" applyFill="1" applyBorder="1" applyAlignment="1" applyProtection="1">
      <alignment horizontal="right" vertical="center"/>
      <protection locked="0"/>
    </xf>
    <xf numFmtId="179" fontId="73" fillId="3" borderId="16" xfId="0" applyNumberFormat="1" applyFont="1" applyFill="1" applyBorder="1" applyAlignment="1" applyProtection="1">
      <alignment horizontal="right" vertical="center"/>
      <protection locked="0"/>
    </xf>
    <xf numFmtId="177" fontId="74" fillId="7" borderId="5" xfId="0" applyNumberFormat="1" applyFont="1" applyFill="1" applyBorder="1" applyAlignment="1" applyProtection="1">
      <alignment horizontal="right" vertical="center"/>
    </xf>
    <xf numFmtId="177" fontId="75" fillId="7" borderId="20" xfId="0" applyNumberFormat="1" applyFont="1" applyFill="1" applyBorder="1" applyAlignment="1" applyProtection="1">
      <alignment horizontal="right" vertical="center"/>
    </xf>
    <xf numFmtId="176" fontId="33" fillId="0" borderId="54" xfId="17" applyNumberFormat="1" applyFont="1" applyBorder="1" applyAlignment="1" applyProtection="1">
      <alignment horizontal="right" vertical="center"/>
    </xf>
    <xf numFmtId="171" fontId="33" fillId="7" borderId="46" xfId="17" applyNumberFormat="1" applyFont="1" applyFill="1" applyBorder="1" applyAlignment="1" applyProtection="1">
      <alignment horizontal="right" vertical="center"/>
    </xf>
    <xf numFmtId="171" fontId="33" fillId="7" borderId="21" xfId="17" applyNumberFormat="1" applyFont="1" applyFill="1" applyBorder="1" applyAlignment="1" applyProtection="1">
      <alignment horizontal="right" vertical="center"/>
    </xf>
    <xf numFmtId="170" fontId="73" fillId="7" borderId="40" xfId="0" applyNumberFormat="1" applyFont="1" applyFill="1" applyBorder="1" applyAlignment="1" applyProtection="1">
      <alignment horizontal="right" vertical="center"/>
    </xf>
    <xf numFmtId="0" fontId="74" fillId="0" borderId="46" xfId="0" applyFont="1" applyBorder="1" applyAlignment="1">
      <alignment horizontal="center" vertical="center"/>
    </xf>
    <xf numFmtId="0" fontId="0" fillId="0" borderId="49" xfId="0" applyBorder="1"/>
    <xf numFmtId="0" fontId="75" fillId="0" borderId="46" xfId="0" applyFont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74" fillId="0" borderId="49" xfId="0" applyFont="1" applyBorder="1" applyAlignment="1">
      <alignment horizontal="center" vertical="center"/>
    </xf>
    <xf numFmtId="0" fontId="75" fillId="0" borderId="49" xfId="0" applyFont="1" applyBorder="1" applyAlignment="1">
      <alignment horizontal="center" vertical="center"/>
    </xf>
    <xf numFmtId="177" fontId="74" fillId="7" borderId="22" xfId="0" applyNumberFormat="1" applyFont="1" applyFill="1" applyBorder="1" applyAlignment="1" applyProtection="1">
      <alignment horizontal="right" vertical="center"/>
    </xf>
    <xf numFmtId="177" fontId="75" fillId="7" borderId="43" xfId="0" applyNumberFormat="1" applyFont="1" applyFill="1" applyBorder="1" applyAlignment="1" applyProtection="1">
      <alignment horizontal="right" vertical="center"/>
    </xf>
    <xf numFmtId="177" fontId="35" fillId="7" borderId="25" xfId="0" applyNumberFormat="1" applyFont="1" applyFill="1" applyBorder="1" applyAlignment="1" applyProtection="1">
      <alignment horizontal="right" vertical="center"/>
    </xf>
    <xf numFmtId="0" fontId="37" fillId="0" borderId="27" xfId="0" applyFont="1" applyBorder="1" applyAlignment="1">
      <alignment horizontal="centerContinuous" vertical="center"/>
    </xf>
    <xf numFmtId="176" fontId="33" fillId="7" borderId="1" xfId="17" applyNumberFormat="1" applyFont="1" applyFill="1" applyBorder="1" applyAlignment="1" applyProtection="1">
      <alignment horizontal="right" vertical="center"/>
    </xf>
    <xf numFmtId="0" fontId="0" fillId="0" borderId="2" xfId="0" applyBorder="1" applyAlignment="1">
      <alignment horizontal="right" vertical="center"/>
    </xf>
    <xf numFmtId="171" fontId="37" fillId="7" borderId="19" xfId="17" applyNumberFormat="1" applyFont="1" applyFill="1" applyBorder="1" applyAlignment="1" applyProtection="1">
      <alignment horizontal="center" vertical="center"/>
    </xf>
    <xf numFmtId="169" fontId="33" fillId="7" borderId="19" xfId="17" applyNumberFormat="1" applyFont="1" applyFill="1" applyBorder="1" applyAlignment="1" applyProtection="1">
      <alignment horizontal="right" vertical="center"/>
    </xf>
    <xf numFmtId="169" fontId="33" fillId="7" borderId="24" xfId="17" applyNumberFormat="1" applyFont="1" applyFill="1" applyBorder="1" applyAlignment="1" applyProtection="1">
      <alignment horizontal="right" vertical="center"/>
    </xf>
    <xf numFmtId="0" fontId="33" fillId="0" borderId="29" xfId="17" applyFont="1" applyBorder="1" applyAlignment="1" applyProtection="1">
      <alignment horizontal="center" vertical="center"/>
    </xf>
    <xf numFmtId="0" fontId="33" fillId="0" borderId="23" xfId="17" applyFont="1" applyBorder="1" applyAlignment="1" applyProtection="1">
      <alignment horizontal="center" vertical="center"/>
    </xf>
    <xf numFmtId="194" fontId="33" fillId="7" borderId="0" xfId="17" applyNumberFormat="1" applyFont="1" applyFill="1" applyBorder="1" applyAlignment="1" applyProtection="1">
      <alignment horizontal="right" vertical="center"/>
    </xf>
    <xf numFmtId="194" fontId="33" fillId="7" borderId="23" xfId="17" applyNumberFormat="1" applyFont="1" applyFill="1" applyBorder="1" applyAlignment="1" applyProtection="1">
      <alignment horizontal="right" vertical="center"/>
    </xf>
    <xf numFmtId="191" fontId="33" fillId="3" borderId="9" xfId="0" applyNumberFormat="1" applyFont="1" applyFill="1" applyBorder="1" applyAlignment="1" applyProtection="1">
      <alignment horizontal="right" vertical="center"/>
      <protection locked="0"/>
    </xf>
    <xf numFmtId="191" fontId="33" fillId="3" borderId="53" xfId="0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2" fontId="0" fillId="7" borderId="11" xfId="0" applyNumberFormat="1" applyFill="1" applyBorder="1" applyAlignment="1">
      <alignment horizontal="center"/>
    </xf>
    <xf numFmtId="0" fontId="20" fillId="7" borderId="14" xfId="0" applyFont="1" applyFill="1" applyBorder="1" applyAlignment="1">
      <alignment horizontal="left" vertical="center"/>
    </xf>
    <xf numFmtId="172" fontId="0" fillId="0" borderId="6" xfId="0" applyNumberFormat="1" applyBorder="1" applyAlignment="1">
      <alignment horizontal="right"/>
    </xf>
    <xf numFmtId="200" fontId="0" fillId="0" borderId="11" xfId="0" applyNumberFormat="1" applyBorder="1" applyAlignment="1">
      <alignment horizontal="right"/>
    </xf>
    <xf numFmtId="200" fontId="0" fillId="0" borderId="25" xfId="0" applyNumberFormat="1" applyBorder="1" applyAlignment="1">
      <alignment horizontal="right"/>
    </xf>
    <xf numFmtId="9" fontId="0" fillId="0" borderId="0" xfId="0" applyNumberFormat="1" applyBorder="1" applyAlignment="1">
      <alignment horizontal="centerContinuous"/>
    </xf>
    <xf numFmtId="9" fontId="0" fillId="0" borderId="11" xfId="0" applyNumberFormat="1" applyBorder="1" applyAlignment="1">
      <alignment horizontal="centerContinuous"/>
    </xf>
    <xf numFmtId="0" fontId="19" fillId="7" borderId="7" xfId="0" applyFont="1" applyFill="1" applyBorder="1" applyAlignment="1">
      <alignment horizontal="centerContinuous" vertical="center"/>
    </xf>
    <xf numFmtId="2" fontId="0" fillId="0" borderId="2" xfId="0" applyNumberFormat="1" applyBorder="1" applyAlignment="1">
      <alignment horizontal="center"/>
    </xf>
    <xf numFmtId="2" fontId="0" fillId="7" borderId="2" xfId="0" applyNumberFormat="1" applyFill="1" applyBorder="1" applyAlignment="1">
      <alignment horizontal="center"/>
    </xf>
    <xf numFmtId="2" fontId="0" fillId="7" borderId="25" xfId="0" applyNumberFormat="1" applyFill="1" applyBorder="1" applyAlignment="1">
      <alignment horizontal="center"/>
    </xf>
    <xf numFmtId="184" fontId="0" fillId="7" borderId="0" xfId="0" applyNumberFormat="1" applyFill="1" applyBorder="1" applyAlignment="1">
      <alignment horizontal="right" vertical="center"/>
    </xf>
    <xf numFmtId="184" fontId="0" fillId="7" borderId="2" xfId="0" applyNumberFormat="1" applyFill="1" applyBorder="1" applyAlignment="1">
      <alignment horizontal="right" vertical="center"/>
    </xf>
    <xf numFmtId="0" fontId="24" fillId="7" borderId="2" xfId="0" applyFont="1" applyFill="1" applyBorder="1" applyAlignment="1">
      <alignment horizontal="left" vertical="center"/>
    </xf>
    <xf numFmtId="0" fontId="0" fillId="0" borderId="53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7" borderId="25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Continuous" vertical="center"/>
    </xf>
    <xf numFmtId="2" fontId="0" fillId="7" borderId="25" xfId="0" applyNumberFormat="1" applyFill="1" applyBorder="1" applyAlignment="1">
      <alignment horizontal="centerContinuous" vertical="center"/>
    </xf>
    <xf numFmtId="0" fontId="19" fillId="0" borderId="23" xfId="0" applyFont="1" applyBorder="1" applyAlignment="1">
      <alignment vertical="center"/>
    </xf>
    <xf numFmtId="0" fontId="24" fillId="7" borderId="2" xfId="0" applyFont="1" applyFill="1" applyBorder="1" applyAlignment="1">
      <alignment horizontal="left" vertical="top"/>
    </xf>
    <xf numFmtId="0" fontId="26" fillId="0" borderId="0" xfId="0" applyFont="1" applyAlignment="1">
      <alignment vertical="top"/>
    </xf>
    <xf numFmtId="49" fontId="20" fillId="0" borderId="5" xfId="0" applyNumberFormat="1" applyFont="1" applyBorder="1" applyAlignment="1">
      <alignment horizontal="left"/>
    </xf>
    <xf numFmtId="0" fontId="31" fillId="0" borderId="12" xfId="0" applyFont="1" applyBorder="1" applyAlignment="1">
      <alignment vertical="center"/>
    </xf>
    <xf numFmtId="0" fontId="26" fillId="0" borderId="31" xfId="0" applyFont="1" applyBorder="1" applyAlignment="1">
      <alignment vertical="center"/>
    </xf>
    <xf numFmtId="0" fontId="31" fillId="0" borderId="31" xfId="0" applyFont="1" applyBorder="1" applyAlignment="1">
      <alignment vertical="center"/>
    </xf>
    <xf numFmtId="176" fontId="26" fillId="3" borderId="38" xfId="0" applyNumberFormat="1" applyFont="1" applyFill="1" applyBorder="1" applyAlignment="1" applyProtection="1">
      <alignment vertical="center"/>
      <protection locked="0"/>
    </xf>
    <xf numFmtId="176" fontId="26" fillId="7" borderId="3" xfId="0" applyNumberFormat="1" applyFont="1" applyFill="1" applyBorder="1" applyAlignment="1">
      <alignment vertical="center"/>
    </xf>
    <xf numFmtId="0" fontId="30" fillId="0" borderId="5" xfId="0" applyFont="1" applyBorder="1" applyAlignment="1">
      <alignment horizontal="centerContinuous" vertical="center"/>
    </xf>
    <xf numFmtId="0" fontId="0" fillId="0" borderId="0" xfId="0" applyBorder="1" applyAlignment="1">
      <alignment horizontal="centerContinuous" vertical="center"/>
    </xf>
    <xf numFmtId="0" fontId="30" fillId="7" borderId="9" xfId="0" applyFont="1" applyFill="1" applyBorder="1" applyAlignment="1">
      <alignment horizontal="centerContinuous" vertical="center"/>
    </xf>
    <xf numFmtId="185" fontId="78" fillId="7" borderId="14" xfId="14" applyNumberFormat="1" applyFont="1" applyFill="1" applyBorder="1" applyAlignment="1">
      <alignment vertical="center"/>
    </xf>
    <xf numFmtId="2" fontId="33" fillId="0" borderId="56" xfId="0" applyNumberFormat="1" applyFont="1" applyBorder="1" applyAlignment="1">
      <alignment vertical="center"/>
    </xf>
    <xf numFmtId="0" fontId="33" fillId="7" borderId="2" xfId="0" applyFont="1" applyFill="1" applyBorder="1" applyAlignment="1">
      <alignment horizontal="right" vertical="center"/>
    </xf>
    <xf numFmtId="176" fontId="33" fillId="7" borderId="21" xfId="17" applyNumberFormat="1" applyFont="1" applyFill="1" applyBorder="1" applyAlignment="1" applyProtection="1">
      <alignment horizontal="center" vertical="center"/>
    </xf>
    <xf numFmtId="0" fontId="0" fillId="3" borderId="16" xfId="0" applyFill="1" applyBorder="1" applyAlignment="1" applyProtection="1">
      <alignment horizontal="center" vertical="center"/>
      <protection locked="0"/>
    </xf>
    <xf numFmtId="0" fontId="33" fillId="7" borderId="6" xfId="0" applyFont="1" applyFill="1" applyBorder="1" applyAlignment="1">
      <alignment vertical="center"/>
    </xf>
    <xf numFmtId="0" fontId="33" fillId="7" borderId="2" xfId="0" applyFont="1" applyFill="1" applyBorder="1" applyAlignment="1">
      <alignment vertical="center"/>
    </xf>
    <xf numFmtId="177" fontId="33" fillId="7" borderId="21" xfId="0" applyNumberFormat="1" applyFont="1" applyFill="1" applyBorder="1" applyAlignment="1" applyProtection="1">
      <alignment horizontal="right" vertical="center"/>
    </xf>
    <xf numFmtId="0" fontId="80" fillId="0" borderId="2" xfId="0" applyFont="1" applyBorder="1" applyAlignment="1">
      <alignment vertical="center"/>
    </xf>
    <xf numFmtId="170" fontId="44" fillId="0" borderId="0" xfId="0" applyNumberFormat="1" applyFont="1" applyBorder="1" applyAlignment="1" applyProtection="1">
      <alignment vertical="center"/>
    </xf>
    <xf numFmtId="0" fontId="44" fillId="0" borderId="0" xfId="0" applyFont="1" applyBorder="1" applyAlignment="1">
      <alignment vertical="center"/>
    </xf>
    <xf numFmtId="0" fontId="24" fillId="7" borderId="10" xfId="0" applyFont="1" applyFill="1" applyBorder="1" applyAlignment="1" applyProtection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51" fillId="0" borderId="8" xfId="0" applyFont="1" applyBorder="1" applyAlignment="1">
      <alignment horizontal="centerContinuous" vertical="center"/>
    </xf>
    <xf numFmtId="2" fontId="44" fillId="0" borderId="0" xfId="0" applyNumberFormat="1" applyFont="1" applyBorder="1" applyAlignment="1">
      <alignment vertical="center"/>
    </xf>
    <xf numFmtId="2" fontId="44" fillId="0" borderId="0" xfId="0" applyNumberFormat="1" applyFont="1" applyBorder="1" applyAlignment="1">
      <alignment horizontal="center" vertical="center"/>
    </xf>
    <xf numFmtId="173" fontId="35" fillId="6" borderId="11" xfId="14" applyNumberFormat="1" applyFont="1" applyFill="1" applyBorder="1" applyAlignment="1">
      <alignment horizontal="centerContinuous" vertical="center"/>
    </xf>
    <xf numFmtId="173" fontId="31" fillId="6" borderId="5" xfId="14" applyNumberFormat="1" applyFont="1" applyFill="1" applyBorder="1" applyAlignment="1">
      <alignment vertical="center"/>
    </xf>
    <xf numFmtId="185" fontId="31" fillId="6" borderId="14" xfId="14" applyNumberFormat="1" applyFont="1" applyFill="1" applyBorder="1" applyAlignment="1">
      <alignment vertical="center"/>
    </xf>
    <xf numFmtId="173" fontId="33" fillId="6" borderId="5" xfId="14" applyNumberFormat="1" applyFont="1" applyFill="1" applyBorder="1" applyAlignment="1">
      <alignment vertical="center"/>
    </xf>
    <xf numFmtId="173" fontId="33" fillId="6" borderId="6" xfId="14" applyNumberFormat="1" applyFont="1" applyFill="1" applyBorder="1" applyAlignment="1">
      <alignment vertical="center"/>
    </xf>
    <xf numFmtId="185" fontId="31" fillId="6" borderId="25" xfId="14" applyNumberFormat="1" applyFont="1" applyFill="1" applyBorder="1" applyAlignment="1">
      <alignment vertical="center"/>
    </xf>
    <xf numFmtId="173" fontId="33" fillId="6" borderId="43" xfId="0" applyNumberFormat="1" applyFont="1" applyFill="1" applyBorder="1" applyAlignment="1">
      <alignment horizontal="center" vertical="center"/>
    </xf>
    <xf numFmtId="170" fontId="33" fillId="6" borderId="20" xfId="0" applyNumberFormat="1" applyFont="1" applyFill="1" applyBorder="1" applyAlignment="1">
      <alignment horizontal="right" vertical="center"/>
    </xf>
    <xf numFmtId="170" fontId="33" fillId="6" borderId="16" xfId="0" applyNumberFormat="1" applyFont="1" applyFill="1" applyBorder="1" applyAlignment="1">
      <alignment horizontal="right" vertical="center"/>
    </xf>
    <xf numFmtId="177" fontId="33" fillId="6" borderId="5" xfId="0" applyNumberFormat="1" applyFont="1" applyFill="1" applyBorder="1" applyAlignment="1">
      <alignment horizontal="right" vertical="center"/>
    </xf>
    <xf numFmtId="173" fontId="33" fillId="6" borderId="42" xfId="0" applyNumberFormat="1" applyFont="1" applyFill="1" applyBorder="1" applyAlignment="1">
      <alignment horizontal="center" vertical="center"/>
    </xf>
    <xf numFmtId="170" fontId="37" fillId="6" borderId="40" xfId="14" applyNumberFormat="1" applyFont="1" applyFill="1" applyBorder="1" applyAlignment="1">
      <alignment horizontal="center" vertical="center"/>
    </xf>
    <xf numFmtId="170" fontId="37" fillId="6" borderId="43" xfId="14" applyNumberFormat="1" applyFont="1" applyFill="1" applyBorder="1" applyAlignment="1">
      <alignment vertical="center"/>
    </xf>
    <xf numFmtId="166" fontId="30" fillId="6" borderId="0" xfId="14" applyNumberFormat="1" applyFont="1" applyFill="1" applyBorder="1" applyAlignment="1">
      <alignment vertical="center"/>
    </xf>
    <xf numFmtId="170" fontId="20" fillId="6" borderId="11" xfId="0" applyNumberFormat="1" applyFont="1" applyFill="1" applyBorder="1" applyAlignment="1">
      <alignment vertical="center"/>
    </xf>
    <xf numFmtId="166" fontId="31" fillId="6" borderId="2" xfId="14" applyNumberFormat="1" applyFont="1" applyFill="1" applyBorder="1" applyAlignment="1">
      <alignment vertical="center"/>
    </xf>
    <xf numFmtId="170" fontId="36" fillId="6" borderId="25" xfId="0" applyNumberFormat="1" applyFont="1" applyFill="1" applyBorder="1" applyAlignment="1">
      <alignment horizontal="right" vertical="center"/>
    </xf>
    <xf numFmtId="0" fontId="0" fillId="6" borderId="22" xfId="0" applyFill="1" applyBorder="1"/>
    <xf numFmtId="170" fontId="33" fillId="6" borderId="25" xfId="0" applyNumberFormat="1" applyFont="1" applyFill="1" applyBorder="1" applyAlignment="1" applyProtection="1">
      <alignment horizontal="right" vertical="center"/>
    </xf>
    <xf numFmtId="173" fontId="31" fillId="6" borderId="25" xfId="0" applyNumberFormat="1" applyFont="1" applyFill="1" applyBorder="1" applyAlignment="1">
      <alignment horizontal="right" vertical="center"/>
    </xf>
    <xf numFmtId="173" fontId="26" fillId="6" borderId="5" xfId="0" applyNumberFormat="1" applyFont="1" applyFill="1" applyBorder="1" applyAlignment="1">
      <alignment vertical="center"/>
    </xf>
    <xf numFmtId="3" fontId="24" fillId="8" borderId="22" xfId="0" applyNumberFormat="1" applyFont="1" applyFill="1" applyBorder="1" applyAlignment="1" applyProtection="1">
      <alignment horizontal="centerContinuous" vertical="center"/>
      <protection locked="0"/>
    </xf>
    <xf numFmtId="169" fontId="33" fillId="8" borderId="34" xfId="17" applyNumberFormat="1" applyFont="1" applyFill="1" applyBorder="1" applyAlignment="1" applyProtection="1">
      <alignment vertical="center"/>
      <protection locked="0"/>
    </xf>
    <xf numFmtId="0" fontId="23" fillId="6" borderId="0" xfId="17" applyFont="1" applyFill="1" applyBorder="1" applyAlignment="1" applyProtection="1">
      <alignment vertical="center"/>
    </xf>
    <xf numFmtId="170" fontId="33" fillId="6" borderId="0" xfId="0" applyNumberFormat="1" applyFont="1" applyFill="1" applyBorder="1" applyAlignment="1" applyProtection="1">
      <alignment horizontal="right" vertical="center"/>
    </xf>
    <xf numFmtId="177" fontId="74" fillId="6" borderId="22" xfId="0" applyNumberFormat="1" applyFont="1" applyFill="1" applyBorder="1" applyAlignment="1" applyProtection="1">
      <alignment horizontal="right" vertical="center"/>
    </xf>
    <xf numFmtId="177" fontId="75" fillId="6" borderId="43" xfId="0" applyNumberFormat="1" applyFont="1" applyFill="1" applyBorder="1" applyAlignment="1" applyProtection="1">
      <alignment horizontal="right" vertical="center"/>
    </xf>
    <xf numFmtId="177" fontId="35" fillId="6" borderId="25" xfId="0" applyNumberFormat="1" applyFont="1" applyFill="1" applyBorder="1" applyAlignment="1" applyProtection="1">
      <alignment horizontal="right" vertical="center"/>
    </xf>
    <xf numFmtId="177" fontId="74" fillId="6" borderId="5" xfId="0" applyNumberFormat="1" applyFont="1" applyFill="1" applyBorder="1" applyAlignment="1" applyProtection="1">
      <alignment horizontal="right" vertical="center"/>
    </xf>
    <xf numFmtId="177" fontId="75" fillId="6" borderId="20" xfId="0" applyNumberFormat="1" applyFont="1" applyFill="1" applyBorder="1" applyAlignment="1" applyProtection="1">
      <alignment horizontal="right" vertical="center"/>
    </xf>
    <xf numFmtId="177" fontId="35" fillId="6" borderId="43" xfId="0" applyNumberFormat="1" applyFont="1" applyFill="1" applyBorder="1" applyAlignment="1" applyProtection="1">
      <alignment horizontal="right" vertical="center"/>
    </xf>
    <xf numFmtId="4" fontId="33" fillId="6" borderId="5" xfId="0" applyNumberFormat="1" applyFont="1" applyFill="1" applyBorder="1" applyAlignment="1" applyProtection="1">
      <alignment vertical="center"/>
    </xf>
    <xf numFmtId="164" fontId="24" fillId="6" borderId="5" xfId="0" applyNumberFormat="1" applyFont="1" applyFill="1" applyBorder="1" applyAlignment="1" applyProtection="1">
      <alignment horizontal="centerContinuous" vertical="center"/>
    </xf>
    <xf numFmtId="164" fontId="24" fillId="6" borderId="6" xfId="0" applyNumberFormat="1" applyFont="1" applyFill="1" applyBorder="1" applyAlignment="1" applyProtection="1">
      <alignment horizontal="centerContinuous" vertical="center"/>
    </xf>
    <xf numFmtId="173" fontId="33" fillId="6" borderId="41" xfId="0" applyNumberFormat="1" applyFont="1" applyFill="1" applyBorder="1" applyAlignment="1">
      <alignment horizontal="center" vertical="center"/>
    </xf>
    <xf numFmtId="173" fontId="31" fillId="6" borderId="5" xfId="0" applyNumberFormat="1" applyFont="1" applyFill="1" applyBorder="1" applyAlignment="1">
      <alignment horizontal="right" vertical="center"/>
    </xf>
    <xf numFmtId="177" fontId="33" fillId="6" borderId="33" xfId="0" applyNumberFormat="1" applyFont="1" applyFill="1" applyBorder="1" applyAlignment="1">
      <alignment horizontal="right" vertical="center"/>
    </xf>
    <xf numFmtId="177" fontId="33" fillId="6" borderId="34" xfId="0" applyNumberFormat="1" applyFont="1" applyFill="1" applyBorder="1" applyAlignment="1">
      <alignment horizontal="right" vertical="center"/>
    </xf>
    <xf numFmtId="0" fontId="33" fillId="6" borderId="41" xfId="17" applyFont="1" applyFill="1" applyBorder="1" applyAlignment="1">
      <alignment horizontal="center" vertical="center"/>
    </xf>
    <xf numFmtId="198" fontId="31" fillId="6" borderId="0" xfId="14" applyNumberFormat="1" applyFont="1" applyFill="1" applyBorder="1" applyAlignment="1">
      <alignment vertical="center"/>
    </xf>
    <xf numFmtId="179" fontId="33" fillId="6" borderId="28" xfId="0" applyNumberFormat="1" applyFont="1" applyFill="1" applyBorder="1" applyAlignment="1">
      <alignment horizontal="center" vertical="center"/>
    </xf>
    <xf numFmtId="179" fontId="33" fillId="6" borderId="44" xfId="0" applyNumberFormat="1" applyFont="1" applyFill="1" applyBorder="1" applyAlignment="1">
      <alignment horizontal="center" vertical="center"/>
    </xf>
    <xf numFmtId="173" fontId="36" fillId="6" borderId="5" xfId="0" applyNumberFormat="1" applyFont="1" applyFill="1" applyBorder="1" applyAlignment="1">
      <alignment horizontal="right" vertical="center"/>
    </xf>
    <xf numFmtId="170" fontId="33" fillId="6" borderId="20" xfId="0" applyNumberFormat="1" applyFont="1" applyFill="1" applyBorder="1" applyAlignment="1" applyProtection="1">
      <alignment horizontal="right" vertical="center"/>
    </xf>
    <xf numFmtId="170" fontId="33" fillId="6" borderId="16" xfId="0" applyNumberFormat="1" applyFont="1" applyFill="1" applyBorder="1" applyAlignment="1" applyProtection="1">
      <alignment horizontal="right" vertical="center"/>
    </xf>
    <xf numFmtId="0" fontId="33" fillId="6" borderId="0" xfId="0" applyFont="1" applyFill="1" applyBorder="1" applyAlignment="1">
      <alignment horizontal="center" vertical="center"/>
    </xf>
    <xf numFmtId="185" fontId="31" fillId="6" borderId="47" xfId="14" applyNumberFormat="1" applyFont="1" applyFill="1" applyBorder="1" applyAlignment="1">
      <alignment vertical="center"/>
    </xf>
    <xf numFmtId="170" fontId="73" fillId="6" borderId="40" xfId="0" applyNumberFormat="1" applyFont="1" applyFill="1" applyBorder="1" applyAlignment="1" applyProtection="1">
      <alignment horizontal="right" vertical="center"/>
    </xf>
    <xf numFmtId="177" fontId="33" fillId="8" borderId="6" xfId="0" applyNumberFormat="1" applyFont="1" applyFill="1" applyBorder="1" applyAlignment="1" applyProtection="1">
      <alignment horizontal="right" vertical="center"/>
      <protection locked="0"/>
    </xf>
    <xf numFmtId="1" fontId="0" fillId="7" borderId="5" xfId="0" applyNumberFormat="1" applyFill="1" applyBorder="1" applyAlignment="1">
      <alignment horizontal="center"/>
    </xf>
    <xf numFmtId="1" fontId="0" fillId="7" borderId="6" xfId="0" applyNumberFormat="1" applyFill="1" applyBorder="1" applyAlignment="1">
      <alignment horizontal="center"/>
    </xf>
    <xf numFmtId="2" fontId="40" fillId="0" borderId="0" xfId="0" applyNumberFormat="1" applyFont="1" applyBorder="1" applyAlignment="1">
      <alignment horizontal="right" vertical="top"/>
    </xf>
    <xf numFmtId="175" fontId="24" fillId="7" borderId="16" xfId="0" applyNumberFormat="1" applyFont="1" applyFill="1" applyBorder="1" applyAlignment="1" applyProtection="1">
      <alignment horizontal="right" vertical="center"/>
    </xf>
    <xf numFmtId="175" fontId="33" fillId="0" borderId="20" xfId="0" applyNumberFormat="1" applyFont="1" applyBorder="1" applyAlignment="1">
      <alignment horizontal="right" vertical="center"/>
    </xf>
    <xf numFmtId="172" fontId="0" fillId="7" borderId="5" xfId="0" applyNumberFormat="1" applyFill="1" applyBorder="1"/>
    <xf numFmtId="172" fontId="0" fillId="7" borderId="6" xfId="0" applyNumberFormat="1" applyFill="1" applyBorder="1"/>
    <xf numFmtId="0" fontId="0" fillId="7" borderId="0" xfId="0" applyFill="1" applyBorder="1" applyAlignment="1">
      <alignment horizontal="centerContinuous" vertical="center" wrapText="1"/>
    </xf>
    <xf numFmtId="0" fontId="0" fillId="7" borderId="2" xfId="0" applyFill="1" applyBorder="1" applyAlignment="1">
      <alignment horizontal="right"/>
    </xf>
    <xf numFmtId="0" fontId="20" fillId="7" borderId="2" xfId="0" applyFont="1" applyFill="1" applyBorder="1"/>
    <xf numFmtId="0" fontId="38" fillId="7" borderId="0" xfId="0" applyFont="1" applyFill="1" applyBorder="1" applyAlignment="1">
      <alignment horizontal="centerContinuous" vertical="center"/>
    </xf>
    <xf numFmtId="0" fontId="38" fillId="7" borderId="11" xfId="0" applyFont="1" applyFill="1" applyBorder="1" applyAlignment="1">
      <alignment horizontal="centerContinuous" vertical="center"/>
    </xf>
    <xf numFmtId="0" fontId="38" fillId="7" borderId="25" xfId="0" applyFont="1" applyFill="1" applyBorder="1" applyAlignment="1">
      <alignment horizontal="centerContinuous" vertical="center"/>
    </xf>
    <xf numFmtId="0" fontId="33" fillId="7" borderId="11" xfId="0" applyFont="1" applyFill="1" applyBorder="1" applyAlignment="1">
      <alignment horizontal="right" vertical="center"/>
    </xf>
    <xf numFmtId="0" fontId="33" fillId="7" borderId="11" xfId="0" applyFont="1" applyFill="1" applyBorder="1" applyAlignment="1">
      <alignment vertical="center"/>
    </xf>
    <xf numFmtId="0" fontId="33" fillId="7" borderId="25" xfId="0" applyFont="1" applyFill="1" applyBorder="1" applyAlignment="1">
      <alignment vertical="center"/>
    </xf>
    <xf numFmtId="0" fontId="33" fillId="7" borderId="25" xfId="0" applyFont="1" applyFill="1" applyBorder="1" applyAlignment="1">
      <alignment horizontal="right" vertical="center"/>
    </xf>
    <xf numFmtId="0" fontId="38" fillId="7" borderId="37" xfId="0" applyFont="1" applyFill="1" applyBorder="1" applyAlignment="1">
      <alignment horizontal="centerContinuous" vertical="center"/>
    </xf>
    <xf numFmtId="2" fontId="0" fillId="0" borderId="5" xfId="0" applyNumberFormat="1" applyBorder="1" applyAlignment="1">
      <alignment horizontal="right"/>
    </xf>
    <xf numFmtId="2" fontId="0" fillId="0" borderId="6" xfId="0" applyNumberFormat="1" applyBorder="1" applyAlignment="1">
      <alignment horizontal="right"/>
    </xf>
    <xf numFmtId="1" fontId="0" fillId="0" borderId="0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7" borderId="9" xfId="0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166" fontId="26" fillId="7" borderId="3" xfId="0" applyNumberFormat="1" applyFont="1" applyFill="1" applyBorder="1" applyAlignment="1" applyProtection="1">
      <alignment horizontal="center" vertical="center"/>
    </xf>
    <xf numFmtId="0" fontId="26" fillId="7" borderId="0" xfId="0" applyFont="1" applyFill="1" applyBorder="1" applyAlignment="1">
      <alignment vertical="top"/>
    </xf>
    <xf numFmtId="0" fontId="20" fillId="7" borderId="0" xfId="0" applyFont="1" applyFill="1" applyBorder="1" applyAlignment="1">
      <alignment horizontal="left" vertical="top"/>
    </xf>
    <xf numFmtId="0" fontId="40" fillId="7" borderId="0" xfId="0" applyFont="1" applyFill="1" applyBorder="1" applyAlignment="1">
      <alignment horizontal="right" vertical="top"/>
    </xf>
    <xf numFmtId="0" fontId="33" fillId="7" borderId="47" xfId="0" applyFont="1" applyFill="1" applyBorder="1" applyAlignment="1">
      <alignment vertical="center"/>
    </xf>
    <xf numFmtId="0" fontId="33" fillId="7" borderId="48" xfId="0" applyFont="1" applyFill="1" applyBorder="1" applyAlignment="1">
      <alignment horizontal="left" vertical="center"/>
    </xf>
    <xf numFmtId="0" fontId="0" fillId="7" borderId="48" xfId="0" applyFill="1" applyBorder="1"/>
    <xf numFmtId="0" fontId="33" fillId="7" borderId="17" xfId="0" applyFont="1" applyFill="1" applyBorder="1" applyAlignment="1">
      <alignment horizontal="centerContinuous" vertical="center"/>
    </xf>
    <xf numFmtId="0" fontId="33" fillId="7" borderId="8" xfId="0" applyFont="1" applyFill="1" applyBorder="1" applyAlignment="1">
      <alignment horizontal="centerContinuous" vertical="center"/>
    </xf>
    <xf numFmtId="0" fontId="33" fillId="7" borderId="18" xfId="0" applyFont="1" applyFill="1" applyBorder="1" applyAlignment="1">
      <alignment horizontal="center" vertical="center"/>
    </xf>
    <xf numFmtId="0" fontId="33" fillId="7" borderId="22" xfId="0" applyFont="1" applyFill="1" applyBorder="1" applyAlignment="1">
      <alignment vertical="center"/>
    </xf>
    <xf numFmtId="0" fontId="33" fillId="7" borderId="23" xfId="0" applyFont="1" applyFill="1" applyBorder="1" applyAlignment="1">
      <alignment horizontal="left" vertical="center"/>
    </xf>
    <xf numFmtId="0" fontId="0" fillId="7" borderId="23" xfId="0" applyFill="1" applyBorder="1"/>
    <xf numFmtId="0" fontId="44" fillId="7" borderId="19" xfId="0" applyFont="1" applyFill="1" applyBorder="1" applyAlignment="1">
      <alignment horizontal="center" vertical="center"/>
    </xf>
    <xf numFmtId="0" fontId="33" fillId="7" borderId="20" xfId="0" applyFont="1" applyFill="1" applyBorder="1" applyAlignment="1">
      <alignment horizontal="center" vertical="center"/>
    </xf>
    <xf numFmtId="0" fontId="33" fillId="7" borderId="43" xfId="0" applyFont="1" applyFill="1" applyBorder="1" applyAlignment="1">
      <alignment horizontal="center" vertical="center"/>
    </xf>
    <xf numFmtId="0" fontId="33" fillId="7" borderId="5" xfId="0" applyFont="1" applyFill="1" applyBorder="1" applyAlignment="1">
      <alignment vertical="center"/>
    </xf>
    <xf numFmtId="0" fontId="33" fillId="7" borderId="0" xfId="0" applyFont="1" applyFill="1" applyBorder="1" applyAlignment="1">
      <alignment vertical="center"/>
    </xf>
    <xf numFmtId="175" fontId="33" fillId="7" borderId="20" xfId="0" applyNumberFormat="1" applyFont="1" applyFill="1" applyBorder="1" applyAlignment="1">
      <alignment horizontal="right" vertical="center"/>
    </xf>
    <xf numFmtId="0" fontId="40" fillId="7" borderId="0" xfId="0" applyFont="1" applyFill="1" applyBorder="1" applyAlignment="1" applyProtection="1">
      <alignment horizontal="right" vertical="top"/>
    </xf>
    <xf numFmtId="0" fontId="26" fillId="7" borderId="0" xfId="0" applyFont="1" applyFill="1" applyBorder="1" applyAlignment="1" applyProtection="1">
      <alignment vertical="top"/>
    </xf>
    <xf numFmtId="202" fontId="33" fillId="0" borderId="0" xfId="17" applyNumberFormat="1" applyFont="1" applyBorder="1" applyAlignment="1" applyProtection="1">
      <alignment horizontal="left" vertical="center"/>
    </xf>
    <xf numFmtId="188" fontId="37" fillId="7" borderId="21" xfId="14" applyNumberFormat="1" applyFont="1" applyFill="1" applyBorder="1" applyAlignment="1" applyProtection="1">
      <alignment vertical="center"/>
    </xf>
    <xf numFmtId="188" fontId="37" fillId="7" borderId="50" xfId="14" applyNumberFormat="1" applyFont="1" applyFill="1" applyBorder="1" applyAlignment="1" applyProtection="1">
      <alignment vertical="center"/>
    </xf>
    <xf numFmtId="2" fontId="33" fillId="3" borderId="19" xfId="0" applyNumberFormat="1" applyFont="1" applyFill="1" applyBorder="1" applyAlignment="1" applyProtection="1">
      <alignment horizontal="right" vertical="center"/>
      <protection locked="0"/>
    </xf>
    <xf numFmtId="185" fontId="33" fillId="3" borderId="40" xfId="0" applyNumberFormat="1" applyFont="1" applyFill="1" applyBorder="1" applyAlignment="1" applyProtection="1">
      <alignment horizontal="right" vertical="center"/>
      <protection locked="0"/>
    </xf>
    <xf numFmtId="2" fontId="33" fillId="3" borderId="20" xfId="0" applyNumberFormat="1" applyFont="1" applyFill="1" applyBorder="1" applyAlignment="1" applyProtection="1">
      <alignment horizontal="right" vertical="center"/>
      <protection locked="0"/>
    </xf>
    <xf numFmtId="173" fontId="35" fillId="7" borderId="2" xfId="14" applyNumberFormat="1" applyFont="1" applyFill="1" applyBorder="1" applyAlignment="1" applyProtection="1">
      <alignment horizontal="center" vertical="center"/>
      <protection locked="0"/>
    </xf>
    <xf numFmtId="173" fontId="35" fillId="7" borderId="15" xfId="14" applyNumberFormat="1" applyFont="1" applyFill="1" applyBorder="1" applyAlignment="1" applyProtection="1">
      <alignment horizontal="center" vertical="center"/>
      <protection locked="0"/>
    </xf>
    <xf numFmtId="173" fontId="35" fillId="7" borderId="16" xfId="14" applyNumberFormat="1" applyFont="1" applyFill="1" applyBorder="1" applyAlignment="1" applyProtection="1">
      <alignment horizontal="center" vertical="center"/>
      <protection locked="0"/>
    </xf>
    <xf numFmtId="191" fontId="33" fillId="3" borderId="57" xfId="0" applyNumberFormat="1" applyFont="1" applyFill="1" applyBorder="1" applyAlignment="1" applyProtection="1">
      <alignment horizontal="right" vertical="center"/>
      <protection locked="0"/>
    </xf>
    <xf numFmtId="181" fontId="33" fillId="7" borderId="0" xfId="0" applyNumberFormat="1" applyFont="1" applyFill="1" applyBorder="1" applyAlignment="1" applyProtection="1">
      <alignment horizontal="right" vertical="center"/>
    </xf>
    <xf numFmtId="170" fontId="36" fillId="7" borderId="32" xfId="0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" fontId="26" fillId="0" borderId="0" xfId="0" applyNumberFormat="1" applyFont="1" applyAlignment="1">
      <alignment vertical="center"/>
    </xf>
    <xf numFmtId="0" fontId="26" fillId="0" borderId="8" xfId="0" applyFont="1" applyBorder="1" applyAlignment="1">
      <alignment vertical="center" wrapText="1"/>
    </xf>
    <xf numFmtId="0" fontId="40" fillId="0" borderId="2" xfId="0" applyFont="1" applyBorder="1" applyAlignment="1">
      <alignment vertical="center"/>
    </xf>
    <xf numFmtId="0" fontId="51" fillId="0" borderId="0" xfId="0" applyFont="1"/>
    <xf numFmtId="169" fontId="0" fillId="0" borderId="8" xfId="0" applyNumberFormat="1" applyBorder="1"/>
    <xf numFmtId="169" fontId="0" fillId="0" borderId="14" xfId="0" applyNumberFormat="1" applyBorder="1"/>
    <xf numFmtId="169" fontId="0" fillId="0" borderId="2" xfId="0" applyNumberFormat="1" applyBorder="1" applyAlignment="1">
      <alignment horizontal="left"/>
    </xf>
    <xf numFmtId="0" fontId="33" fillId="0" borderId="0" xfId="0" applyFont="1" applyBorder="1" applyAlignment="1">
      <alignment horizontal="right" vertical="top"/>
    </xf>
    <xf numFmtId="201" fontId="33" fillId="0" borderId="0" xfId="17" applyNumberFormat="1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51" fillId="0" borderId="0" xfId="0" applyFont="1" applyAlignment="1">
      <alignment horizontal="centerContinuous" vertical="center"/>
    </xf>
    <xf numFmtId="0" fontId="39" fillId="0" borderId="0" xfId="0" applyFont="1" applyBorder="1" applyAlignment="1">
      <alignment horizontal="right" vertical="top"/>
    </xf>
    <xf numFmtId="0" fontId="51" fillId="0" borderId="0" xfId="0" applyFont="1" applyBorder="1" applyAlignment="1">
      <alignment vertical="center"/>
    </xf>
    <xf numFmtId="0" fontId="39" fillId="0" borderId="0" xfId="0" applyFont="1" applyAlignment="1">
      <alignment horizontal="right" vertical="center"/>
    </xf>
    <xf numFmtId="0" fontId="51" fillId="0" borderId="0" xfId="0" applyFont="1" applyAlignment="1">
      <alignment vertical="center"/>
    </xf>
    <xf numFmtId="0" fontId="26" fillId="0" borderId="0" xfId="0" applyFont="1"/>
    <xf numFmtId="0" fontId="0" fillId="7" borderId="2" xfId="0" applyFill="1" applyBorder="1"/>
    <xf numFmtId="0" fontId="0" fillId="7" borderId="5" xfId="0" applyFill="1" applyBorder="1" applyAlignment="1">
      <alignment horizontal="centerContinuous" vertical="center" wrapText="1"/>
    </xf>
    <xf numFmtId="0" fontId="0" fillId="7" borderId="26" xfId="0" applyFill="1" applyBorder="1" applyAlignment="1">
      <alignment horizontal="centerContinuous" vertical="center" wrapText="1"/>
    </xf>
    <xf numFmtId="0" fontId="0" fillId="7" borderId="6" xfId="0" applyFill="1" applyBorder="1" applyAlignment="1">
      <alignment horizontal="centerContinuous" vertical="center" wrapText="1"/>
    </xf>
    <xf numFmtId="0" fontId="24" fillId="7" borderId="0" xfId="0" applyFont="1" applyFill="1" applyBorder="1" applyAlignment="1" applyProtection="1">
      <alignment horizontal="centerContinuous" vertical="top"/>
    </xf>
    <xf numFmtId="17" fontId="78" fillId="7" borderId="0" xfId="0" applyNumberFormat="1" applyFont="1" applyFill="1" applyBorder="1" applyAlignment="1" applyProtection="1">
      <alignment horizontal="centerContinuous" vertical="top"/>
    </xf>
    <xf numFmtId="0" fontId="59" fillId="7" borderId="0" xfId="0" applyFont="1" applyFill="1" applyBorder="1" applyAlignment="1" applyProtection="1">
      <alignment vertical="top"/>
    </xf>
    <xf numFmtId="49" fontId="41" fillId="7" borderId="0" xfId="0" applyNumberFormat="1" applyFont="1" applyFill="1" applyBorder="1" applyAlignment="1" applyProtection="1">
      <alignment horizontal="centerContinuous" vertical="top"/>
    </xf>
    <xf numFmtId="0" fontId="59" fillId="0" borderId="0" xfId="0" applyFont="1" applyAlignment="1">
      <alignment vertical="top"/>
    </xf>
    <xf numFmtId="0" fontId="26" fillId="7" borderId="0" xfId="0" applyFont="1" applyFill="1" applyBorder="1" applyAlignment="1" applyProtection="1">
      <alignment horizontal="centerContinuous" vertical="top"/>
    </xf>
    <xf numFmtId="0" fontId="82" fillId="7" borderId="0" xfId="0" applyFont="1" applyFill="1" applyBorder="1" applyAlignment="1" applyProtection="1">
      <alignment horizontal="centerContinuous" vertical="top"/>
    </xf>
    <xf numFmtId="176" fontId="26" fillId="3" borderId="58" xfId="0" applyNumberFormat="1" applyFont="1" applyFill="1" applyBorder="1" applyAlignment="1" applyProtection="1">
      <alignment vertical="center"/>
      <protection locked="0"/>
    </xf>
    <xf numFmtId="176" fontId="26" fillId="3" borderId="46" xfId="0" applyNumberFormat="1" applyFont="1" applyFill="1" applyBorder="1" applyAlignment="1" applyProtection="1">
      <alignment vertical="center"/>
      <protection locked="0"/>
    </xf>
    <xf numFmtId="176" fontId="26" fillId="3" borderId="16" xfId="0" applyNumberFormat="1" applyFont="1" applyFill="1" applyBorder="1" applyAlignment="1" applyProtection="1">
      <alignment vertical="center"/>
      <protection locked="0"/>
    </xf>
    <xf numFmtId="0" fontId="26" fillId="7" borderId="0" xfId="0" applyFont="1" applyFill="1" applyBorder="1" applyAlignment="1" applyProtection="1">
      <alignment vertical="center"/>
    </xf>
    <xf numFmtId="0" fontId="24" fillId="0" borderId="11" xfId="0" applyFont="1" applyBorder="1" applyAlignment="1" applyProtection="1">
      <alignment horizontal="centerContinuous" vertical="center"/>
    </xf>
    <xf numFmtId="0" fontId="24" fillId="0" borderId="25" xfId="0" applyFont="1" applyBorder="1" applyAlignment="1" applyProtection="1">
      <alignment horizontal="centerContinuous" vertical="center"/>
    </xf>
    <xf numFmtId="0" fontId="35" fillId="0" borderId="11" xfId="0" applyFont="1" applyBorder="1" applyAlignment="1" applyProtection="1">
      <alignment horizontal="centerContinuous" vertical="center"/>
    </xf>
    <xf numFmtId="0" fontId="33" fillId="7" borderId="2" xfId="17" applyFont="1" applyFill="1" applyBorder="1" applyAlignment="1" applyProtection="1">
      <alignment vertical="center"/>
    </xf>
    <xf numFmtId="0" fontId="24" fillId="0" borderId="1" xfId="0" applyFont="1" applyBorder="1" applyAlignment="1">
      <alignment horizontal="center" vertical="center"/>
    </xf>
    <xf numFmtId="176" fontId="26" fillId="7" borderId="0" xfId="0" applyNumberFormat="1" applyFont="1" applyFill="1" applyBorder="1" applyAlignment="1" applyProtection="1">
      <alignment vertical="center"/>
      <protection locked="0"/>
    </xf>
    <xf numFmtId="176" fontId="26" fillId="7" borderId="0" xfId="0" applyNumberFormat="1" applyFont="1" applyFill="1" applyBorder="1" applyAlignment="1">
      <alignment vertical="center"/>
    </xf>
    <xf numFmtId="2" fontId="33" fillId="7" borderId="42" xfId="0" applyNumberFormat="1" applyFont="1" applyFill="1" applyBorder="1" applyAlignment="1" applyProtection="1">
      <alignment horizontal="right" vertical="center"/>
    </xf>
    <xf numFmtId="0" fontId="0" fillId="7" borderId="27" xfId="0" applyFill="1" applyBorder="1" applyAlignment="1" applyProtection="1">
      <alignment vertical="center"/>
    </xf>
    <xf numFmtId="170" fontId="33" fillId="7" borderId="41" xfId="0" applyNumberFormat="1" applyFont="1" applyFill="1" applyBorder="1" applyAlignment="1" applyProtection="1">
      <alignment horizontal="right" vertical="center"/>
    </xf>
    <xf numFmtId="170" fontId="33" fillId="7" borderId="4" xfId="0" applyNumberFormat="1" applyFont="1" applyFill="1" applyBorder="1" applyAlignment="1" applyProtection="1">
      <alignment horizontal="right" vertical="center"/>
    </xf>
    <xf numFmtId="170" fontId="33" fillId="7" borderId="42" xfId="0" applyNumberFormat="1" applyFont="1" applyFill="1" applyBorder="1" applyAlignment="1" applyProtection="1">
      <alignment horizontal="right" vertical="center"/>
    </xf>
    <xf numFmtId="170" fontId="33" fillId="7" borderId="30" xfId="0" applyNumberFormat="1" applyFont="1" applyFill="1" applyBorder="1" applyAlignment="1" applyProtection="1">
      <alignment horizontal="right" vertical="center"/>
    </xf>
    <xf numFmtId="170" fontId="33" fillId="7" borderId="59" xfId="0" applyNumberFormat="1" applyFont="1" applyFill="1" applyBorder="1" applyAlignment="1" applyProtection="1">
      <alignment horizontal="right" vertical="center"/>
    </xf>
    <xf numFmtId="0" fontId="33" fillId="8" borderId="11" xfId="0" applyFont="1" applyFill="1" applyBorder="1" applyAlignment="1" applyProtection="1">
      <alignment horizontal="right" vertical="center"/>
      <protection locked="0"/>
    </xf>
    <xf numFmtId="170" fontId="73" fillId="3" borderId="16" xfId="0" applyNumberFormat="1" applyFont="1" applyFill="1" applyBorder="1" applyAlignment="1" applyProtection="1">
      <alignment horizontal="right" vertical="center"/>
      <protection locked="0"/>
    </xf>
    <xf numFmtId="0" fontId="33" fillId="7" borderId="27" xfId="17" applyFont="1" applyFill="1" applyBorder="1" applyAlignment="1" applyProtection="1">
      <alignment vertical="center"/>
    </xf>
    <xf numFmtId="0" fontId="33" fillId="8" borderId="0" xfId="17" applyFont="1" applyFill="1" applyBorder="1" applyAlignment="1" applyProtection="1">
      <alignment vertical="center"/>
      <protection locked="0"/>
    </xf>
    <xf numFmtId="0" fontId="33" fillId="0" borderId="25" xfId="0" applyFont="1" applyBorder="1" applyAlignment="1" applyProtection="1">
      <alignment vertical="center"/>
    </xf>
    <xf numFmtId="0" fontId="39" fillId="0" borderId="0" xfId="0" applyFont="1"/>
    <xf numFmtId="0" fontId="24" fillId="0" borderId="0" xfId="0" applyFont="1"/>
    <xf numFmtId="0" fontId="44" fillId="0" borderId="0" xfId="0" applyFont="1"/>
    <xf numFmtId="0" fontId="0" fillId="0" borderId="0" xfId="0" applyAlignment="1" applyProtection="1">
      <alignment horizontal="centerContinuous" vertical="center"/>
    </xf>
    <xf numFmtId="0" fontId="41" fillId="0" borderId="0" xfId="0" applyFont="1" applyBorder="1" applyAlignment="1" applyProtection="1">
      <alignment vertical="top"/>
    </xf>
    <xf numFmtId="0" fontId="33" fillId="0" borderId="0" xfId="0" applyFont="1" applyAlignment="1" applyProtection="1">
      <alignment horizontal="right" vertical="center"/>
    </xf>
    <xf numFmtId="0" fontId="40" fillId="0" borderId="0" xfId="0" applyFont="1" applyBorder="1" applyAlignment="1" applyProtection="1">
      <alignment horizontal="left" vertical="top"/>
    </xf>
    <xf numFmtId="0" fontId="30" fillId="0" borderId="0" xfId="0" applyFont="1" applyAlignment="1" applyProtection="1">
      <alignment horizontal="right" vertical="top"/>
    </xf>
    <xf numFmtId="0" fontId="33" fillId="0" borderId="0" xfId="0" applyFont="1" applyAlignment="1" applyProtection="1">
      <alignment horizontal="left" vertical="center"/>
    </xf>
    <xf numFmtId="0" fontId="20" fillId="0" borderId="0" xfId="0" applyFont="1" applyBorder="1" applyAlignment="1" applyProtection="1">
      <alignment horizontal="left" vertical="center"/>
    </xf>
    <xf numFmtId="0" fontId="27" fillId="0" borderId="0" xfId="0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20" fillId="0" borderId="0" xfId="0" applyFont="1" applyBorder="1" applyAlignment="1" applyProtection="1">
      <alignment horizontal="left" vertical="top"/>
    </xf>
    <xf numFmtId="0" fontId="28" fillId="0" borderId="0" xfId="0" applyFont="1" applyAlignment="1" applyProtection="1">
      <alignment horizontal="right" vertical="center"/>
    </xf>
    <xf numFmtId="0" fontId="42" fillId="0" borderId="0" xfId="0" applyFont="1" applyAlignment="1" applyProtection="1">
      <alignment vertical="center"/>
    </xf>
    <xf numFmtId="0" fontId="35" fillId="0" borderId="7" xfId="0" applyFont="1" applyBorder="1" applyAlignment="1" applyProtection="1">
      <alignment vertical="center"/>
    </xf>
    <xf numFmtId="0" fontId="24" fillId="0" borderId="8" xfId="0" applyFont="1" applyBorder="1" applyAlignment="1" applyProtection="1">
      <alignment vertical="center"/>
    </xf>
    <xf numFmtId="0" fontId="33" fillId="0" borderId="17" xfId="0" applyFont="1" applyFill="1" applyBorder="1" applyAlignment="1" applyProtection="1">
      <alignment horizontal="center" vertical="center"/>
    </xf>
    <xf numFmtId="0" fontId="33" fillId="0" borderId="17" xfId="0" applyFont="1" applyFill="1" applyBorder="1" applyAlignment="1" applyProtection="1">
      <alignment horizontal="centerContinuous" vertical="center"/>
    </xf>
    <xf numFmtId="0" fontId="33" fillId="0" borderId="8" xfId="0" applyFont="1" applyFill="1" applyBorder="1" applyAlignment="1" applyProtection="1">
      <alignment horizontal="centerContinuous" vertical="center"/>
    </xf>
    <xf numFmtId="0" fontId="36" fillId="0" borderId="8" xfId="0" applyFont="1" applyFill="1" applyBorder="1" applyAlignment="1" applyProtection="1">
      <alignment horizontal="centerContinuous" vertical="center"/>
    </xf>
    <xf numFmtId="0" fontId="36" fillId="0" borderId="14" xfId="0" applyFont="1" applyFill="1" applyBorder="1" applyAlignment="1" applyProtection="1">
      <alignment horizontal="centerContinuous" vertical="center"/>
    </xf>
    <xf numFmtId="0" fontId="33" fillId="0" borderId="10" xfId="0" applyFont="1" applyFill="1" applyBorder="1" applyAlignment="1" applyProtection="1">
      <alignment horizontal="center" vertical="center"/>
    </xf>
    <xf numFmtId="0" fontId="35" fillId="0" borderId="5" xfId="0" applyFont="1" applyBorder="1" applyAlignment="1" applyProtection="1">
      <alignment vertical="center"/>
    </xf>
    <xf numFmtId="0" fontId="33" fillId="0" borderId="19" xfId="0" applyFont="1" applyFill="1" applyBorder="1" applyAlignment="1" applyProtection="1">
      <alignment horizontal="center" vertical="center"/>
    </xf>
    <xf numFmtId="0" fontId="44" fillId="0" borderId="19" xfId="0" applyFont="1" applyFill="1" applyBorder="1" applyAlignment="1" applyProtection="1">
      <alignment horizontal="center" vertical="center"/>
    </xf>
    <xf numFmtId="0" fontId="36" fillId="0" borderId="33" xfId="0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19" xfId="0" applyFont="1" applyFill="1" applyBorder="1" applyAlignment="1" applyProtection="1">
      <alignment horizontal="center" vertical="center"/>
    </xf>
    <xf numFmtId="0" fontId="36" fillId="0" borderId="20" xfId="0" applyFont="1" applyFill="1" applyBorder="1" applyAlignment="1" applyProtection="1">
      <alignment horizontal="center" vertical="center"/>
    </xf>
    <xf numFmtId="0" fontId="33" fillId="0" borderId="9" xfId="0" applyFont="1" applyFill="1" applyBorder="1" applyAlignment="1" applyProtection="1">
      <alignment horizontal="center" vertical="center"/>
    </xf>
    <xf numFmtId="0" fontId="35" fillId="0" borderId="22" xfId="0" applyFont="1" applyBorder="1" applyAlignment="1" applyProtection="1">
      <alignment vertical="center"/>
    </xf>
    <xf numFmtId="0" fontId="33" fillId="0" borderId="24" xfId="0" applyFont="1" applyFill="1" applyBorder="1" applyAlignment="1" applyProtection="1">
      <alignment horizontal="center" vertical="center"/>
    </xf>
    <xf numFmtId="0" fontId="36" fillId="0" borderId="44" xfId="0" applyFont="1" applyFill="1" applyBorder="1" applyAlignment="1" applyProtection="1">
      <alignment horizontal="center" vertical="center"/>
    </xf>
    <xf numFmtId="0" fontId="36" fillId="0" borderId="23" xfId="0" applyFont="1" applyFill="1" applyBorder="1" applyAlignment="1" applyProtection="1">
      <alignment horizontal="center" vertical="center"/>
    </xf>
    <xf numFmtId="0" fontId="36" fillId="0" borderId="24" xfId="0" applyFont="1" applyFill="1" applyBorder="1" applyAlignment="1" applyProtection="1">
      <alignment horizontal="center" vertical="center"/>
    </xf>
    <xf numFmtId="0" fontId="36" fillId="0" borderId="43" xfId="0" applyFont="1" applyFill="1" applyBorder="1" applyAlignment="1" applyProtection="1">
      <alignment horizontal="center" vertical="center"/>
    </xf>
    <xf numFmtId="177" fontId="33" fillId="0" borderId="33" xfId="0" applyNumberFormat="1" applyFont="1" applyBorder="1" applyAlignment="1" applyProtection="1">
      <alignment horizontal="right" vertical="center"/>
    </xf>
    <xf numFmtId="177" fontId="33" fillId="0" borderId="0" xfId="0" applyNumberFormat="1" applyFont="1" applyBorder="1" applyAlignment="1" applyProtection="1">
      <alignment horizontal="right" vertical="center"/>
    </xf>
    <xf numFmtId="177" fontId="33" fillId="0" borderId="19" xfId="0" applyNumberFormat="1" applyFont="1" applyBorder="1" applyAlignment="1" applyProtection="1">
      <alignment horizontal="right" vertical="center"/>
    </xf>
    <xf numFmtId="177" fontId="33" fillId="0" borderId="20" xfId="0" applyNumberFormat="1" applyFont="1" applyBorder="1" applyAlignment="1" applyProtection="1">
      <alignment horizontal="right" vertical="center"/>
    </xf>
    <xf numFmtId="177" fontId="33" fillId="0" borderId="34" xfId="0" applyNumberFormat="1" applyFont="1" applyBorder="1" applyAlignment="1" applyProtection="1">
      <alignment horizontal="right" vertical="center"/>
    </xf>
    <xf numFmtId="177" fontId="33" fillId="0" borderId="2" xfId="0" applyNumberFormat="1" applyFont="1" applyBorder="1" applyAlignment="1" applyProtection="1">
      <alignment horizontal="right" vertical="center"/>
    </xf>
    <xf numFmtId="177" fontId="33" fillId="0" borderId="15" xfId="0" applyNumberFormat="1" applyFont="1" applyBorder="1" applyAlignment="1" applyProtection="1">
      <alignment horizontal="right" vertical="center"/>
    </xf>
    <xf numFmtId="177" fontId="33" fillId="0" borderId="21" xfId="0" applyNumberFormat="1" applyFont="1" applyBorder="1" applyAlignment="1" applyProtection="1">
      <alignment horizontal="right" vertical="center"/>
    </xf>
    <xf numFmtId="177" fontId="33" fillId="0" borderId="16" xfId="0" applyNumberFormat="1" applyFont="1" applyBorder="1" applyAlignment="1" applyProtection="1">
      <alignment horizontal="right" vertical="center"/>
    </xf>
    <xf numFmtId="0" fontId="0" fillId="0" borderId="6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170" fontId="19" fillId="0" borderId="21" xfId="0" applyNumberFormat="1" applyFont="1" applyBorder="1" applyAlignment="1" applyProtection="1">
      <alignment vertical="center"/>
    </xf>
    <xf numFmtId="170" fontId="51" fillId="0" borderId="2" xfId="0" applyNumberFormat="1" applyFont="1" applyBorder="1" applyAlignment="1" applyProtection="1">
      <alignment vertical="center"/>
    </xf>
    <xf numFmtId="177" fontId="36" fillId="7" borderId="15" xfId="0" applyNumberFormat="1" applyFont="1" applyFill="1" applyBorder="1" applyAlignment="1" applyProtection="1">
      <alignment horizontal="right" vertical="center"/>
    </xf>
    <xf numFmtId="177" fontId="36" fillId="7" borderId="13" xfId="0" applyNumberFormat="1" applyFont="1" applyFill="1" applyBorder="1" applyAlignment="1" applyProtection="1">
      <alignment horizontal="right" vertical="center"/>
    </xf>
    <xf numFmtId="177" fontId="36" fillId="7" borderId="16" xfId="0" applyNumberFormat="1" applyFont="1" applyFill="1" applyBorder="1" applyAlignment="1" applyProtection="1">
      <alignment horizontal="right" vertical="center"/>
    </xf>
    <xf numFmtId="0" fontId="33" fillId="7" borderId="17" xfId="0" applyFont="1" applyFill="1" applyBorder="1" applyAlignment="1" applyProtection="1">
      <alignment horizontal="center" vertical="center" wrapText="1"/>
    </xf>
    <xf numFmtId="0" fontId="33" fillId="7" borderId="17" xfId="0" applyFont="1" applyFill="1" applyBorder="1" applyAlignment="1" applyProtection="1">
      <alignment horizontal="center" vertical="center"/>
    </xf>
    <xf numFmtId="0" fontId="33" fillId="7" borderId="19" xfId="0" applyFont="1" applyFill="1" applyBorder="1" applyAlignment="1" applyProtection="1">
      <alignment horizontal="center" vertical="center"/>
    </xf>
    <xf numFmtId="0" fontId="33" fillId="7" borderId="24" xfId="0" applyFont="1" applyFill="1" applyBorder="1" applyAlignment="1" applyProtection="1">
      <alignment horizontal="center" vertical="center"/>
    </xf>
    <xf numFmtId="177" fontId="36" fillId="0" borderId="15" xfId="0" applyNumberFormat="1" applyFont="1" applyBorder="1" applyAlignment="1" applyProtection="1">
      <alignment horizontal="right" vertical="center"/>
    </xf>
    <xf numFmtId="177" fontId="36" fillId="0" borderId="16" xfId="0" applyNumberFormat="1" applyFont="1" applyBorder="1" applyAlignment="1" applyProtection="1">
      <alignment horizontal="right" vertical="center"/>
    </xf>
    <xf numFmtId="185" fontId="33" fillId="7" borderId="15" xfId="0" applyNumberFormat="1" applyFont="1" applyFill="1" applyBorder="1" applyAlignment="1" applyProtection="1">
      <alignment horizontal="right" vertical="center"/>
    </xf>
    <xf numFmtId="191" fontId="33" fillId="8" borderId="15" xfId="0" applyNumberFormat="1" applyFont="1" applyFill="1" applyBorder="1" applyAlignment="1" applyProtection="1">
      <alignment horizontal="right" vertical="center"/>
      <protection locked="0"/>
    </xf>
    <xf numFmtId="171" fontId="33" fillId="7" borderId="15" xfId="0" applyNumberFormat="1" applyFont="1" applyFill="1" applyBorder="1" applyAlignment="1" applyProtection="1">
      <alignment horizontal="right" vertical="center"/>
    </xf>
    <xf numFmtId="177" fontId="33" fillId="7" borderId="16" xfId="0" applyNumberFormat="1" applyFont="1" applyFill="1" applyBorder="1" applyAlignment="1">
      <alignment horizontal="right" vertical="center"/>
    </xf>
    <xf numFmtId="185" fontId="33" fillId="3" borderId="15" xfId="0" applyNumberFormat="1" applyFont="1" applyFill="1" applyBorder="1" applyAlignment="1" applyProtection="1">
      <alignment horizontal="right" vertical="center"/>
      <protection locked="0"/>
    </xf>
    <xf numFmtId="175" fontId="33" fillId="0" borderId="16" xfId="0" applyNumberFormat="1" applyFont="1" applyBorder="1" applyAlignment="1">
      <alignment horizontal="right" vertical="center"/>
    </xf>
    <xf numFmtId="166" fontId="33" fillId="8" borderId="23" xfId="0" applyNumberFormat="1" applyFont="1" applyFill="1" applyBorder="1" applyAlignment="1" applyProtection="1">
      <alignment horizontal="right" vertical="center"/>
      <protection locked="0"/>
    </xf>
    <xf numFmtId="0" fontId="46" fillId="0" borderId="0" xfId="0" applyFont="1" applyBorder="1" applyAlignment="1" applyProtection="1">
      <alignment vertical="top"/>
    </xf>
    <xf numFmtId="14" fontId="26" fillId="0" borderId="0" xfId="0" applyNumberFormat="1" applyFont="1" applyAlignment="1" applyProtection="1">
      <alignment horizontal="centerContinuous"/>
    </xf>
    <xf numFmtId="0" fontId="0" fillId="0" borderId="0" xfId="0" applyAlignment="1" applyProtection="1">
      <alignment horizontal="centerContinuous"/>
    </xf>
    <xf numFmtId="0" fontId="69" fillId="0" borderId="0" xfId="0" applyFont="1" applyAlignment="1" applyProtection="1">
      <alignment horizontal="left" vertical="center"/>
    </xf>
    <xf numFmtId="0" fontId="24" fillId="0" borderId="47" xfId="0" applyFont="1" applyBorder="1" applyAlignment="1" applyProtection="1">
      <alignment horizontal="left" vertical="center"/>
    </xf>
    <xf numFmtId="0" fontId="39" fillId="0" borderId="48" xfId="0" applyFont="1" applyBorder="1" applyAlignment="1" applyProtection="1">
      <alignment horizontal="left" vertical="center"/>
    </xf>
    <xf numFmtId="0" fontId="31" fillId="0" borderId="48" xfId="0" applyFont="1" applyBorder="1" applyAlignment="1" applyProtection="1">
      <alignment horizontal="center" vertical="center"/>
    </xf>
    <xf numFmtId="0" fontId="31" fillId="0" borderId="48" xfId="0" applyFont="1" applyBorder="1" applyAlignment="1" applyProtection="1">
      <alignment horizontal="centerContinuous" vertical="center"/>
    </xf>
    <xf numFmtId="0" fontId="24" fillId="7" borderId="51" xfId="0" applyFont="1" applyFill="1" applyBorder="1" applyAlignment="1" applyProtection="1">
      <alignment horizontal="centerContinuous" vertical="center"/>
    </xf>
    <xf numFmtId="0" fontId="0" fillId="7" borderId="48" xfId="0" applyFill="1" applyBorder="1" applyAlignment="1" applyProtection="1">
      <alignment horizontal="centerContinuous"/>
    </xf>
    <xf numFmtId="0" fontId="26" fillId="0" borderId="60" xfId="0" applyFont="1" applyBorder="1" applyAlignment="1" applyProtection="1">
      <alignment horizontal="centerContinuous" vertical="center"/>
    </xf>
    <xf numFmtId="0" fontId="26" fillId="0" borderId="5" xfId="0" applyFont="1" applyBorder="1" applyAlignment="1" applyProtection="1">
      <alignment vertical="center"/>
    </xf>
    <xf numFmtId="0" fontId="26" fillId="0" borderId="0" xfId="0" applyFont="1" applyBorder="1" applyAlignment="1" applyProtection="1">
      <alignment horizontal="left" vertical="center"/>
    </xf>
    <xf numFmtId="0" fontId="33" fillId="0" borderId="0" xfId="0" applyFont="1" applyBorder="1" applyAlignment="1" applyProtection="1">
      <alignment horizontal="center" vertical="center"/>
    </xf>
    <xf numFmtId="0" fontId="33" fillId="0" borderId="19" xfId="0" applyFont="1" applyBorder="1" applyAlignment="1" applyProtection="1">
      <alignment horizontal="centerContinuous" vertical="center"/>
    </xf>
    <xf numFmtId="0" fontId="33" fillId="7" borderId="0" xfId="0" applyFont="1" applyFill="1" applyBorder="1" applyAlignment="1" applyProtection="1">
      <alignment horizontal="centerContinuous" vertical="center"/>
    </xf>
    <xf numFmtId="0" fontId="33" fillId="0" borderId="56" xfId="0" applyFont="1" applyBorder="1" applyAlignment="1" applyProtection="1">
      <alignment horizontal="center" vertical="center"/>
    </xf>
    <xf numFmtId="0" fontId="30" fillId="0" borderId="56" xfId="0" applyFont="1" applyBorder="1" applyAlignment="1" applyProtection="1">
      <alignment horizontal="center" vertical="center"/>
    </xf>
    <xf numFmtId="0" fontId="0" fillId="0" borderId="2" xfId="0" applyBorder="1" applyProtection="1"/>
    <xf numFmtId="0" fontId="0" fillId="7" borderId="0" xfId="0" applyFill="1" applyBorder="1" applyProtection="1"/>
    <xf numFmtId="0" fontId="0" fillId="0" borderId="5" xfId="0" applyBorder="1" applyProtection="1"/>
    <xf numFmtId="0" fontId="0" fillId="0" borderId="0" xfId="0" applyBorder="1" applyAlignment="1" applyProtection="1">
      <alignment horizontal="center"/>
    </xf>
    <xf numFmtId="0" fontId="0" fillId="0" borderId="6" xfId="0" applyBorder="1" applyProtection="1"/>
    <xf numFmtId="0" fontId="33" fillId="0" borderId="61" xfId="0" applyFont="1" applyBorder="1" applyAlignment="1" applyProtection="1">
      <alignment vertical="center"/>
    </xf>
    <xf numFmtId="0" fontId="44" fillId="0" borderId="7" xfId="0" applyFont="1" applyBorder="1" applyAlignment="1" applyProtection="1">
      <alignment horizontal="centerContinuous" wrapText="1"/>
    </xf>
    <xf numFmtId="0" fontId="0" fillId="0" borderId="14" xfId="0" applyBorder="1" applyAlignment="1" applyProtection="1">
      <alignment horizontal="centerContinuous"/>
    </xf>
    <xf numFmtId="0" fontId="0" fillId="0" borderId="5" xfId="0" applyBorder="1" applyAlignment="1" applyProtection="1">
      <alignment horizontal="centerContinuous" vertical="center" wrapText="1"/>
    </xf>
    <xf numFmtId="0" fontId="0" fillId="0" borderId="11" xfId="0" applyBorder="1" applyAlignment="1" applyProtection="1">
      <alignment horizontal="centerContinuous" vertical="center" wrapText="1"/>
    </xf>
    <xf numFmtId="173" fontId="24" fillId="0" borderId="14" xfId="14" applyNumberFormat="1" applyFont="1" applyBorder="1" applyAlignment="1" applyProtection="1">
      <alignment horizontal="centerContinuous" vertical="center"/>
    </xf>
    <xf numFmtId="0" fontId="38" fillId="0" borderId="0" xfId="0" applyFont="1" applyBorder="1" applyAlignment="1" applyProtection="1">
      <alignment horizontal="centerContinuous" vertical="center"/>
    </xf>
    <xf numFmtId="0" fontId="39" fillId="0" borderId="7" xfId="0" applyFont="1" applyBorder="1" applyAlignment="1" applyProtection="1">
      <alignment vertical="center"/>
    </xf>
    <xf numFmtId="0" fontId="26" fillId="0" borderId="8" xfId="0" applyFont="1" applyBorder="1" applyAlignment="1" applyProtection="1">
      <alignment horizontal="left" vertical="center"/>
    </xf>
    <xf numFmtId="173" fontId="24" fillId="0" borderId="8" xfId="14" applyNumberFormat="1" applyFont="1" applyBorder="1" applyAlignment="1" applyProtection="1">
      <alignment horizontal="center" vertical="center"/>
    </xf>
    <xf numFmtId="173" fontId="24" fillId="0" borderId="17" xfId="14" applyNumberFormat="1" applyFont="1" applyBorder="1" applyAlignment="1" applyProtection="1">
      <alignment horizontal="center" vertical="center"/>
    </xf>
    <xf numFmtId="173" fontId="24" fillId="0" borderId="18" xfId="14" applyNumberFormat="1" applyFont="1" applyBorder="1" applyAlignment="1" applyProtection="1">
      <alignment horizontal="center" vertical="center"/>
    </xf>
    <xf numFmtId="0" fontId="26" fillId="0" borderId="47" xfId="0" applyFont="1" applyBorder="1" applyAlignment="1" applyProtection="1">
      <alignment vertical="center"/>
    </xf>
    <xf numFmtId="0" fontId="0" fillId="0" borderId="52" xfId="0" applyBorder="1" applyAlignment="1" applyProtection="1">
      <alignment vertical="center"/>
    </xf>
    <xf numFmtId="173" fontId="24" fillId="0" borderId="52" xfId="14" applyNumberFormat="1" applyFon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Continuous" vertical="center" wrapText="1"/>
    </xf>
    <xf numFmtId="0" fontId="38" fillId="0" borderId="2" xfId="0" applyFont="1" applyBorder="1" applyAlignment="1" applyProtection="1">
      <alignment horizontal="centerContinuous" vertical="center"/>
    </xf>
    <xf numFmtId="0" fontId="39" fillId="0" borderId="6" xfId="0" applyFont="1" applyBorder="1" applyAlignment="1" applyProtection="1">
      <alignment vertical="center"/>
    </xf>
    <xf numFmtId="0" fontId="24" fillId="0" borderId="2" xfId="0" applyFont="1" applyBorder="1" applyAlignment="1" applyProtection="1">
      <alignment vertical="center"/>
    </xf>
    <xf numFmtId="0" fontId="26" fillId="0" borderId="2" xfId="0" applyFont="1" applyBorder="1" applyAlignment="1" applyProtection="1">
      <alignment horizontal="left" vertical="center"/>
    </xf>
    <xf numFmtId="173" fontId="35" fillId="3" borderId="2" xfId="14" applyNumberFormat="1" applyFont="1" applyFill="1" applyBorder="1" applyAlignment="1" applyProtection="1">
      <alignment horizontal="center" vertical="center"/>
    </xf>
    <xf numFmtId="173" fontId="35" fillId="3" borderId="15" xfId="14" applyNumberFormat="1" applyFont="1" applyFill="1" applyBorder="1" applyAlignment="1" applyProtection="1">
      <alignment horizontal="center" vertical="center"/>
    </xf>
    <xf numFmtId="173" fontId="35" fillId="3" borderId="16" xfId="14" applyNumberFormat="1" applyFont="1" applyFill="1" applyBorder="1" applyAlignment="1" applyProtection="1">
      <alignment horizontal="center" vertical="center"/>
    </xf>
    <xf numFmtId="0" fontId="26" fillId="0" borderId="22" xfId="0" applyFont="1" applyBorder="1" applyAlignment="1" applyProtection="1">
      <alignment vertical="center"/>
    </xf>
    <xf numFmtId="0" fontId="0" fillId="0" borderId="0" xfId="0" applyBorder="1" applyAlignment="1" applyProtection="1">
      <alignment horizontal="centerContinuous" vertical="center" wrapText="1"/>
    </xf>
    <xf numFmtId="0" fontId="0" fillId="7" borderId="0" xfId="0" applyFill="1" applyAlignment="1" applyProtection="1">
      <alignment horizontal="right"/>
    </xf>
    <xf numFmtId="0" fontId="39" fillId="0" borderId="5" xfId="0" applyFont="1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33" fillId="0" borderId="0" xfId="0" applyFont="1" applyBorder="1" applyAlignment="1" applyProtection="1">
      <alignment horizontal="left" vertical="center"/>
    </xf>
    <xf numFmtId="185" fontId="35" fillId="0" borderId="23" xfId="14" applyNumberFormat="1" applyFont="1" applyBorder="1" applyAlignment="1" applyProtection="1">
      <alignment horizontal="right" vertical="center"/>
    </xf>
    <xf numFmtId="185" fontId="35" fillId="0" borderId="24" xfId="14" applyNumberFormat="1" applyFont="1" applyBorder="1" applyAlignment="1" applyProtection="1">
      <alignment horizontal="right" vertical="center"/>
    </xf>
    <xf numFmtId="185" fontId="35" fillId="0" borderId="43" xfId="14" applyNumberFormat="1" applyFont="1" applyBorder="1" applyAlignment="1" applyProtection="1">
      <alignment horizontal="right" vertical="center"/>
    </xf>
    <xf numFmtId="0" fontId="38" fillId="7" borderId="25" xfId="0" applyFont="1" applyFill="1" applyBorder="1" applyAlignment="1" applyProtection="1">
      <alignment horizontal="centerContinuous" vertical="center"/>
    </xf>
    <xf numFmtId="0" fontId="80" fillId="0" borderId="2" xfId="0" applyFont="1" applyBorder="1" applyAlignment="1" applyProtection="1">
      <alignment vertical="center"/>
    </xf>
    <xf numFmtId="0" fontId="0" fillId="0" borderId="22" xfId="0" applyBorder="1" applyProtection="1"/>
    <xf numFmtId="0" fontId="33" fillId="0" borderId="23" xfId="0" applyFont="1" applyBorder="1" applyAlignment="1" applyProtection="1">
      <alignment vertical="center"/>
    </xf>
    <xf numFmtId="0" fontId="0" fillId="0" borderId="23" xfId="0" applyBorder="1" applyProtection="1"/>
    <xf numFmtId="0" fontId="0" fillId="0" borderId="23" xfId="0" applyBorder="1" applyAlignment="1" applyProtection="1">
      <alignment vertical="center"/>
    </xf>
    <xf numFmtId="0" fontId="33" fillId="0" borderId="23" xfId="0" applyFont="1" applyBorder="1" applyAlignment="1" applyProtection="1">
      <alignment horizontal="left" vertical="center"/>
    </xf>
    <xf numFmtId="0" fontId="26" fillId="0" borderId="6" xfId="0" applyFont="1" applyBorder="1" applyAlignment="1" applyProtection="1">
      <alignment vertical="center"/>
    </xf>
    <xf numFmtId="0" fontId="0" fillId="7" borderId="2" xfId="0" applyFill="1" applyBorder="1" applyAlignment="1" applyProtection="1">
      <alignment horizontal="right"/>
    </xf>
    <xf numFmtId="185" fontId="35" fillId="0" borderId="0" xfId="14" applyNumberFormat="1" applyFont="1" applyBorder="1" applyAlignment="1" applyProtection="1">
      <alignment horizontal="right" vertical="center"/>
    </xf>
    <xf numFmtId="185" fontId="35" fillId="0" borderId="19" xfId="14" applyNumberFormat="1" applyFont="1" applyBorder="1" applyAlignment="1" applyProtection="1">
      <alignment horizontal="right" vertical="center"/>
    </xf>
    <xf numFmtId="185" fontId="35" fillId="0" borderId="20" xfId="14" applyNumberFormat="1" applyFont="1" applyBorder="1" applyAlignment="1" applyProtection="1">
      <alignment horizontal="right" vertical="center"/>
    </xf>
    <xf numFmtId="0" fontId="20" fillId="0" borderId="2" xfId="0" applyFont="1" applyBorder="1" applyProtection="1"/>
    <xf numFmtId="0" fontId="20" fillId="0" borderId="6" xfId="0" applyFont="1" applyBorder="1" applyProtection="1"/>
    <xf numFmtId="185" fontId="35" fillId="0" borderId="19" xfId="14" applyNumberFormat="1" applyFont="1" applyBorder="1" applyAlignment="1" applyProtection="1">
      <alignment vertical="center"/>
    </xf>
    <xf numFmtId="185" fontId="35" fillId="0" borderId="20" xfId="14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24" fillId="0" borderId="23" xfId="0" applyFont="1" applyBorder="1" applyAlignment="1" applyProtection="1">
      <alignment vertical="center"/>
    </xf>
    <xf numFmtId="185" fontId="37" fillId="0" borderId="24" xfId="14" applyNumberFormat="1" applyFont="1" applyBorder="1" applyAlignment="1" applyProtection="1">
      <alignment horizontal="right" vertical="center"/>
    </xf>
    <xf numFmtId="185" fontId="37" fillId="0" borderId="43" xfId="14" applyNumberFormat="1" applyFont="1" applyBorder="1" applyAlignment="1" applyProtection="1">
      <alignment horizontal="right" vertical="center"/>
    </xf>
    <xf numFmtId="0" fontId="38" fillId="0" borderId="11" xfId="0" applyFont="1" applyBorder="1" applyAlignment="1" applyProtection="1">
      <alignment horizontal="centerContinuous" vertical="center"/>
    </xf>
    <xf numFmtId="0" fontId="33" fillId="0" borderId="0" xfId="0" applyFont="1" applyBorder="1" applyAlignment="1" applyProtection="1">
      <alignment horizontal="right" vertical="center"/>
    </xf>
    <xf numFmtId="0" fontId="35" fillId="0" borderId="0" xfId="0" applyFont="1" applyBorder="1" applyAlignment="1" applyProtection="1">
      <alignment vertical="center"/>
    </xf>
    <xf numFmtId="0" fontId="38" fillId="0" borderId="25" xfId="0" applyFont="1" applyBorder="1" applyAlignment="1" applyProtection="1">
      <alignment horizontal="centerContinuous" vertical="center"/>
    </xf>
    <xf numFmtId="0" fontId="35" fillId="0" borderId="2" xfId="0" applyFont="1" applyBorder="1" applyAlignment="1" applyProtection="1">
      <alignment vertical="center"/>
    </xf>
    <xf numFmtId="0" fontId="39" fillId="0" borderId="2" xfId="0" applyFont="1" applyBorder="1" applyAlignment="1" applyProtection="1">
      <alignment vertical="center"/>
    </xf>
    <xf numFmtId="0" fontId="34" fillId="0" borderId="5" xfId="0" applyFont="1" applyBorder="1" applyAlignment="1" applyProtection="1">
      <alignment vertical="center"/>
    </xf>
    <xf numFmtId="0" fontId="0" fillId="0" borderId="11" xfId="0" applyBorder="1" applyAlignment="1" applyProtection="1">
      <alignment horizontal="right" vertical="center"/>
    </xf>
    <xf numFmtId="0" fontId="31" fillId="0" borderId="5" xfId="0" applyFont="1" applyBorder="1" applyAlignment="1" applyProtection="1">
      <alignment vertical="center"/>
    </xf>
    <xf numFmtId="0" fontId="31" fillId="7" borderId="0" xfId="0" applyFont="1" applyFill="1" applyBorder="1" applyAlignment="1" applyProtection="1">
      <alignment vertical="center"/>
    </xf>
    <xf numFmtId="185" fontId="35" fillId="0" borderId="0" xfId="14" applyNumberFormat="1" applyFont="1" applyBorder="1" applyAlignment="1" applyProtection="1">
      <alignment vertical="center"/>
    </xf>
    <xf numFmtId="0" fontId="33" fillId="0" borderId="5" xfId="0" applyFont="1" applyBorder="1" applyAlignment="1" applyProtection="1">
      <alignment horizontal="right" vertical="center"/>
    </xf>
    <xf numFmtId="0" fontId="33" fillId="0" borderId="6" xfId="0" applyFont="1" applyBorder="1" applyAlignment="1" applyProtection="1">
      <alignment horizontal="right" vertical="center"/>
    </xf>
    <xf numFmtId="0" fontId="0" fillId="0" borderId="5" xfId="0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0" fontId="31" fillId="0" borderId="23" xfId="0" applyFont="1" applyBorder="1" applyAlignment="1" applyProtection="1">
      <alignment vertical="center"/>
    </xf>
    <xf numFmtId="0" fontId="26" fillId="0" borderId="23" xfId="0" applyFont="1" applyBorder="1" applyAlignment="1" applyProtection="1">
      <alignment vertical="center"/>
    </xf>
    <xf numFmtId="0" fontId="33" fillId="0" borderId="23" xfId="0" applyFont="1" applyBorder="1" applyAlignment="1" applyProtection="1">
      <alignment horizontal="right" vertical="center"/>
    </xf>
    <xf numFmtId="185" fontId="35" fillId="0" borderId="23" xfId="14" applyNumberFormat="1" applyFont="1" applyBorder="1" applyAlignment="1" applyProtection="1">
      <alignment vertical="center"/>
    </xf>
    <xf numFmtId="185" fontId="35" fillId="0" borderId="24" xfId="14" applyNumberFormat="1" applyFont="1" applyBorder="1" applyAlignment="1" applyProtection="1">
      <alignment vertical="center"/>
    </xf>
    <xf numFmtId="185" fontId="35" fillId="0" borderId="43" xfId="14" applyNumberFormat="1" applyFont="1" applyBorder="1" applyAlignment="1" applyProtection="1">
      <alignment vertical="center"/>
    </xf>
    <xf numFmtId="0" fontId="37" fillId="0" borderId="2" xfId="0" applyFont="1" applyBorder="1" applyAlignment="1" applyProtection="1">
      <alignment horizontal="right" vertical="center"/>
    </xf>
    <xf numFmtId="185" fontId="35" fillId="0" borderId="2" xfId="14" applyNumberFormat="1" applyFont="1" applyBorder="1" applyAlignment="1" applyProtection="1">
      <alignment vertical="center"/>
    </xf>
    <xf numFmtId="185" fontId="35" fillId="0" borderId="15" xfId="14" applyNumberFormat="1" applyFont="1" applyBorder="1" applyAlignment="1" applyProtection="1">
      <alignment vertical="center"/>
    </xf>
    <xf numFmtId="185" fontId="35" fillId="0" borderId="16" xfId="14" applyNumberFormat="1" applyFont="1" applyBorder="1" applyAlignment="1" applyProtection="1">
      <alignment vertical="center"/>
    </xf>
    <xf numFmtId="0" fontId="19" fillId="0" borderId="5" xfId="0" applyFont="1" applyBorder="1" applyAlignment="1" applyProtection="1">
      <alignment vertical="center"/>
    </xf>
    <xf numFmtId="0" fontId="19" fillId="0" borderId="11" xfId="0" applyFont="1" applyBorder="1" applyAlignment="1" applyProtection="1">
      <alignment vertical="center"/>
    </xf>
    <xf numFmtId="0" fontId="33" fillId="0" borderId="23" xfId="0" applyFont="1" applyBorder="1" applyAlignment="1" applyProtection="1">
      <alignment horizontal="center" vertical="center"/>
    </xf>
    <xf numFmtId="0" fontId="33" fillId="0" borderId="49" xfId="17" applyFont="1" applyBorder="1" applyAlignment="1" applyProtection="1">
      <alignment horizontal="center" vertical="center"/>
    </xf>
    <xf numFmtId="0" fontId="33" fillId="0" borderId="24" xfId="17" applyFont="1" applyBorder="1" applyAlignment="1" applyProtection="1">
      <alignment horizontal="right" vertical="center"/>
    </xf>
    <xf numFmtId="0" fontId="33" fillId="0" borderId="24" xfId="17" applyFont="1" applyBorder="1" applyAlignment="1" applyProtection="1">
      <alignment horizontal="left" vertical="center"/>
    </xf>
    <xf numFmtId="0" fontId="0" fillId="0" borderId="24" xfId="0" applyBorder="1" applyProtection="1"/>
    <xf numFmtId="173" fontId="33" fillId="6" borderId="43" xfId="0" applyNumberFormat="1" applyFont="1" applyFill="1" applyBorder="1" applyAlignment="1" applyProtection="1">
      <alignment horizontal="center" vertical="center"/>
    </xf>
    <xf numFmtId="173" fontId="33" fillId="0" borderId="0" xfId="0" applyNumberFormat="1" applyFont="1" applyBorder="1" applyAlignment="1" applyProtection="1">
      <alignment horizontal="center" vertical="center"/>
    </xf>
    <xf numFmtId="173" fontId="33" fillId="0" borderId="19" xfId="0" applyNumberFormat="1" applyFont="1" applyBorder="1" applyAlignment="1" applyProtection="1">
      <alignment horizontal="center" vertical="center"/>
    </xf>
    <xf numFmtId="173" fontId="33" fillId="0" borderId="20" xfId="0" applyNumberFormat="1" applyFont="1" applyBorder="1" applyAlignment="1" applyProtection="1">
      <alignment horizontal="center" vertical="center"/>
    </xf>
    <xf numFmtId="0" fontId="33" fillId="7" borderId="5" xfId="0" applyFont="1" applyFill="1" applyBorder="1" applyAlignment="1" applyProtection="1">
      <alignment vertical="center"/>
    </xf>
    <xf numFmtId="0" fontId="0" fillId="0" borderId="19" xfId="0" applyBorder="1" applyProtection="1"/>
    <xf numFmtId="170" fontId="33" fillId="0" borderId="0" xfId="0" applyNumberFormat="1" applyFont="1" applyBorder="1" applyAlignment="1" applyProtection="1">
      <alignment horizontal="right" vertical="center"/>
    </xf>
    <xf numFmtId="170" fontId="33" fillId="0" borderId="19" xfId="0" applyNumberFormat="1" applyFont="1" applyBorder="1" applyAlignment="1" applyProtection="1">
      <alignment horizontal="right" vertical="center"/>
    </xf>
    <xf numFmtId="170" fontId="33" fillId="0" borderId="20" xfId="0" applyNumberFormat="1" applyFont="1" applyBorder="1" applyAlignment="1" applyProtection="1">
      <alignment horizontal="right" vertical="center"/>
    </xf>
    <xf numFmtId="0" fontId="33" fillId="7" borderId="11" xfId="0" applyFont="1" applyFill="1" applyBorder="1" applyAlignment="1" applyProtection="1">
      <alignment horizontal="right" vertical="center"/>
    </xf>
    <xf numFmtId="0" fontId="33" fillId="7" borderId="11" xfId="0" applyFont="1" applyFill="1" applyBorder="1" applyAlignment="1" applyProtection="1">
      <alignment vertical="center"/>
    </xf>
    <xf numFmtId="0" fontId="33" fillId="7" borderId="25" xfId="0" applyFont="1" applyFill="1" applyBorder="1" applyAlignment="1" applyProtection="1">
      <alignment vertical="center"/>
    </xf>
    <xf numFmtId="0" fontId="0" fillId="0" borderId="15" xfId="0" applyBorder="1" applyProtection="1"/>
    <xf numFmtId="170" fontId="33" fillId="0" borderId="2" xfId="0" applyNumberFormat="1" applyFont="1" applyBorder="1" applyAlignment="1" applyProtection="1">
      <alignment horizontal="right" vertical="center"/>
    </xf>
    <xf numFmtId="170" fontId="33" fillId="0" borderId="15" xfId="0" applyNumberFormat="1" applyFont="1" applyBorder="1" applyAlignment="1" applyProtection="1">
      <alignment horizontal="right" vertical="center"/>
    </xf>
    <xf numFmtId="170" fontId="33" fillId="0" borderId="16" xfId="0" applyNumberFormat="1" applyFont="1" applyBorder="1" applyAlignment="1" applyProtection="1">
      <alignment horizontal="right" vertical="center"/>
    </xf>
    <xf numFmtId="0" fontId="33" fillId="0" borderId="4" xfId="17" applyFont="1" applyBorder="1" applyAlignment="1" applyProtection="1">
      <alignment horizontal="center" vertical="center"/>
    </xf>
    <xf numFmtId="0" fontId="33" fillId="0" borderId="45" xfId="17" applyFont="1" applyBorder="1" applyAlignment="1" applyProtection="1">
      <alignment horizontal="left" vertical="center"/>
    </xf>
    <xf numFmtId="173" fontId="33" fillId="0" borderId="29" xfId="0" applyNumberFormat="1" applyFont="1" applyBorder="1" applyAlignment="1" applyProtection="1">
      <alignment horizontal="center" vertical="center"/>
    </xf>
    <xf numFmtId="173" fontId="33" fillId="0" borderId="39" xfId="0" applyNumberFormat="1" applyFont="1" applyBorder="1" applyAlignment="1" applyProtection="1">
      <alignment horizontal="center" vertical="center"/>
    </xf>
    <xf numFmtId="173" fontId="33" fillId="0" borderId="40" xfId="0" applyNumberFormat="1" applyFont="1" applyBorder="1" applyAlignment="1" applyProtection="1">
      <alignment horizontal="center" vertical="center"/>
    </xf>
    <xf numFmtId="0" fontId="37" fillId="0" borderId="2" xfId="0" applyFont="1" applyBorder="1" applyAlignment="1" applyProtection="1">
      <alignment vertical="center"/>
    </xf>
    <xf numFmtId="0" fontId="44" fillId="0" borderId="11" xfId="0" applyFont="1" applyBorder="1" applyAlignment="1" applyProtection="1">
      <alignment horizontal="right" vertical="center"/>
    </xf>
    <xf numFmtId="185" fontId="35" fillId="0" borderId="0" xfId="14" applyNumberFormat="1" applyFont="1" applyBorder="1" applyAlignment="1" applyProtection="1">
      <alignment horizontal="center" vertical="center"/>
    </xf>
    <xf numFmtId="0" fontId="33" fillId="0" borderId="45" xfId="0" applyFont="1" applyBorder="1" applyAlignment="1" applyProtection="1">
      <alignment horizontal="centerContinuous" vertical="center"/>
    </xf>
    <xf numFmtId="0" fontId="33" fillId="0" borderId="54" xfId="0" applyFont="1" applyBorder="1" applyAlignment="1" applyProtection="1">
      <alignment horizontal="centerContinuous" vertical="center"/>
    </xf>
    <xf numFmtId="0" fontId="33" fillId="7" borderId="40" xfId="0" applyFont="1" applyFill="1" applyBorder="1" applyAlignment="1" applyProtection="1">
      <alignment horizontal="center" vertical="center"/>
    </xf>
    <xf numFmtId="0" fontId="33" fillId="0" borderId="28" xfId="0" applyFont="1" applyBorder="1" applyAlignment="1" applyProtection="1">
      <alignment horizontal="centerContinuous" vertical="center"/>
    </xf>
    <xf numFmtId="0" fontId="33" fillId="0" borderId="29" xfId="0" applyFont="1" applyBorder="1" applyAlignment="1" applyProtection="1">
      <alignment horizontal="centerContinuous" vertical="center"/>
    </xf>
    <xf numFmtId="0" fontId="33" fillId="0" borderId="35" xfId="0" applyFont="1" applyBorder="1" applyAlignment="1" applyProtection="1">
      <alignment horizontal="centerContinuous" vertical="center"/>
    </xf>
    <xf numFmtId="179" fontId="33" fillId="7" borderId="43" xfId="0" applyNumberFormat="1" applyFont="1" applyFill="1" applyBorder="1" applyAlignment="1" applyProtection="1">
      <alignment horizontal="center" vertical="center"/>
    </xf>
    <xf numFmtId="179" fontId="33" fillId="0" borderId="22" xfId="0" applyNumberFormat="1" applyFont="1" applyBorder="1" applyAlignment="1" applyProtection="1">
      <alignment horizontal="centerContinuous" vertical="center"/>
    </xf>
    <xf numFmtId="179" fontId="33" fillId="0" borderId="23" xfId="0" applyNumberFormat="1" applyFont="1" applyBorder="1" applyAlignment="1" applyProtection="1">
      <alignment horizontal="centerContinuous" vertical="center"/>
    </xf>
    <xf numFmtId="179" fontId="33" fillId="0" borderId="36" xfId="0" applyNumberFormat="1" applyFont="1" applyBorder="1" applyAlignment="1" applyProtection="1">
      <alignment horizontal="centerContinuous" vertical="center"/>
    </xf>
    <xf numFmtId="0" fontId="36" fillId="0" borderId="5" xfId="0" applyFont="1" applyBorder="1" applyAlignment="1" applyProtection="1">
      <alignment vertical="center"/>
    </xf>
    <xf numFmtId="0" fontId="36" fillId="0" borderId="11" xfId="0" applyFont="1" applyBorder="1" applyAlignment="1" applyProtection="1">
      <alignment vertical="center"/>
    </xf>
    <xf numFmtId="182" fontId="37" fillId="0" borderId="0" xfId="14" applyNumberFormat="1" applyFont="1" applyBorder="1" applyAlignment="1" applyProtection="1">
      <alignment vertical="center"/>
    </xf>
    <xf numFmtId="182" fontId="37" fillId="0" borderId="19" xfId="14" applyNumberFormat="1" applyFont="1" applyBorder="1" applyAlignment="1" applyProtection="1">
      <alignment vertical="center"/>
    </xf>
    <xf numFmtId="182" fontId="37" fillId="0" borderId="20" xfId="14" applyNumberFormat="1" applyFont="1" applyBorder="1" applyAlignment="1" applyProtection="1">
      <alignment vertical="center"/>
    </xf>
    <xf numFmtId="0" fontId="36" fillId="0" borderId="6" xfId="0" applyFont="1" applyBorder="1" applyAlignment="1" applyProtection="1">
      <alignment vertical="center"/>
    </xf>
    <xf numFmtId="0" fontId="36" fillId="0" borderId="25" xfId="0" applyFont="1" applyBorder="1" applyAlignment="1" applyProtection="1">
      <alignment vertical="center"/>
    </xf>
    <xf numFmtId="0" fontId="33" fillId="0" borderId="2" xfId="0" applyFont="1" applyBorder="1" applyAlignment="1" applyProtection="1">
      <alignment horizontal="right" vertical="center"/>
    </xf>
    <xf numFmtId="0" fontId="0" fillId="0" borderId="25" xfId="0" applyBorder="1" applyProtection="1"/>
    <xf numFmtId="181" fontId="35" fillId="0" borderId="2" xfId="14" applyNumberFormat="1" applyFont="1" applyBorder="1" applyAlignment="1" applyProtection="1">
      <alignment vertical="center"/>
    </xf>
    <xf numFmtId="181" fontId="35" fillId="0" borderId="15" xfId="14" applyNumberFormat="1" applyFont="1" applyBorder="1" applyAlignment="1" applyProtection="1">
      <alignment vertical="center"/>
    </xf>
    <xf numFmtId="181" fontId="35" fillId="0" borderId="16" xfId="14" applyNumberFormat="1" applyFont="1" applyBorder="1" applyAlignment="1" applyProtection="1">
      <alignment vertical="center"/>
    </xf>
    <xf numFmtId="0" fontId="33" fillId="0" borderId="11" xfId="0" applyFont="1" applyBorder="1" applyAlignment="1" applyProtection="1">
      <alignment vertical="center"/>
    </xf>
    <xf numFmtId="0" fontId="33" fillId="0" borderId="26" xfId="0" applyFont="1" applyBorder="1" applyAlignment="1" applyProtection="1">
      <alignment horizontal="centerContinuous" vertical="center"/>
    </xf>
    <xf numFmtId="0" fontId="33" fillId="0" borderId="27" xfId="0" applyFont="1" applyBorder="1" applyAlignment="1" applyProtection="1">
      <alignment horizontal="centerContinuous" vertical="center"/>
    </xf>
    <xf numFmtId="0" fontId="33" fillId="0" borderId="37" xfId="0" applyFont="1" applyBorder="1" applyAlignment="1" applyProtection="1">
      <alignment horizontal="centerContinuous" vertical="center"/>
    </xf>
    <xf numFmtId="0" fontId="0" fillId="7" borderId="0" xfId="0" applyFill="1" applyAlignment="1" applyProtection="1">
      <alignment vertical="center"/>
    </xf>
    <xf numFmtId="0" fontId="19" fillId="0" borderId="6" xfId="0" applyFont="1" applyBorder="1" applyAlignment="1" applyProtection="1">
      <alignment vertical="center"/>
    </xf>
    <xf numFmtId="0" fontId="19" fillId="0" borderId="25" xfId="0" applyFont="1" applyBorder="1" applyAlignment="1" applyProtection="1">
      <alignment vertical="center"/>
    </xf>
    <xf numFmtId="0" fontId="33" fillId="0" borderId="2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vertical="center"/>
    </xf>
    <xf numFmtId="0" fontId="33" fillId="0" borderId="31" xfId="0" applyFont="1" applyBorder="1" applyAlignment="1" applyProtection="1">
      <alignment horizontal="right" vertical="center"/>
    </xf>
    <xf numFmtId="0" fontId="33" fillId="8" borderId="25" xfId="0" applyFont="1" applyFill="1" applyBorder="1" applyAlignment="1" applyProtection="1">
      <alignment horizontal="right" vertical="center"/>
      <protection locked="0"/>
    </xf>
    <xf numFmtId="0" fontId="0" fillId="7" borderId="0" xfId="0" applyFill="1" applyBorder="1" applyAlignment="1" applyProtection="1">
      <alignment horizontal="centerContinuous" vertical="center" wrapText="1"/>
    </xf>
    <xf numFmtId="0" fontId="0" fillId="7" borderId="2" xfId="0" applyFill="1" applyBorder="1" applyProtection="1"/>
    <xf numFmtId="0" fontId="23" fillId="7" borderId="0" xfId="17" applyFont="1" applyFill="1" applyBorder="1" applyAlignment="1" applyProtection="1">
      <alignment vertical="center"/>
    </xf>
    <xf numFmtId="185" fontId="24" fillId="7" borderId="9" xfId="0" applyNumberFormat="1" applyFont="1" applyFill="1" applyBorder="1" applyAlignment="1">
      <alignment horizontal="right" vertical="center"/>
    </xf>
    <xf numFmtId="176" fontId="33" fillId="3" borderId="33" xfId="0" applyNumberFormat="1" applyFont="1" applyFill="1" applyBorder="1" applyAlignment="1" applyProtection="1">
      <alignment horizontal="right" vertical="center"/>
      <protection locked="0"/>
    </xf>
    <xf numFmtId="176" fontId="33" fillId="3" borderId="46" xfId="0" applyNumberFormat="1" applyFont="1" applyFill="1" applyBorder="1" applyAlignment="1" applyProtection="1">
      <alignment horizontal="right" vertical="center"/>
      <protection locked="0"/>
    </xf>
    <xf numFmtId="176" fontId="33" fillId="3" borderId="0" xfId="0" applyNumberFormat="1" applyFont="1" applyFill="1" applyBorder="1" applyAlignment="1" applyProtection="1">
      <alignment horizontal="right" vertical="center"/>
      <protection locked="0"/>
    </xf>
    <xf numFmtId="0" fontId="26" fillId="7" borderId="0" xfId="0" applyFont="1" applyFill="1" applyAlignment="1">
      <alignment vertical="top"/>
    </xf>
    <xf numFmtId="170" fontId="72" fillId="7" borderId="57" xfId="0" applyNumberFormat="1" applyFont="1" applyFill="1" applyBorder="1" applyAlignment="1" applyProtection="1">
      <alignment horizontal="right" vertical="center"/>
    </xf>
    <xf numFmtId="0" fontId="84" fillId="0" borderId="0" xfId="0" applyFont="1"/>
    <xf numFmtId="0" fontId="0" fillId="5" borderId="62" xfId="0" applyFill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right"/>
    </xf>
    <xf numFmtId="0" fontId="86" fillId="0" borderId="0" xfId="0" applyFont="1"/>
    <xf numFmtId="0" fontId="24" fillId="5" borderId="63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4" fillId="5" borderId="64" xfId="0" applyFont="1" applyFill="1" applyBorder="1" applyAlignment="1">
      <alignment horizontal="center"/>
    </xf>
    <xf numFmtId="203" fontId="79" fillId="5" borderId="0" xfId="0" applyNumberFormat="1" applyFont="1" applyFill="1" applyBorder="1" applyAlignment="1" applyProtection="1">
      <alignment horizontal="left" vertical="center"/>
    </xf>
    <xf numFmtId="0" fontId="44" fillId="5" borderId="0" xfId="0" applyFont="1" applyFill="1" applyBorder="1" applyAlignment="1" applyProtection="1">
      <alignment vertical="center"/>
    </xf>
    <xf numFmtId="0" fontId="44" fillId="5" borderId="62" xfId="0" applyFont="1" applyFill="1" applyBorder="1" applyAlignment="1" applyProtection="1">
      <alignment vertical="center"/>
    </xf>
    <xf numFmtId="203" fontId="87" fillId="5" borderId="0" xfId="0" applyNumberFormat="1" applyFont="1" applyFill="1" applyBorder="1" applyAlignment="1" applyProtection="1">
      <alignment horizontal="left" vertical="center"/>
    </xf>
    <xf numFmtId="0" fontId="88" fillId="5" borderId="0" xfId="0" applyFont="1" applyFill="1" applyBorder="1" applyAlignment="1" applyProtection="1">
      <alignment vertical="center"/>
    </xf>
    <xf numFmtId="0" fontId="88" fillId="5" borderId="62" xfId="0" applyFont="1" applyFill="1" applyBorder="1" applyAlignment="1" applyProtection="1">
      <alignment vertical="center"/>
    </xf>
    <xf numFmtId="0" fontId="24" fillId="5" borderId="65" xfId="0" applyFont="1" applyFill="1" applyBorder="1" applyAlignment="1">
      <alignment horizontal="center"/>
    </xf>
    <xf numFmtId="0" fontId="65" fillId="5" borderId="62" xfId="0" applyFont="1" applyFill="1" applyBorder="1" applyAlignment="1">
      <alignment horizontal="right"/>
    </xf>
    <xf numFmtId="14" fontId="65" fillId="5" borderId="66" xfId="0" applyNumberFormat="1" applyFont="1" applyFill="1" applyBorder="1" applyAlignment="1">
      <alignment horizontal="right"/>
    </xf>
    <xf numFmtId="191" fontId="33" fillId="8" borderId="19" xfId="0" applyNumberFormat="1" applyFont="1" applyFill="1" applyBorder="1" applyAlignment="1" applyProtection="1">
      <alignment horizontal="right" vertical="center"/>
      <protection locked="0"/>
    </xf>
    <xf numFmtId="1" fontId="23" fillId="0" borderId="11" xfId="0" applyNumberFormat="1" applyFont="1" applyBorder="1" applyAlignment="1">
      <alignment horizontal="center" vertical="center"/>
    </xf>
    <xf numFmtId="1" fontId="23" fillId="0" borderId="67" xfId="0" applyNumberFormat="1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1" fontId="23" fillId="0" borderId="68" xfId="0" applyNumberFormat="1" applyFont="1" applyBorder="1" applyAlignment="1">
      <alignment horizontal="center" vertical="center"/>
    </xf>
    <xf numFmtId="1" fontId="23" fillId="0" borderId="9" xfId="0" applyNumberFormat="1" applyFont="1" applyBorder="1" applyAlignment="1">
      <alignment horizontal="center" vertical="center"/>
    </xf>
    <xf numFmtId="1" fontId="23" fillId="0" borderId="64" xfId="0" applyNumberFormat="1" applyFont="1" applyBorder="1" applyAlignment="1">
      <alignment horizontal="center" vertical="center"/>
    </xf>
    <xf numFmtId="1" fontId="23" fillId="0" borderId="5" xfId="0" applyNumberFormat="1" applyFont="1" applyBorder="1" applyAlignment="1">
      <alignment horizontal="center" vertical="center"/>
    </xf>
    <xf numFmtId="1" fontId="23" fillId="0" borderId="63" xfId="0" applyNumberFormat="1" applyFont="1" applyBorder="1" applyAlignment="1">
      <alignment horizontal="center" vertical="center"/>
    </xf>
    <xf numFmtId="1" fontId="69" fillId="0" borderId="11" xfId="0" applyNumberFormat="1" applyFont="1" applyBorder="1" applyAlignment="1">
      <alignment horizontal="center" vertical="center"/>
    </xf>
    <xf numFmtId="1" fontId="69" fillId="0" borderId="67" xfId="0" applyNumberFormat="1" applyFont="1" applyBorder="1" applyAlignment="1">
      <alignment horizontal="center" vertical="center"/>
    </xf>
    <xf numFmtId="1" fontId="69" fillId="0" borderId="0" xfId="0" applyNumberFormat="1" applyFont="1" applyBorder="1" applyAlignment="1">
      <alignment horizontal="center" vertical="center"/>
    </xf>
    <xf numFmtId="1" fontId="69" fillId="0" borderId="68" xfId="0" applyNumberFormat="1" applyFont="1" applyBorder="1" applyAlignment="1">
      <alignment horizontal="center" vertical="center"/>
    </xf>
    <xf numFmtId="1" fontId="69" fillId="0" borderId="9" xfId="0" applyNumberFormat="1" applyFont="1" applyBorder="1" applyAlignment="1">
      <alignment horizontal="center" vertical="center"/>
    </xf>
    <xf numFmtId="1" fontId="69" fillId="0" borderId="64" xfId="0" applyNumberFormat="1" applyFont="1" applyBorder="1" applyAlignment="1">
      <alignment horizontal="center" vertical="center"/>
    </xf>
    <xf numFmtId="1" fontId="69" fillId="0" borderId="5" xfId="0" applyNumberFormat="1" applyFont="1" applyBorder="1" applyAlignment="1">
      <alignment horizontal="center" vertical="center"/>
    </xf>
    <xf numFmtId="1" fontId="69" fillId="0" borderId="63" xfId="0" applyNumberFormat="1" applyFont="1" applyBorder="1" applyAlignment="1">
      <alignment horizontal="center" vertical="center"/>
    </xf>
    <xf numFmtId="3" fontId="23" fillId="0" borderId="11" xfId="0" applyNumberFormat="1" applyFont="1" applyBorder="1" applyAlignment="1">
      <alignment horizontal="center" vertical="center"/>
    </xf>
    <xf numFmtId="3" fontId="23" fillId="0" borderId="67" xfId="0" applyNumberFormat="1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3" fontId="23" fillId="0" borderId="68" xfId="0" applyNumberFormat="1" applyFont="1" applyBorder="1" applyAlignment="1">
      <alignment horizontal="center" vertical="center"/>
    </xf>
    <xf numFmtId="3" fontId="23" fillId="0" borderId="9" xfId="0" applyNumberFormat="1" applyFont="1" applyBorder="1" applyAlignment="1">
      <alignment horizontal="center" vertical="center"/>
    </xf>
    <xf numFmtId="3" fontId="23" fillId="0" borderId="64" xfId="0" applyNumberFormat="1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3" fillId="0" borderId="63" xfId="0" applyNumberFormat="1" applyFont="1" applyBorder="1" applyAlignment="1">
      <alignment horizontal="center" vertical="center"/>
    </xf>
    <xf numFmtId="1" fontId="23" fillId="0" borderId="69" xfId="0" applyNumberFormat="1" applyFont="1" applyBorder="1" applyAlignment="1">
      <alignment horizontal="center" vertical="center"/>
    </xf>
    <xf numFmtId="1" fontId="23" fillId="0" borderId="25" xfId="0" applyNumberFormat="1" applyFont="1" applyBorder="1" applyAlignment="1">
      <alignment horizontal="center" vertical="center"/>
    </xf>
    <xf numFmtId="1" fontId="23" fillId="0" borderId="70" xfId="0" applyNumberFormat="1" applyFont="1" applyBorder="1" applyAlignment="1">
      <alignment horizontal="center" vertical="center"/>
    </xf>
    <xf numFmtId="3" fontId="23" fillId="0" borderId="25" xfId="0" applyNumberFormat="1" applyFont="1" applyBorder="1" applyAlignment="1">
      <alignment horizontal="center" vertical="center"/>
    </xf>
    <xf numFmtId="3" fontId="23" fillId="0" borderId="71" xfId="0" applyNumberFormat="1" applyFont="1" applyBorder="1" applyAlignment="1">
      <alignment horizontal="center" vertical="center"/>
    </xf>
    <xf numFmtId="3" fontId="23" fillId="0" borderId="2" xfId="0" applyNumberFormat="1" applyFont="1" applyBorder="1" applyAlignment="1">
      <alignment horizontal="center" vertical="center"/>
    </xf>
    <xf numFmtId="3" fontId="23" fillId="0" borderId="69" xfId="0" applyNumberFormat="1" applyFont="1" applyBorder="1" applyAlignment="1">
      <alignment horizontal="center" vertical="center"/>
    </xf>
    <xf numFmtId="3" fontId="23" fillId="0" borderId="53" xfId="0" applyNumberFormat="1" applyFont="1" applyBorder="1" applyAlignment="1">
      <alignment horizontal="center" vertical="center"/>
    </xf>
    <xf numFmtId="3" fontId="23" fillId="0" borderId="70" xfId="0" applyNumberFormat="1" applyFont="1" applyBorder="1" applyAlignment="1">
      <alignment horizontal="center" vertical="center"/>
    </xf>
    <xf numFmtId="3" fontId="23" fillId="0" borderId="6" xfId="0" applyNumberFormat="1" applyFont="1" applyBorder="1" applyAlignment="1">
      <alignment horizontal="center" vertical="center"/>
    </xf>
    <xf numFmtId="3" fontId="23" fillId="0" borderId="72" xfId="0" applyNumberFormat="1" applyFont="1" applyBorder="1" applyAlignment="1">
      <alignment horizontal="center" vertical="center"/>
    </xf>
    <xf numFmtId="1" fontId="23" fillId="0" borderId="73" xfId="0" applyNumberFormat="1" applyFont="1" applyBorder="1" applyAlignment="1">
      <alignment horizontal="center" vertical="center"/>
    </xf>
    <xf numFmtId="1" fontId="23" fillId="0" borderId="74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/>
    </xf>
    <xf numFmtId="2" fontId="23" fillId="0" borderId="67" xfId="0" applyNumberFormat="1" applyFont="1" applyBorder="1" applyAlignment="1">
      <alignment horizontal="center" vertical="center"/>
    </xf>
    <xf numFmtId="2" fontId="23" fillId="0" borderId="0" xfId="0" applyNumberFormat="1" applyFont="1" applyBorder="1" applyAlignment="1">
      <alignment horizontal="center" vertical="center"/>
    </xf>
    <xf numFmtId="2" fontId="23" fillId="0" borderId="68" xfId="0" applyNumberFormat="1" applyFont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2" fontId="23" fillId="0" borderId="64" xfId="0" applyNumberFormat="1" applyFont="1" applyBorder="1" applyAlignment="1">
      <alignment horizontal="center" vertical="center"/>
    </xf>
    <xf numFmtId="2" fontId="23" fillId="0" borderId="5" xfId="0" applyNumberFormat="1" applyFont="1" applyBorder="1" applyAlignment="1">
      <alignment horizontal="center" vertical="center"/>
    </xf>
    <xf numFmtId="2" fontId="23" fillId="0" borderId="63" xfId="0" applyNumberFormat="1" applyFont="1" applyBorder="1" applyAlignment="1">
      <alignment horizontal="center" vertical="center"/>
    </xf>
    <xf numFmtId="2" fontId="23" fillId="0" borderId="25" xfId="0" applyNumberFormat="1" applyFont="1" applyBorder="1" applyAlignment="1">
      <alignment horizontal="center" vertical="center"/>
    </xf>
    <xf numFmtId="2" fontId="23" fillId="0" borderId="71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23" fillId="0" borderId="69" xfId="0" applyNumberFormat="1" applyFont="1" applyBorder="1" applyAlignment="1">
      <alignment horizontal="center" vertical="center"/>
    </xf>
    <xf numFmtId="2" fontId="23" fillId="0" borderId="53" xfId="0" applyNumberFormat="1" applyFont="1" applyBorder="1" applyAlignment="1">
      <alignment horizontal="center" vertical="center"/>
    </xf>
    <xf numFmtId="2" fontId="23" fillId="0" borderId="70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72" xfId="0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2" fontId="0" fillId="5" borderId="0" xfId="0" applyNumberFormat="1" applyFill="1" applyBorder="1" applyAlignment="1">
      <alignment horizontal="center"/>
    </xf>
    <xf numFmtId="2" fontId="0" fillId="5" borderId="0" xfId="0" applyNumberFormat="1" applyFill="1" applyBorder="1" applyAlignment="1">
      <alignment horizontal="right"/>
    </xf>
    <xf numFmtId="0" fontId="24" fillId="0" borderId="8" xfId="0" applyFont="1" applyBorder="1" applyAlignment="1">
      <alignment horizontal="center" vertical="center"/>
    </xf>
    <xf numFmtId="0" fontId="24" fillId="0" borderId="17" xfId="0" applyFont="1" applyBorder="1" applyAlignment="1" applyProtection="1">
      <alignment horizontal="center" vertical="center"/>
    </xf>
    <xf numFmtId="0" fontId="24" fillId="0" borderId="7" xfId="0" applyFont="1" applyBorder="1" applyAlignment="1" applyProtection="1">
      <alignment vertical="center"/>
    </xf>
    <xf numFmtId="0" fontId="26" fillId="0" borderId="8" xfId="0" applyFont="1" applyBorder="1" applyAlignment="1" applyProtection="1">
      <alignment horizontal="center" vertical="center"/>
    </xf>
    <xf numFmtId="0" fontId="24" fillId="0" borderId="5" xfId="0" applyFont="1" applyBorder="1" applyAlignment="1" applyProtection="1">
      <alignment vertical="center"/>
    </xf>
    <xf numFmtId="0" fontId="26" fillId="0" borderId="2" xfId="0" applyFont="1" applyBorder="1" applyAlignment="1" applyProtection="1">
      <alignment vertical="center"/>
    </xf>
    <xf numFmtId="0" fontId="31" fillId="0" borderId="2" xfId="0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center" vertical="center"/>
    </xf>
    <xf numFmtId="0" fontId="24" fillId="0" borderId="7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34" fillId="0" borderId="8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top"/>
    </xf>
    <xf numFmtId="9" fontId="33" fillId="8" borderId="19" xfId="0" applyNumberFormat="1" applyFont="1" applyFill="1" applyBorder="1" applyAlignment="1" applyProtection="1">
      <alignment horizontal="center" vertical="center"/>
      <protection locked="0"/>
    </xf>
    <xf numFmtId="9" fontId="33" fillId="8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</xf>
    <xf numFmtId="191" fontId="33" fillId="7" borderId="19" xfId="0" applyNumberFormat="1" applyFont="1" applyFill="1" applyBorder="1" applyAlignment="1" applyProtection="1">
      <alignment horizontal="center" vertical="center"/>
    </xf>
    <xf numFmtId="191" fontId="33" fillId="7" borderId="15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170" fontId="33" fillId="3" borderId="19" xfId="0" applyNumberFormat="1" applyFont="1" applyFill="1" applyBorder="1" applyAlignment="1" applyProtection="1">
      <alignment horizontal="center" vertical="center"/>
      <protection locked="0"/>
    </xf>
    <xf numFmtId="170" fontId="33" fillId="3" borderId="15" xfId="0" applyNumberFormat="1" applyFont="1" applyFill="1" applyBorder="1" applyAlignment="1" applyProtection="1">
      <alignment horizontal="center" vertical="center"/>
      <protection locked="0"/>
    </xf>
    <xf numFmtId="0" fontId="39" fillId="0" borderId="8" xfId="0" applyFont="1" applyBorder="1" applyAlignment="1">
      <alignment vertical="center"/>
    </xf>
    <xf numFmtId="2" fontId="40" fillId="0" borderId="11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vertical="center"/>
    </xf>
    <xf numFmtId="2" fontId="40" fillId="0" borderId="68" xfId="0" applyNumberFormat="1" applyFont="1" applyBorder="1" applyAlignment="1">
      <alignment horizontal="center" vertical="center"/>
    </xf>
    <xf numFmtId="2" fontId="40" fillId="0" borderId="5" xfId="0" applyNumberFormat="1" applyFont="1" applyBorder="1" applyAlignment="1">
      <alignment horizontal="center" vertical="center"/>
    </xf>
    <xf numFmtId="2" fontId="40" fillId="0" borderId="64" xfId="0" applyNumberFormat="1" applyFont="1" applyBorder="1" applyAlignment="1">
      <alignment horizontal="center" vertical="center"/>
    </xf>
    <xf numFmtId="2" fontId="40" fillId="0" borderId="67" xfId="0" applyNumberFormat="1" applyFont="1" applyBorder="1" applyAlignment="1">
      <alignment horizontal="center" vertical="center"/>
    </xf>
    <xf numFmtId="2" fontId="40" fillId="0" borderId="63" xfId="0" applyNumberFormat="1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2" fontId="39" fillId="0" borderId="25" xfId="0" applyNumberFormat="1" applyFont="1" applyBorder="1" applyAlignment="1">
      <alignment horizontal="center" vertical="center"/>
    </xf>
    <xf numFmtId="2" fontId="39" fillId="0" borderId="53" xfId="0" applyNumberFormat="1" applyFont="1" applyBorder="1" applyAlignment="1">
      <alignment horizontal="center" vertical="center"/>
    </xf>
    <xf numFmtId="2" fontId="39" fillId="0" borderId="69" xfId="0" applyNumberFormat="1" applyFont="1" applyBorder="1" applyAlignment="1">
      <alignment horizontal="center" vertical="center"/>
    </xf>
    <xf numFmtId="2" fontId="39" fillId="0" borderId="6" xfId="0" applyNumberFormat="1" applyFont="1" applyBorder="1" applyAlignment="1">
      <alignment horizontal="center" vertical="center"/>
    </xf>
    <xf numFmtId="2" fontId="39" fillId="0" borderId="70" xfId="0" applyNumberFormat="1" applyFont="1" applyBorder="1" applyAlignment="1">
      <alignment horizontal="center" vertical="center"/>
    </xf>
    <xf numFmtId="2" fontId="39" fillId="0" borderId="71" xfId="0" applyNumberFormat="1" applyFont="1" applyBorder="1" applyAlignment="1">
      <alignment horizontal="center" vertical="center"/>
    </xf>
    <xf numFmtId="2" fontId="39" fillId="0" borderId="72" xfId="0" applyNumberFormat="1" applyFont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59" fillId="0" borderId="0" xfId="0" applyFont="1" applyBorder="1"/>
    <xf numFmtId="0" fontId="26" fillId="0" borderId="0" xfId="0" applyFont="1" applyBorder="1"/>
    <xf numFmtId="0" fontId="0" fillId="0" borderId="0" xfId="0" applyBorder="1" applyAlignment="1">
      <alignment horizontal="left"/>
    </xf>
    <xf numFmtId="176" fontId="26" fillId="7" borderId="10" xfId="14" applyNumberFormat="1" applyFont="1" applyFill="1" applyBorder="1" applyAlignment="1">
      <alignment vertical="center"/>
    </xf>
    <xf numFmtId="176" fontId="26" fillId="7" borderId="9" xfId="14" applyNumberFormat="1" applyFont="1" applyFill="1" applyBorder="1" applyAlignment="1">
      <alignment vertical="center"/>
    </xf>
    <xf numFmtId="176" fontId="26" fillId="3" borderId="2" xfId="0" applyNumberFormat="1" applyFont="1" applyFill="1" applyBorder="1" applyAlignment="1" applyProtection="1">
      <alignment vertical="center"/>
      <protection locked="0"/>
    </xf>
    <xf numFmtId="0" fontId="59" fillId="0" borderId="0" xfId="0" applyFont="1" applyBorder="1" applyAlignment="1">
      <alignment vertical="top"/>
    </xf>
    <xf numFmtId="0" fontId="59" fillId="0" borderId="0" xfId="0" applyFont="1" applyBorder="1" applyAlignment="1">
      <alignment vertical="center"/>
    </xf>
    <xf numFmtId="0" fontId="51" fillId="7" borderId="0" xfId="0" applyFont="1" applyFill="1" applyBorder="1" applyAlignment="1" applyProtection="1">
      <alignment vertical="top"/>
    </xf>
    <xf numFmtId="0" fontId="51" fillId="7" borderId="0" xfId="0" applyFont="1" applyFill="1" applyBorder="1" applyAlignment="1" applyProtection="1">
      <alignment horizontal="left" vertical="top"/>
    </xf>
    <xf numFmtId="0" fontId="42" fillId="0" borderId="46" xfId="0" applyFont="1" applyBorder="1" applyAlignment="1" applyProtection="1">
      <alignment vertical="center"/>
    </xf>
    <xf numFmtId="0" fontId="51" fillId="7" borderId="0" xfId="0" applyFont="1" applyFill="1" applyBorder="1" applyAlignment="1">
      <alignment horizontal="centerContinuous" vertical="top"/>
    </xf>
    <xf numFmtId="168" fontId="0" fillId="0" borderId="0" xfId="0" applyNumberFormat="1" applyBorder="1"/>
    <xf numFmtId="168" fontId="0" fillId="0" borderId="2" xfId="0" applyNumberFormat="1" applyBorder="1"/>
    <xf numFmtId="168" fontId="0" fillId="0" borderId="23" xfId="0" applyNumberFormat="1" applyBorder="1" applyAlignment="1">
      <alignment vertical="center"/>
    </xf>
    <xf numFmtId="0" fontId="26" fillId="0" borderId="62" xfId="0" applyFont="1" applyBorder="1" applyAlignment="1">
      <alignment vertical="center"/>
    </xf>
    <xf numFmtId="0" fontId="24" fillId="7" borderId="0" xfId="0" applyFont="1" applyFill="1" applyBorder="1" applyAlignment="1">
      <alignment vertical="top"/>
    </xf>
    <xf numFmtId="0" fontId="26" fillId="7" borderId="0" xfId="0" applyFont="1" applyFill="1"/>
    <xf numFmtId="0" fontId="24" fillId="7" borderId="0" xfId="0" applyFont="1" applyFill="1" applyAlignment="1">
      <alignment vertical="center"/>
    </xf>
    <xf numFmtId="0" fontId="26" fillId="7" borderId="0" xfId="0" applyFont="1" applyFill="1" applyBorder="1" applyAlignment="1">
      <alignment horizontal="left" vertical="center"/>
    </xf>
    <xf numFmtId="0" fontId="26" fillId="7" borderId="0" xfId="0" applyFont="1" applyFill="1" applyBorder="1" applyAlignment="1">
      <alignment horizontal="left" vertical="top"/>
    </xf>
    <xf numFmtId="0" fontId="24" fillId="7" borderId="0" xfId="0" applyFont="1" applyFill="1" applyBorder="1" applyAlignment="1">
      <alignment horizontal="left" vertical="top"/>
    </xf>
    <xf numFmtId="0" fontId="26" fillId="7" borderId="0" xfId="0" applyFont="1" applyFill="1" applyBorder="1" applyAlignment="1">
      <alignment vertical="center"/>
    </xf>
    <xf numFmtId="0" fontId="24" fillId="7" borderId="0" xfId="0" applyFont="1" applyFill="1" applyBorder="1" applyAlignment="1">
      <alignment vertical="center"/>
    </xf>
    <xf numFmtId="0" fontId="26" fillId="7" borderId="0" xfId="0" applyFont="1" applyFill="1" applyAlignment="1">
      <alignment vertical="center"/>
    </xf>
    <xf numFmtId="0" fontId="24" fillId="7" borderId="0" xfId="0" applyFont="1" applyFill="1" applyAlignment="1">
      <alignment vertical="top"/>
    </xf>
    <xf numFmtId="0" fontId="26" fillId="7" borderId="0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 vertical="center"/>
    </xf>
    <xf numFmtId="0" fontId="83" fillId="7" borderId="0" xfId="0" applyFont="1" applyFill="1" applyAlignment="1"/>
    <xf numFmtId="169" fontId="0" fillId="0" borderId="8" xfId="0" applyNumberFormat="1" applyBorder="1" applyAlignment="1">
      <alignment horizontal="left" vertical="top"/>
    </xf>
    <xf numFmtId="188" fontId="37" fillId="3" borderId="33" xfId="14" applyNumberFormat="1" applyFont="1" applyFill="1" applyBorder="1" applyAlignment="1" applyProtection="1">
      <alignment vertical="center"/>
      <protection locked="0"/>
    </xf>
    <xf numFmtId="188" fontId="37" fillId="3" borderId="46" xfId="14" applyNumberFormat="1" applyFont="1" applyFill="1" applyBorder="1" applyAlignment="1" applyProtection="1">
      <alignment vertical="center"/>
      <protection locked="0"/>
    </xf>
    <xf numFmtId="0" fontId="35" fillId="0" borderId="19" xfId="0" applyFont="1" applyFill="1" applyBorder="1" applyAlignment="1" applyProtection="1">
      <alignment horizontal="center" vertical="center"/>
    </xf>
    <xf numFmtId="0" fontId="0" fillId="0" borderId="52" xfId="0" applyBorder="1" applyAlignment="1" applyProtection="1">
      <alignment vertical="center"/>
      <protection locked="0"/>
    </xf>
    <xf numFmtId="0" fontId="33" fillId="7" borderId="76" xfId="0" applyFont="1" applyFill="1" applyBorder="1" applyAlignment="1" applyProtection="1">
      <alignment horizontal="center" vertical="center"/>
    </xf>
    <xf numFmtId="0" fontId="33" fillId="6" borderId="58" xfId="0" applyFont="1" applyFill="1" applyBorder="1" applyAlignment="1" applyProtection="1">
      <alignment horizontal="center" vertical="center"/>
    </xf>
    <xf numFmtId="0" fontId="33" fillId="6" borderId="8" xfId="17" applyFont="1" applyFill="1" applyBorder="1" applyAlignment="1" applyProtection="1">
      <alignment horizontal="centerContinuous" vertical="center"/>
    </xf>
    <xf numFmtId="170" fontId="35" fillId="6" borderId="14" xfId="14" applyNumberFormat="1" applyFont="1" applyFill="1" applyBorder="1" applyAlignment="1" applyProtection="1">
      <alignment horizontal="centerContinuous" vertical="center"/>
    </xf>
    <xf numFmtId="0" fontId="33" fillId="7" borderId="58" xfId="0" applyFont="1" applyFill="1" applyBorder="1" applyAlignment="1" applyProtection="1">
      <alignment horizontal="center" vertical="center"/>
    </xf>
    <xf numFmtId="0" fontId="33" fillId="7" borderId="44" xfId="17" applyFont="1" applyFill="1" applyBorder="1" applyAlignment="1" applyProtection="1">
      <alignment horizontal="center" vertical="center"/>
    </xf>
    <xf numFmtId="0" fontId="33" fillId="6" borderId="49" xfId="17" applyFont="1" applyFill="1" applyBorder="1" applyAlignment="1" applyProtection="1">
      <alignment horizontal="center" vertical="center"/>
    </xf>
    <xf numFmtId="0" fontId="33" fillId="6" borderId="23" xfId="17" applyFont="1" applyFill="1" applyBorder="1" applyAlignment="1" applyProtection="1">
      <alignment horizontal="center" vertical="center"/>
    </xf>
    <xf numFmtId="0" fontId="33" fillId="7" borderId="49" xfId="17" applyFont="1" applyFill="1" applyBorder="1" applyAlignment="1" applyProtection="1">
      <alignment horizontal="center" vertical="center"/>
    </xf>
    <xf numFmtId="182" fontId="33" fillId="7" borderId="33" xfId="0" applyNumberFormat="1" applyFont="1" applyFill="1" applyBorder="1" applyAlignment="1" applyProtection="1">
      <alignment horizontal="right" vertical="center"/>
    </xf>
    <xf numFmtId="182" fontId="33" fillId="6" borderId="46" xfId="0" applyNumberFormat="1" applyFont="1" applyFill="1" applyBorder="1" applyAlignment="1" applyProtection="1">
      <alignment horizontal="right" vertical="center"/>
    </xf>
    <xf numFmtId="168" fontId="33" fillId="6" borderId="0" xfId="0" applyNumberFormat="1" applyFont="1" applyFill="1" applyBorder="1" applyAlignment="1" applyProtection="1">
      <alignment horizontal="right" vertical="center"/>
    </xf>
    <xf numFmtId="182" fontId="33" fillId="7" borderId="46" xfId="0" applyNumberFormat="1" applyFont="1" applyFill="1" applyBorder="1" applyAlignment="1" applyProtection="1">
      <alignment horizontal="right" vertical="center"/>
    </xf>
    <xf numFmtId="182" fontId="33" fillId="7" borderId="33" xfId="17" applyNumberFormat="1" applyFont="1" applyFill="1" applyBorder="1" applyAlignment="1" applyProtection="1">
      <alignment horizontal="right" vertical="center"/>
    </xf>
    <xf numFmtId="182" fontId="33" fillId="6" borderId="46" xfId="17" applyNumberFormat="1" applyFont="1" applyFill="1" applyBorder="1" applyAlignment="1" applyProtection="1">
      <alignment horizontal="right" vertical="center"/>
    </xf>
    <xf numFmtId="168" fontId="33" fillId="6" borderId="0" xfId="17" applyNumberFormat="1" applyFont="1" applyFill="1" applyBorder="1" applyAlignment="1" applyProtection="1">
      <alignment horizontal="right" vertical="center"/>
    </xf>
    <xf numFmtId="182" fontId="33" fillId="7" borderId="46" xfId="17" applyNumberFormat="1" applyFont="1" applyFill="1" applyBorder="1" applyAlignment="1" applyProtection="1">
      <alignment horizontal="right" vertical="center"/>
    </xf>
    <xf numFmtId="182" fontId="33" fillId="7" borderId="34" xfId="17" applyNumberFormat="1" applyFont="1" applyFill="1" applyBorder="1" applyAlignment="1" applyProtection="1">
      <alignment vertical="center"/>
    </xf>
    <xf numFmtId="182" fontId="33" fillId="6" borderId="21" xfId="17" applyNumberFormat="1" applyFont="1" applyFill="1" applyBorder="1" applyAlignment="1" applyProtection="1">
      <alignment vertical="center"/>
    </xf>
    <xf numFmtId="168" fontId="33" fillId="6" borderId="2" xfId="17" applyNumberFormat="1" applyFont="1" applyFill="1" applyBorder="1" applyAlignment="1" applyProtection="1">
      <alignment vertical="center"/>
    </xf>
    <xf numFmtId="170" fontId="37" fillId="6" borderId="16" xfId="14" applyNumberFormat="1" applyFont="1" applyFill="1" applyBorder="1" applyAlignment="1" applyProtection="1">
      <alignment vertical="center"/>
    </xf>
    <xf numFmtId="182" fontId="33" fillId="7" borderId="21" xfId="17" applyNumberFormat="1" applyFont="1" applyFill="1" applyBorder="1" applyAlignment="1" applyProtection="1">
      <alignment vertical="center"/>
    </xf>
    <xf numFmtId="0" fontId="33" fillId="6" borderId="0" xfId="0" applyFont="1" applyFill="1" applyBorder="1" applyAlignment="1" applyProtection="1">
      <alignment horizontal="left" vertical="center"/>
    </xf>
    <xf numFmtId="14" fontId="33" fillId="0" borderId="0" xfId="0" applyNumberFormat="1" applyFont="1" applyBorder="1" applyAlignment="1">
      <alignment horizontal="left" vertical="top"/>
    </xf>
    <xf numFmtId="0" fontId="30" fillId="0" borderId="0" xfId="0" applyFont="1" applyBorder="1" applyAlignment="1">
      <alignment vertical="center"/>
    </xf>
    <xf numFmtId="0" fontId="0" fillId="0" borderId="0" xfId="0" applyBorder="1" applyAlignment="1">
      <alignment horizontal="centerContinuous" vertical="top"/>
    </xf>
    <xf numFmtId="0" fontId="22" fillId="0" borderId="0" xfId="0" applyFont="1" applyBorder="1" applyAlignment="1">
      <alignment horizontal="right" vertical="top"/>
    </xf>
    <xf numFmtId="0" fontId="27" fillId="0" borderId="0" xfId="0" applyFont="1" applyBorder="1" applyAlignment="1">
      <alignment horizontal="right" vertical="top"/>
    </xf>
    <xf numFmtId="0" fontId="33" fillId="0" borderId="0" xfId="0" applyFont="1" applyBorder="1" applyAlignment="1">
      <alignment vertical="top"/>
    </xf>
    <xf numFmtId="182" fontId="31" fillId="0" borderId="0" xfId="0" applyNumberFormat="1" applyFont="1" applyBorder="1" applyAlignment="1">
      <alignment horizontal="right" vertical="center"/>
    </xf>
    <xf numFmtId="182" fontId="31" fillId="6" borderId="0" xfId="0" applyNumberFormat="1" applyFont="1" applyFill="1" applyBorder="1" applyAlignment="1">
      <alignment horizontal="right" vertical="center"/>
    </xf>
    <xf numFmtId="173" fontId="30" fillId="0" borderId="0" xfId="0" applyNumberFormat="1" applyFont="1" applyBorder="1" applyAlignment="1">
      <alignment horizontal="right" vertical="center"/>
    </xf>
    <xf numFmtId="173" fontId="30" fillId="6" borderId="0" xfId="0" applyNumberFormat="1" applyFont="1" applyFill="1" applyBorder="1" applyAlignment="1">
      <alignment horizontal="right" vertical="center"/>
    </xf>
    <xf numFmtId="171" fontId="31" fillId="0" borderId="0" xfId="0" applyNumberFormat="1" applyFont="1" applyBorder="1" applyAlignment="1">
      <alignment horizontal="right" vertical="center"/>
    </xf>
    <xf numFmtId="171" fontId="31" fillId="6" borderId="0" xfId="0" applyNumberFormat="1" applyFont="1" applyFill="1" applyBorder="1" applyAlignment="1">
      <alignment horizontal="right" vertical="center"/>
    </xf>
    <xf numFmtId="171" fontId="31" fillId="7" borderId="0" xfId="0" applyNumberFormat="1" applyFont="1" applyFill="1" applyBorder="1" applyAlignment="1">
      <alignment horizontal="right" vertical="center"/>
    </xf>
    <xf numFmtId="0" fontId="24" fillId="5" borderId="63" xfId="0" applyFont="1" applyFill="1" applyBorder="1" applyAlignment="1">
      <alignment horizontal="right"/>
    </xf>
    <xf numFmtId="0" fontId="0" fillId="0" borderId="2" xfId="0" applyBorder="1" applyAlignment="1">
      <alignment vertical="top"/>
    </xf>
    <xf numFmtId="0" fontId="0" fillId="0" borderId="77" xfId="0" applyBorder="1" applyAlignment="1">
      <alignment vertical="center"/>
    </xf>
    <xf numFmtId="2" fontId="33" fillId="7" borderId="54" xfId="0" applyNumberFormat="1" applyFont="1" applyFill="1" applyBorder="1" applyAlignment="1" applyProtection="1">
      <alignment horizontal="center" vertical="center"/>
    </xf>
    <xf numFmtId="2" fontId="79" fillId="7" borderId="2" xfId="17" applyNumberFormat="1" applyFont="1" applyFill="1" applyBorder="1" applyAlignment="1">
      <alignment horizontal="center" vertical="center"/>
    </xf>
    <xf numFmtId="0" fontId="33" fillId="0" borderId="56" xfId="0" applyFont="1" applyBorder="1" applyAlignment="1">
      <alignment horizontal="right" vertical="center"/>
    </xf>
    <xf numFmtId="2" fontId="33" fillId="7" borderId="56" xfId="0" applyNumberFormat="1" applyFont="1" applyFill="1" applyBorder="1" applyAlignment="1" applyProtection="1">
      <alignment horizontal="center" vertical="center"/>
    </xf>
    <xf numFmtId="0" fontId="33" fillId="7" borderId="26" xfId="17" applyFont="1" applyFill="1" applyBorder="1" applyAlignment="1" applyProtection="1">
      <alignment vertical="center"/>
    </xf>
    <xf numFmtId="0" fontId="37" fillId="7" borderId="27" xfId="17" applyFont="1" applyFill="1" applyBorder="1" applyAlignment="1" applyProtection="1">
      <alignment horizontal="right" vertical="center"/>
    </xf>
    <xf numFmtId="2" fontId="33" fillId="7" borderId="41" xfId="0" applyNumberFormat="1" applyFont="1" applyFill="1" applyBorder="1" applyAlignment="1" applyProtection="1">
      <alignment horizontal="right" vertical="center"/>
    </xf>
    <xf numFmtId="0" fontId="33" fillId="0" borderId="41" xfId="0" applyFont="1" applyBorder="1" applyAlignment="1" applyProtection="1">
      <alignment vertical="center"/>
    </xf>
    <xf numFmtId="166" fontId="33" fillId="7" borderId="78" xfId="0" applyNumberFormat="1" applyFont="1" applyFill="1" applyBorder="1" applyAlignment="1" applyProtection="1">
      <alignment horizontal="center" vertical="center"/>
    </xf>
    <xf numFmtId="0" fontId="26" fillId="0" borderId="31" xfId="0" applyFont="1" applyBorder="1" applyAlignment="1" applyProtection="1">
      <alignment vertical="center"/>
    </xf>
    <xf numFmtId="0" fontId="33" fillId="7" borderId="25" xfId="0" applyFont="1" applyFill="1" applyBorder="1" applyAlignment="1" applyProtection="1">
      <alignment horizontal="right" vertical="center"/>
      <protection locked="0"/>
    </xf>
    <xf numFmtId="170" fontId="33" fillId="7" borderId="79" xfId="0" applyNumberFormat="1" applyFont="1" applyFill="1" applyBorder="1" applyAlignment="1" applyProtection="1">
      <alignment horizontal="right" vertical="center"/>
    </xf>
    <xf numFmtId="170" fontId="33" fillId="7" borderId="54" xfId="0" applyNumberFormat="1" applyFont="1" applyFill="1" applyBorder="1" applyAlignment="1" applyProtection="1">
      <alignment horizontal="right" vertical="center"/>
    </xf>
    <xf numFmtId="0" fontId="37" fillId="0" borderId="9" xfId="17" applyFont="1" applyBorder="1" applyAlignment="1" applyProtection="1">
      <alignment horizontal="left" vertical="center"/>
    </xf>
    <xf numFmtId="0" fontId="33" fillId="7" borderId="27" xfId="17" applyFont="1" applyFill="1" applyBorder="1" applyAlignment="1" applyProtection="1">
      <alignment horizontal="right" vertical="center"/>
    </xf>
    <xf numFmtId="0" fontId="33" fillId="7" borderId="26" xfId="17" applyFont="1" applyFill="1" applyBorder="1" applyAlignment="1" applyProtection="1">
      <alignment vertical="center"/>
      <protection locked="0"/>
    </xf>
    <xf numFmtId="0" fontId="33" fillId="7" borderId="26" xfId="17" applyFont="1" applyFill="1" applyBorder="1" applyAlignment="1">
      <alignment vertical="center"/>
    </xf>
    <xf numFmtId="0" fontId="33" fillId="3" borderId="11" xfId="17" applyFont="1" applyFill="1" applyBorder="1" applyAlignment="1" applyProtection="1">
      <alignment vertical="center"/>
      <protection locked="0"/>
    </xf>
    <xf numFmtId="0" fontId="33" fillId="7" borderId="25" xfId="0" applyFont="1" applyFill="1" applyBorder="1" applyAlignment="1" applyProtection="1">
      <alignment horizontal="right" vertical="center"/>
    </xf>
    <xf numFmtId="0" fontId="33" fillId="7" borderId="25" xfId="17" applyFont="1" applyFill="1" applyBorder="1" applyAlignment="1" applyProtection="1">
      <alignment vertical="center"/>
    </xf>
    <xf numFmtId="0" fontId="92" fillId="0" borderId="0" xfId="0" applyFont="1" applyAlignment="1">
      <alignment vertical="top"/>
    </xf>
    <xf numFmtId="0" fontId="0" fillId="0" borderId="0" xfId="0" applyAlignment="1" applyProtection="1">
      <alignment horizontal="center" vertical="top"/>
    </xf>
    <xf numFmtId="0" fontId="26" fillId="0" borderId="0" xfId="0" applyFont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center"/>
    </xf>
    <xf numFmtId="0" fontId="41" fillId="0" borderId="7" xfId="0" applyFont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14" xfId="0" applyBorder="1"/>
    <xf numFmtId="0" fontId="33" fillId="0" borderId="5" xfId="0" applyFont="1" applyBorder="1" applyAlignment="1">
      <alignment horizontal="left" vertical="center"/>
    </xf>
    <xf numFmtId="14" fontId="33" fillId="0" borderId="0" xfId="0" applyNumberFormat="1" applyFont="1" applyBorder="1" applyAlignment="1">
      <alignment horizontal="center" vertical="center"/>
    </xf>
    <xf numFmtId="0" fontId="41" fillId="0" borderId="5" xfId="0" applyFont="1" applyBorder="1" applyAlignment="1">
      <alignment vertical="top"/>
    </xf>
    <xf numFmtId="0" fontId="0" fillId="0" borderId="0" xfId="0" applyBorder="1" applyAlignment="1">
      <alignment horizontal="centerContinuous"/>
    </xf>
    <xf numFmtId="0" fontId="0" fillId="7" borderId="5" xfId="0" applyFill="1" applyBorder="1" applyAlignment="1">
      <alignment horizontal="centerContinuous" vertical="center"/>
    </xf>
    <xf numFmtId="0" fontId="39" fillId="7" borderId="0" xfId="0" applyFont="1" applyFill="1" applyBorder="1" applyAlignment="1">
      <alignment horizontal="left" vertical="top"/>
    </xf>
    <xf numFmtId="0" fontId="39" fillId="7" borderId="0" xfId="0" applyFont="1" applyFill="1" applyBorder="1" applyAlignment="1">
      <alignment horizontal="right" vertical="top"/>
    </xf>
    <xf numFmtId="0" fontId="40" fillId="7" borderId="11" xfId="0" applyFont="1" applyFill="1" applyBorder="1" applyAlignment="1">
      <alignment horizontal="left" vertical="top"/>
    </xf>
    <xf numFmtId="0" fontId="0" fillId="7" borderId="11" xfId="0" applyFill="1" applyBorder="1"/>
    <xf numFmtId="0" fontId="0" fillId="7" borderId="11" xfId="0" applyFill="1" applyBorder="1" applyProtection="1"/>
    <xf numFmtId="0" fontId="0" fillId="0" borderId="5" xfId="0" applyBorder="1" applyAlignment="1">
      <alignment horizontal="centerContinuous" vertical="center"/>
    </xf>
    <xf numFmtId="0" fontId="33" fillId="0" borderId="0" xfId="0" applyFont="1" applyBorder="1" applyAlignment="1">
      <alignment horizontal="left" vertical="top"/>
    </xf>
    <xf numFmtId="0" fontId="40" fillId="0" borderId="11" xfId="0" applyFont="1" applyBorder="1" applyAlignment="1">
      <alignment horizontal="left" vertical="top"/>
    </xf>
    <xf numFmtId="0" fontId="39" fillId="0" borderId="0" xfId="0" applyFont="1" applyBorder="1" applyAlignment="1">
      <alignment horizontal="left" vertical="top"/>
    </xf>
    <xf numFmtId="0" fontId="33" fillId="0" borderId="11" xfId="0" applyFont="1" applyBorder="1"/>
    <xf numFmtId="0" fontId="0" fillId="0" borderId="0" xfId="0" applyAlignment="1" applyProtection="1"/>
    <xf numFmtId="0" fontId="0" fillId="7" borderId="0" xfId="0" applyFill="1" applyBorder="1" applyAlignment="1" applyProtection="1"/>
    <xf numFmtId="188" fontId="26" fillId="7" borderId="0" xfId="0" applyNumberFormat="1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7" fillId="0" borderId="0" xfId="0" applyFont="1" applyAlignment="1" applyProtection="1">
      <alignment horizontal="right"/>
    </xf>
    <xf numFmtId="0" fontId="95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49" fontId="0" fillId="0" borderId="7" xfId="0" applyNumberFormat="1" applyBorder="1" applyAlignment="1">
      <alignment horizontal="left" vertical="top" wrapText="1"/>
    </xf>
    <xf numFmtId="2" fontId="0" fillId="0" borderId="0" xfId="0" applyNumberFormat="1"/>
    <xf numFmtId="0" fontId="33" fillId="0" borderId="80" xfId="0" applyFont="1" applyFill="1" applyBorder="1" applyAlignment="1" applyProtection="1">
      <alignment horizontal="center" vertical="center"/>
    </xf>
    <xf numFmtId="0" fontId="33" fillId="0" borderId="81" xfId="0" applyFont="1" applyBorder="1" applyAlignment="1">
      <alignment horizontal="center" vertical="center"/>
    </xf>
    <xf numFmtId="0" fontId="36" fillId="0" borderId="82" xfId="0" applyFont="1" applyFill="1" applyBorder="1" applyAlignment="1" applyProtection="1">
      <alignment horizontal="center" vertical="center"/>
    </xf>
    <xf numFmtId="0" fontId="36" fillId="0" borderId="62" xfId="0" applyFont="1" applyFill="1" applyBorder="1" applyAlignment="1" applyProtection="1">
      <alignment horizontal="center" vertical="center"/>
    </xf>
    <xf numFmtId="0" fontId="36" fillId="0" borderId="80" xfId="0" applyFont="1" applyFill="1" applyBorder="1" applyAlignment="1" applyProtection="1">
      <alignment horizontal="center" vertical="center"/>
    </xf>
    <xf numFmtId="0" fontId="35" fillId="0" borderId="83" xfId="0" applyFont="1" applyBorder="1" applyAlignment="1" applyProtection="1">
      <alignment vertical="center"/>
    </xf>
    <xf numFmtId="0" fontId="33" fillId="0" borderId="84" xfId="0" applyFont="1" applyFill="1" applyBorder="1" applyAlignment="1" applyProtection="1">
      <alignment horizontal="center" vertical="center"/>
    </xf>
    <xf numFmtId="0" fontId="35" fillId="0" borderId="84" xfId="0" applyFont="1" applyFill="1" applyBorder="1" applyAlignment="1" applyProtection="1">
      <alignment horizontal="centerContinuous" vertical="center"/>
    </xf>
    <xf numFmtId="0" fontId="33" fillId="0" borderId="85" xfId="0" applyFont="1" applyFill="1" applyBorder="1" applyAlignment="1" applyProtection="1">
      <alignment horizontal="centerContinuous" vertical="center"/>
    </xf>
    <xf numFmtId="0" fontId="35" fillId="0" borderId="84" xfId="0" applyFont="1" applyFill="1" applyBorder="1" applyAlignment="1" applyProtection="1">
      <alignment horizontal="center" vertical="center"/>
    </xf>
    <xf numFmtId="0" fontId="36" fillId="0" borderId="85" xfId="0" applyFont="1" applyFill="1" applyBorder="1" applyAlignment="1" applyProtection="1">
      <alignment horizontal="centerContinuous" vertical="center"/>
    </xf>
    <xf numFmtId="0" fontId="36" fillId="0" borderId="86" xfId="0" applyFont="1" applyFill="1" applyBorder="1" applyAlignment="1" applyProtection="1">
      <alignment horizontal="centerContinuous" vertical="center"/>
    </xf>
    <xf numFmtId="0" fontId="35" fillId="0" borderId="63" xfId="0" applyFont="1" applyBorder="1" applyAlignment="1" applyProtection="1">
      <alignment vertical="center"/>
    </xf>
    <xf numFmtId="0" fontId="36" fillId="0" borderId="87" xfId="0" applyFont="1" applyFill="1" applyBorder="1" applyAlignment="1" applyProtection="1">
      <alignment horizontal="center" vertical="center"/>
    </xf>
    <xf numFmtId="0" fontId="35" fillId="0" borderId="65" xfId="0" applyFont="1" applyBorder="1" applyAlignment="1" applyProtection="1">
      <alignment vertical="center"/>
    </xf>
    <xf numFmtId="0" fontId="36" fillId="0" borderId="88" xfId="0" applyFont="1" applyFill="1" applyBorder="1" applyAlignment="1" applyProtection="1">
      <alignment horizontal="center" vertical="center"/>
    </xf>
    <xf numFmtId="0" fontId="40" fillId="0" borderId="0" xfId="0" applyFont="1"/>
    <xf numFmtId="0" fontId="26" fillId="0" borderId="0" xfId="0" applyFont="1" applyAlignment="1" applyProtection="1">
      <alignment horizontal="left"/>
    </xf>
    <xf numFmtId="0" fontId="26" fillId="0" borderId="48" xfId="0" applyFont="1" applyBorder="1" applyAlignment="1">
      <alignment vertical="center"/>
    </xf>
    <xf numFmtId="0" fontId="26" fillId="0" borderId="48" xfId="0" applyFont="1" applyBorder="1" applyAlignment="1" applyProtection="1">
      <alignment vertical="center"/>
    </xf>
    <xf numFmtId="0" fontId="33" fillId="0" borderId="52" xfId="17" applyFont="1" applyBorder="1" applyAlignment="1">
      <alignment horizontal="left" vertical="center"/>
    </xf>
    <xf numFmtId="0" fontId="33" fillId="0" borderId="89" xfId="17" applyFont="1" applyBorder="1" applyAlignment="1">
      <alignment horizontal="center" vertical="center"/>
    </xf>
    <xf numFmtId="0" fontId="26" fillId="0" borderId="52" xfId="0" applyFont="1" applyBorder="1" applyAlignment="1">
      <alignment vertical="center"/>
    </xf>
    <xf numFmtId="2" fontId="33" fillId="8" borderId="78" xfId="0" applyNumberFormat="1" applyFont="1" applyFill="1" applyBorder="1" applyAlignment="1" applyProtection="1">
      <alignment horizontal="right" vertical="center"/>
      <protection locked="0"/>
    </xf>
    <xf numFmtId="2" fontId="33" fillId="8" borderId="59" xfId="0" applyNumberFormat="1" applyFont="1" applyFill="1" applyBorder="1" applyAlignment="1" applyProtection="1">
      <alignment horizontal="right" vertical="center"/>
      <protection locked="0"/>
    </xf>
    <xf numFmtId="170" fontId="33" fillId="8" borderId="78" xfId="0" applyNumberFormat="1" applyFont="1" applyFill="1" applyBorder="1" applyAlignment="1" applyProtection="1">
      <alignment horizontal="right" vertical="center"/>
      <protection locked="0"/>
    </xf>
    <xf numFmtId="170" fontId="33" fillId="8" borderId="59" xfId="0" applyNumberFormat="1" applyFont="1" applyFill="1" applyBorder="1" applyAlignment="1" applyProtection="1">
      <alignment horizontal="right" vertical="center"/>
      <protection locked="0"/>
    </xf>
    <xf numFmtId="0" fontId="0" fillId="0" borderId="89" xfId="0" applyBorder="1" applyAlignment="1">
      <alignment vertical="center"/>
    </xf>
    <xf numFmtId="0" fontId="33" fillId="7" borderId="41" xfId="0" applyFont="1" applyFill="1" applyBorder="1" applyAlignment="1" applyProtection="1">
      <alignment vertical="center"/>
    </xf>
    <xf numFmtId="0" fontId="33" fillId="8" borderId="78" xfId="0" applyFont="1" applyFill="1" applyBorder="1" applyAlignment="1" applyProtection="1">
      <alignment vertical="center"/>
      <protection locked="0"/>
    </xf>
    <xf numFmtId="0" fontId="33" fillId="0" borderId="89" xfId="17" applyFont="1" applyBorder="1" applyAlignment="1" applyProtection="1">
      <alignment horizontal="center" vertical="center"/>
    </xf>
    <xf numFmtId="0" fontId="26" fillId="0" borderId="52" xfId="0" applyFont="1" applyBorder="1" applyAlignment="1" applyProtection="1">
      <alignment vertical="center"/>
    </xf>
    <xf numFmtId="0" fontId="31" fillId="0" borderId="6" xfId="17" applyFont="1" applyBorder="1" applyAlignment="1">
      <alignment vertical="center"/>
    </xf>
    <xf numFmtId="0" fontId="31" fillId="0" borderId="2" xfId="17" applyFont="1" applyBorder="1" applyAlignment="1">
      <alignment vertical="center"/>
    </xf>
    <xf numFmtId="0" fontId="26" fillId="0" borderId="47" xfId="0" applyFont="1" applyBorder="1" applyAlignment="1">
      <alignment vertical="center"/>
    </xf>
    <xf numFmtId="0" fontId="33" fillId="0" borderId="48" xfId="17" applyFont="1" applyBorder="1" applyAlignment="1" applyProtection="1">
      <alignment vertical="center"/>
    </xf>
    <xf numFmtId="0" fontId="0" fillId="0" borderId="48" xfId="0" applyBorder="1" applyAlignment="1">
      <alignment vertical="center"/>
    </xf>
    <xf numFmtId="0" fontId="0" fillId="0" borderId="60" xfId="0" applyBorder="1" applyAlignment="1">
      <alignment vertical="center"/>
    </xf>
    <xf numFmtId="0" fontId="33" fillId="8" borderId="90" xfId="17" applyFont="1" applyFill="1" applyBorder="1" applyAlignment="1" applyProtection="1">
      <alignment vertical="center"/>
      <protection locked="0"/>
    </xf>
    <xf numFmtId="0" fontId="33" fillId="8" borderId="91" xfId="17" applyFont="1" applyFill="1" applyBorder="1" applyAlignment="1" applyProtection="1">
      <alignment vertical="center"/>
      <protection locked="0"/>
    </xf>
    <xf numFmtId="0" fontId="0" fillId="8" borderId="91" xfId="0" applyFill="1" applyBorder="1" applyAlignment="1" applyProtection="1">
      <alignment vertical="center"/>
      <protection locked="0"/>
    </xf>
    <xf numFmtId="0" fontId="33" fillId="8" borderId="91" xfId="17" applyFont="1" applyFill="1" applyBorder="1" applyAlignment="1" applyProtection="1">
      <alignment horizontal="right" vertical="center"/>
      <protection locked="0"/>
    </xf>
    <xf numFmtId="0" fontId="33" fillId="8" borderId="92" xfId="0" applyFont="1" applyFill="1" applyBorder="1" applyAlignment="1" applyProtection="1">
      <alignment vertical="center"/>
      <protection locked="0"/>
    </xf>
    <xf numFmtId="0" fontId="37" fillId="0" borderId="48" xfId="17" applyFont="1" applyBorder="1" applyAlignment="1" applyProtection="1">
      <alignment horizontal="right" vertical="center"/>
    </xf>
    <xf numFmtId="0" fontId="37" fillId="8" borderId="91" xfId="17" applyFont="1" applyFill="1" applyBorder="1" applyAlignment="1" applyProtection="1">
      <alignment horizontal="right" vertical="center"/>
      <protection locked="0"/>
    </xf>
    <xf numFmtId="0" fontId="0" fillId="0" borderId="60" xfId="0" applyBorder="1" applyAlignment="1" applyProtection="1">
      <alignment vertical="center"/>
    </xf>
    <xf numFmtId="0" fontId="33" fillId="0" borderId="11" xfId="17" applyFont="1" applyBorder="1" applyAlignment="1" applyProtection="1">
      <alignment horizontal="center" vertical="center"/>
    </xf>
    <xf numFmtId="0" fontId="33" fillId="7" borderId="37" xfId="0" applyFont="1" applyFill="1" applyBorder="1" applyAlignment="1">
      <alignment vertical="center"/>
    </xf>
    <xf numFmtId="0" fontId="33" fillId="7" borderId="37" xfId="0" applyFont="1" applyFill="1" applyBorder="1" applyAlignment="1" applyProtection="1">
      <alignment vertical="center"/>
    </xf>
    <xf numFmtId="0" fontId="33" fillId="7" borderId="90" xfId="17" applyFont="1" applyFill="1" applyBorder="1" applyAlignment="1" applyProtection="1">
      <alignment vertical="center"/>
      <protection locked="0"/>
    </xf>
    <xf numFmtId="170" fontId="33" fillId="8" borderId="79" xfId="0" applyNumberFormat="1" applyFont="1" applyFill="1" applyBorder="1" applyAlignment="1" applyProtection="1">
      <alignment horizontal="right" vertical="center"/>
      <protection locked="0"/>
    </xf>
    <xf numFmtId="170" fontId="33" fillId="8" borderId="30" xfId="0" applyNumberFormat="1" applyFont="1" applyFill="1" applyBorder="1" applyAlignment="1" applyProtection="1">
      <alignment horizontal="right" vertical="center"/>
      <protection locked="0"/>
    </xf>
    <xf numFmtId="170" fontId="33" fillId="8" borderId="2" xfId="0" applyNumberFormat="1" applyFont="1" applyFill="1" applyBorder="1" applyAlignment="1" applyProtection="1">
      <alignment horizontal="right" vertical="center"/>
      <protection locked="0"/>
    </xf>
    <xf numFmtId="170" fontId="33" fillId="8" borderId="16" xfId="0" applyNumberFormat="1" applyFont="1" applyFill="1" applyBorder="1" applyAlignment="1" applyProtection="1">
      <alignment horizontal="right" vertical="center"/>
      <protection locked="0"/>
    </xf>
    <xf numFmtId="181" fontId="33" fillId="7" borderId="16" xfId="0" applyNumberFormat="1" applyFont="1" applyFill="1" applyBorder="1" applyAlignment="1" applyProtection="1">
      <alignment horizontal="right" vertical="center"/>
    </xf>
    <xf numFmtId="182" fontId="33" fillId="7" borderId="15" xfId="17" applyNumberFormat="1" applyFont="1" applyFill="1" applyBorder="1" applyAlignment="1" applyProtection="1">
      <alignment vertical="center"/>
    </xf>
    <xf numFmtId="0" fontId="36" fillId="0" borderId="5" xfId="17" applyFont="1" applyBorder="1" applyAlignment="1" applyProtection="1">
      <alignment vertical="center"/>
    </xf>
    <xf numFmtId="185" fontId="35" fillId="0" borderId="11" xfId="14" applyNumberFormat="1" applyFont="1" applyBorder="1" applyAlignment="1" applyProtection="1">
      <alignment horizontal="center" vertical="center"/>
    </xf>
    <xf numFmtId="185" fontId="35" fillId="0" borderId="11" xfId="14" applyNumberFormat="1" applyFont="1" applyBorder="1" applyAlignment="1">
      <alignment horizontal="center" vertical="center"/>
    </xf>
    <xf numFmtId="0" fontId="46" fillId="5" borderId="83" xfId="0" applyFont="1" applyFill="1" applyBorder="1" applyAlignment="1">
      <alignment horizontal="centerContinuous"/>
    </xf>
    <xf numFmtId="0" fontId="46" fillId="5" borderId="85" xfId="0" applyFont="1" applyFill="1" applyBorder="1" applyAlignment="1">
      <alignment horizontal="centerContinuous"/>
    </xf>
    <xf numFmtId="0" fontId="46" fillId="5" borderId="86" xfId="0" applyFont="1" applyFill="1" applyBorder="1" applyAlignment="1">
      <alignment horizontal="centerContinuous"/>
    </xf>
    <xf numFmtId="0" fontId="24" fillId="5" borderId="63" xfId="0" applyFont="1" applyFill="1" applyBorder="1" applyAlignment="1">
      <alignment horizontal="centerContinuous"/>
    </xf>
    <xf numFmtId="0" fontId="24" fillId="5" borderId="0" xfId="0" applyFont="1" applyFill="1" applyBorder="1" applyAlignment="1">
      <alignment horizontal="centerContinuous"/>
    </xf>
    <xf numFmtId="0" fontId="24" fillId="5" borderId="64" xfId="0" applyFont="1" applyFill="1" applyBorder="1" applyAlignment="1">
      <alignment horizontal="centerContinuous"/>
    </xf>
    <xf numFmtId="49" fontId="0" fillId="0" borderId="8" xfId="0" applyNumberFormat="1" applyBorder="1" applyAlignment="1">
      <alignment horizontal="left" vertical="top" wrapText="1"/>
    </xf>
    <xf numFmtId="49" fontId="0" fillId="0" borderId="6" xfId="0" applyNumberFormat="1" applyBorder="1" applyAlignment="1">
      <alignment horizontal="left" vertical="top" wrapText="1"/>
    </xf>
    <xf numFmtId="49" fontId="0" fillId="0" borderId="2" xfId="0" applyNumberFormat="1" applyBorder="1" applyAlignment="1">
      <alignment horizontal="left" vertical="top" wrapText="1"/>
    </xf>
    <xf numFmtId="0" fontId="24" fillId="0" borderId="17" xfId="0" applyFont="1" applyBorder="1" applyAlignment="1">
      <alignment horizontal="centerContinuous" vertical="center"/>
    </xf>
    <xf numFmtId="0" fontId="24" fillId="0" borderId="8" xfId="0" applyFont="1" applyBorder="1" applyAlignment="1">
      <alignment horizontal="centerContinuous" vertical="center"/>
    </xf>
    <xf numFmtId="0" fontId="24" fillId="0" borderId="77" xfId="0" applyFont="1" applyBorder="1" applyAlignment="1">
      <alignment horizontal="centerContinuous" vertical="center"/>
    </xf>
    <xf numFmtId="0" fontId="39" fillId="0" borderId="0" xfId="0" applyFont="1" applyBorder="1" applyAlignment="1">
      <alignment horizontal="centerContinuous" vertical="center"/>
    </xf>
    <xf numFmtId="0" fontId="33" fillId="0" borderId="0" xfId="0" applyFont="1" applyBorder="1" applyAlignment="1">
      <alignment horizontal="centerContinuous" vertical="top"/>
    </xf>
    <xf numFmtId="0" fontId="26" fillId="0" borderId="0" xfId="17" applyFont="1" applyBorder="1" applyAlignment="1" applyProtection="1">
      <alignment horizontal="left" vertical="center"/>
    </xf>
    <xf numFmtId="0" fontId="0" fillId="0" borderId="46" xfId="0" applyBorder="1" applyAlignment="1">
      <alignment vertical="top"/>
    </xf>
    <xf numFmtId="0" fontId="0" fillId="4" borderId="0" xfId="0" applyFill="1"/>
    <xf numFmtId="0" fontId="19" fillId="4" borderId="9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Continuous" vertical="center"/>
    </xf>
    <xf numFmtId="0" fontId="19" fillId="4" borderId="8" xfId="0" applyFont="1" applyFill="1" applyBorder="1" applyAlignment="1">
      <alignment horizontal="centerContinuous" vertical="center"/>
    </xf>
    <xf numFmtId="0" fontId="19" fillId="4" borderId="14" xfId="0" applyFont="1" applyFill="1" applyBorder="1" applyAlignment="1">
      <alignment horizontal="centerContinuous" vertical="center"/>
    </xf>
    <xf numFmtId="0" fontId="19" fillId="4" borderId="9" xfId="0" applyFont="1" applyFill="1" applyBorder="1" applyAlignment="1">
      <alignment horizontal="left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0" fillId="4" borderId="9" xfId="0" applyFill="1" applyBorder="1"/>
    <xf numFmtId="0" fontId="20" fillId="4" borderId="0" xfId="0" applyFont="1" applyFill="1" applyBorder="1" applyAlignment="1">
      <alignment horizontal="centerContinuous" vertical="center"/>
    </xf>
    <xf numFmtId="0" fontId="20" fillId="4" borderId="11" xfId="0" applyFont="1" applyFill="1" applyBorder="1" applyAlignment="1">
      <alignment horizontal="centerContinuous" vertical="center"/>
    </xf>
    <xf numFmtId="0" fontId="19" fillId="4" borderId="53" xfId="0" applyFont="1" applyFill="1" applyBorder="1" applyAlignment="1">
      <alignment horizontal="center" vertical="center"/>
    </xf>
    <xf numFmtId="184" fontId="0" fillId="4" borderId="2" xfId="0" applyNumberFormat="1" applyFill="1" applyBorder="1" applyAlignment="1">
      <alignment horizontal="center" vertical="center"/>
    </xf>
    <xf numFmtId="184" fontId="0" fillId="4" borderId="25" xfId="0" applyNumberFormat="1" applyFill="1" applyBorder="1" applyAlignment="1">
      <alignment horizontal="center" vertical="center"/>
    </xf>
    <xf numFmtId="0" fontId="0" fillId="4" borderId="5" xfId="0" applyFill="1" applyBorder="1"/>
    <xf numFmtId="0" fontId="20" fillId="4" borderId="5" xfId="0" applyFont="1" applyFill="1" applyBorder="1" applyAlignment="1">
      <alignment horizontal="centerContinuous" vertical="center"/>
    </xf>
    <xf numFmtId="0" fontId="0" fillId="4" borderId="1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19" fillId="4" borderId="0" xfId="0" applyFont="1" applyFill="1" applyBorder="1" applyAlignment="1">
      <alignment horizontal="centerContinuous" vertical="center"/>
    </xf>
    <xf numFmtId="0" fontId="19" fillId="4" borderId="11" xfId="0" applyFont="1" applyFill="1" applyBorder="1" applyAlignment="1">
      <alignment horizontal="centerContinuous" vertical="center"/>
    </xf>
    <xf numFmtId="0" fontId="44" fillId="4" borderId="0" xfId="0" applyFont="1" applyFill="1" applyBorder="1" applyAlignment="1">
      <alignment horizontal="center" vertical="center"/>
    </xf>
    <xf numFmtId="0" fontId="0" fillId="4" borderId="11" xfId="0" applyFill="1" applyBorder="1" applyAlignment="1">
      <alignment vertical="center"/>
    </xf>
    <xf numFmtId="0" fontId="44" fillId="4" borderId="2" xfId="0" applyFont="1" applyFill="1" applyBorder="1" applyAlignment="1">
      <alignment horizontal="centerContinuous" vertical="center"/>
    </xf>
    <xf numFmtId="0" fontId="20" fillId="4" borderId="2" xfId="0" applyFont="1" applyFill="1" applyBorder="1" applyAlignment="1">
      <alignment horizontal="center" vertical="center"/>
    </xf>
    <xf numFmtId="0" fontId="0" fillId="4" borderId="25" xfId="0" applyFill="1" applyBorder="1" applyAlignment="1">
      <alignment vertical="center"/>
    </xf>
    <xf numFmtId="0" fontId="19" fillId="4" borderId="10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Continuous" vertical="center"/>
    </xf>
    <xf numFmtId="0" fontId="20" fillId="4" borderId="25" xfId="0" applyFont="1" applyFill="1" applyBorder="1" applyAlignment="1">
      <alignment horizontal="centerContinuous" vertical="center"/>
    </xf>
    <xf numFmtId="0" fontId="19" fillId="4" borderId="7" xfId="0" applyFont="1" applyFill="1" applyBorder="1" applyAlignment="1">
      <alignment horizontal="left" vertical="center"/>
    </xf>
    <xf numFmtId="0" fontId="19" fillId="4" borderId="10" xfId="0" applyFont="1" applyFill="1" applyBorder="1" applyAlignment="1">
      <alignment horizontal="centerContinuous" vertical="center"/>
    </xf>
    <xf numFmtId="0" fontId="19" fillId="4" borderId="5" xfId="0" applyFont="1" applyFill="1" applyBorder="1" applyAlignment="1">
      <alignment horizontal="left" vertical="center"/>
    </xf>
    <xf numFmtId="0" fontId="19" fillId="4" borderId="9" xfId="0" applyFont="1" applyFill="1" applyBorder="1" applyAlignment="1">
      <alignment horizontal="centerContinuous" vertical="center"/>
    </xf>
    <xf numFmtId="0" fontId="19" fillId="4" borderId="5" xfId="0" applyFont="1" applyFill="1" applyBorder="1" applyAlignment="1">
      <alignment horizontal="centerContinuous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0" fontId="0" fillId="0" borderId="8" xfId="0" applyBorder="1" applyAlignment="1">
      <alignment horizontal="centerContinuous"/>
    </xf>
    <xf numFmtId="0" fontId="38" fillId="7" borderId="2" xfId="0" applyFont="1" applyFill="1" applyBorder="1" applyAlignment="1">
      <alignment horizontal="centerContinuous" vertical="center"/>
    </xf>
    <xf numFmtId="0" fontId="0" fillId="0" borderId="0" xfId="0" applyBorder="1" applyAlignment="1">
      <alignment horizontal="right" vertical="center"/>
    </xf>
    <xf numFmtId="0" fontId="19" fillId="0" borderId="0" xfId="0" applyFont="1" applyBorder="1" applyAlignment="1">
      <alignment vertical="center"/>
    </xf>
    <xf numFmtId="0" fontId="33" fillId="7" borderId="0" xfId="0" applyFont="1" applyFill="1" applyBorder="1" applyAlignment="1">
      <alignment horizontal="right" vertical="center"/>
    </xf>
    <xf numFmtId="0" fontId="44" fillId="0" borderId="0" xfId="0" applyFont="1" applyBorder="1" applyAlignment="1">
      <alignment horizontal="right" vertical="center"/>
    </xf>
    <xf numFmtId="0" fontId="36" fillId="0" borderId="0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33" fillId="8" borderId="0" xfId="0" applyFont="1" applyFill="1" applyBorder="1" applyAlignment="1" applyProtection="1">
      <alignment horizontal="right" vertical="center"/>
      <protection locked="0"/>
    </xf>
    <xf numFmtId="0" fontId="33" fillId="7" borderId="2" xfId="0" applyFont="1" applyFill="1" applyBorder="1" applyAlignment="1" applyProtection="1">
      <alignment horizontal="right" vertical="center"/>
    </xf>
    <xf numFmtId="0" fontId="20" fillId="0" borderId="8" xfId="0" applyFont="1" applyBorder="1" applyAlignment="1">
      <alignment horizontal="left" vertical="center"/>
    </xf>
    <xf numFmtId="0" fontId="33" fillId="0" borderId="48" xfId="0" applyFont="1" applyBorder="1" applyAlignment="1">
      <alignment vertical="center"/>
    </xf>
    <xf numFmtId="0" fontId="33" fillId="0" borderId="60" xfId="0" applyFont="1" applyBorder="1" applyAlignment="1">
      <alignment vertical="center"/>
    </xf>
    <xf numFmtId="0" fontId="33" fillId="0" borderId="52" xfId="0" applyFont="1" applyBorder="1" applyAlignment="1">
      <alignment vertical="center"/>
    </xf>
    <xf numFmtId="179" fontId="33" fillId="7" borderId="25" xfId="0" applyNumberFormat="1" applyFont="1" applyFill="1" applyBorder="1" applyAlignment="1" applyProtection="1">
      <alignment horizontal="left" vertical="center"/>
    </xf>
    <xf numFmtId="166" fontId="33" fillId="7" borderId="49" xfId="0" applyNumberFormat="1" applyFont="1" applyFill="1" applyBorder="1" applyAlignment="1" applyProtection="1">
      <alignment horizontal="center" vertical="center"/>
    </xf>
    <xf numFmtId="0" fontId="33" fillId="7" borderId="5" xfId="17" applyFont="1" applyFill="1" applyBorder="1" applyAlignment="1" applyProtection="1">
      <alignment vertical="center"/>
    </xf>
    <xf numFmtId="0" fontId="33" fillId="7" borderId="6" xfId="17" applyFont="1" applyFill="1" applyBorder="1" applyAlignment="1" applyProtection="1">
      <alignment vertical="center"/>
    </xf>
    <xf numFmtId="188" fontId="31" fillId="7" borderId="0" xfId="0" applyNumberFormat="1" applyFont="1" applyFill="1" applyBorder="1" applyAlignment="1">
      <alignment horizontal="right" vertical="center"/>
    </xf>
    <xf numFmtId="173" fontId="24" fillId="7" borderId="0" xfId="0" applyNumberFormat="1" applyFont="1" applyFill="1" applyBorder="1" applyAlignment="1">
      <alignment horizontal="right" vertical="center"/>
    </xf>
    <xf numFmtId="0" fontId="30" fillId="7" borderId="0" xfId="17" applyFont="1" applyFill="1" applyBorder="1" applyAlignment="1" applyProtection="1">
      <alignment vertical="center"/>
    </xf>
    <xf numFmtId="170" fontId="30" fillId="7" borderId="0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horizontal="right" vertical="center"/>
    </xf>
    <xf numFmtId="188" fontId="31" fillId="4" borderId="9" xfId="0" applyNumberFormat="1" applyFont="1" applyFill="1" applyBorder="1" applyAlignment="1">
      <alignment horizontal="right" vertical="center"/>
    </xf>
    <xf numFmtId="185" fontId="24" fillId="4" borderId="9" xfId="0" applyNumberFormat="1" applyFont="1" applyFill="1" applyBorder="1" applyAlignment="1">
      <alignment horizontal="right" vertical="center"/>
    </xf>
    <xf numFmtId="0" fontId="29" fillId="4" borderId="0" xfId="17" applyFont="1" applyFill="1" applyBorder="1" applyAlignment="1" applyProtection="1">
      <alignment vertical="center"/>
    </xf>
    <xf numFmtId="0" fontId="26" fillId="4" borderId="0" xfId="17" applyFont="1" applyFill="1" applyBorder="1" applyAlignment="1" applyProtection="1">
      <alignment vertical="center"/>
    </xf>
    <xf numFmtId="0" fontId="28" fillId="4" borderId="0" xfId="17" applyFont="1" applyFill="1" applyBorder="1" applyAlignment="1" applyProtection="1">
      <alignment vertical="center"/>
    </xf>
    <xf numFmtId="0" fontId="23" fillId="4" borderId="0" xfId="17" applyFont="1" applyFill="1" applyBorder="1" applyAlignment="1" applyProtection="1">
      <alignment vertical="center"/>
    </xf>
    <xf numFmtId="170" fontId="30" fillId="4" borderId="9" xfId="0" applyNumberFormat="1" applyFont="1" applyFill="1" applyBorder="1" applyAlignment="1">
      <alignment horizontal="right" vertical="center"/>
    </xf>
    <xf numFmtId="174" fontId="23" fillId="4" borderId="53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vertical="center"/>
    </xf>
    <xf numFmtId="0" fontId="23" fillId="4" borderId="85" xfId="0" applyFont="1" applyFill="1" applyBorder="1" applyAlignment="1">
      <alignment vertical="center"/>
    </xf>
    <xf numFmtId="174" fontId="23" fillId="4" borderId="93" xfId="0" applyNumberFormat="1" applyFont="1" applyFill="1" applyBorder="1" applyAlignment="1">
      <alignment horizontal="center" vertical="center"/>
    </xf>
    <xf numFmtId="174" fontId="23" fillId="4" borderId="94" xfId="0" applyNumberFormat="1" applyFont="1" applyFill="1" applyBorder="1" applyAlignment="1">
      <alignment horizontal="center" vertical="center"/>
    </xf>
    <xf numFmtId="174" fontId="23" fillId="4" borderId="71" xfId="0" applyNumberFormat="1" applyFont="1" applyFill="1" applyBorder="1" applyAlignment="1">
      <alignment horizontal="center" vertical="center"/>
    </xf>
    <xf numFmtId="170" fontId="30" fillId="7" borderId="67" xfId="0" applyNumberFormat="1" applyFont="1" applyFill="1" applyBorder="1" applyAlignment="1">
      <alignment horizontal="right" vertical="center"/>
    </xf>
    <xf numFmtId="0" fontId="23" fillId="4" borderId="62" xfId="17" applyFont="1" applyFill="1" applyBorder="1" applyAlignment="1" applyProtection="1">
      <alignment vertical="center"/>
    </xf>
    <xf numFmtId="188" fontId="31" fillId="4" borderId="95" xfId="0" applyNumberFormat="1" applyFont="1" applyFill="1" applyBorder="1" applyAlignment="1">
      <alignment horizontal="right" vertical="center"/>
    </xf>
    <xf numFmtId="0" fontId="29" fillId="4" borderId="85" xfId="17" applyFont="1" applyFill="1" applyBorder="1" applyAlignment="1" applyProtection="1">
      <alignment vertical="center"/>
    </xf>
    <xf numFmtId="0" fontId="26" fillId="4" borderId="85" xfId="17" applyFont="1" applyFill="1" applyBorder="1" applyAlignment="1" applyProtection="1">
      <alignment vertical="center"/>
    </xf>
    <xf numFmtId="0" fontId="33" fillId="0" borderId="11" xfId="17" applyFont="1" applyFill="1" applyBorder="1" applyAlignment="1" applyProtection="1">
      <alignment horizontal="right" vertical="center"/>
    </xf>
    <xf numFmtId="0" fontId="33" fillId="0" borderId="0" xfId="17" applyFont="1" applyBorder="1" applyAlignment="1" applyProtection="1">
      <alignment horizontal="right" vertical="center"/>
    </xf>
    <xf numFmtId="188" fontId="26" fillId="4" borderId="9" xfId="0" applyNumberFormat="1" applyFont="1" applyFill="1" applyBorder="1" applyAlignment="1">
      <alignment horizontal="right" vertical="center"/>
    </xf>
    <xf numFmtId="185" fontId="26" fillId="4" borderId="9" xfId="0" applyNumberFormat="1" applyFont="1" applyFill="1" applyBorder="1" applyAlignment="1">
      <alignment horizontal="right" vertical="center"/>
    </xf>
    <xf numFmtId="185" fontId="26" fillId="7" borderId="71" xfId="11" applyNumberFormat="1" applyFont="1" applyFill="1" applyBorder="1" applyAlignment="1">
      <alignment horizontal="right" vertical="center"/>
    </xf>
    <xf numFmtId="0" fontId="65" fillId="7" borderId="0" xfId="0" applyFont="1" applyFill="1" applyBorder="1" applyAlignment="1">
      <alignment textRotation="90"/>
    </xf>
    <xf numFmtId="0" fontId="65" fillId="7" borderId="0" xfId="0" applyFont="1" applyFill="1" applyBorder="1" applyAlignment="1">
      <alignment vertical="center" textRotation="90"/>
    </xf>
    <xf numFmtId="0" fontId="65" fillId="7" borderId="96" xfId="0" applyFont="1" applyFill="1" applyBorder="1" applyAlignment="1">
      <alignment horizontal="center" vertical="center"/>
    </xf>
    <xf numFmtId="0" fontId="65" fillId="7" borderId="0" xfId="0" applyFont="1" applyFill="1" applyBorder="1"/>
    <xf numFmtId="0" fontId="65" fillId="0" borderId="0" xfId="0" applyFont="1" applyBorder="1"/>
    <xf numFmtId="49" fontId="0" fillId="0" borderId="0" xfId="0" applyNumberFormat="1" applyBorder="1" applyAlignment="1">
      <alignment horizontal="left" vertical="center"/>
    </xf>
    <xf numFmtId="0" fontId="33" fillId="4" borderId="0" xfId="17" applyFont="1" applyFill="1" applyBorder="1" applyAlignment="1" applyProtection="1">
      <alignment horizontal="right" vertical="center"/>
    </xf>
    <xf numFmtId="0" fontId="33" fillId="4" borderId="62" xfId="17" applyFont="1" applyFill="1" applyBorder="1" applyAlignment="1" applyProtection="1">
      <alignment horizontal="right" vertical="center"/>
    </xf>
    <xf numFmtId="0" fontId="33" fillId="4" borderId="85" xfId="0" applyFont="1" applyFill="1" applyBorder="1" applyAlignment="1">
      <alignment horizontal="left" vertical="center"/>
    </xf>
    <xf numFmtId="0" fontId="33" fillId="4" borderId="0" xfId="0" applyFont="1" applyFill="1" applyBorder="1" applyAlignment="1">
      <alignment horizontal="left" vertical="center"/>
    </xf>
    <xf numFmtId="0" fontId="33" fillId="0" borderId="25" xfId="17" applyFont="1" applyBorder="1" applyAlignment="1" applyProtection="1">
      <alignment horizontal="right" vertical="center"/>
    </xf>
    <xf numFmtId="0" fontId="33" fillId="4" borderId="11" xfId="17" applyFont="1" applyFill="1" applyBorder="1" applyAlignment="1" applyProtection="1">
      <alignment horizontal="right" vertical="center"/>
    </xf>
    <xf numFmtId="0" fontId="33" fillId="7" borderId="0" xfId="17" applyFont="1" applyFill="1" applyBorder="1" applyAlignment="1" applyProtection="1">
      <alignment horizontal="right" vertical="center"/>
    </xf>
    <xf numFmtId="0" fontId="33" fillId="4" borderId="85" xfId="17" applyFont="1" applyFill="1" applyBorder="1" applyAlignment="1" applyProtection="1">
      <alignment horizontal="right" vertical="center"/>
    </xf>
    <xf numFmtId="0" fontId="33" fillId="7" borderId="2" xfId="17" applyFont="1" applyFill="1" applyBorder="1" applyAlignment="1" applyProtection="1">
      <alignment horizontal="right" vertical="center"/>
    </xf>
    <xf numFmtId="0" fontId="0" fillId="0" borderId="5" xfId="0" applyBorder="1" applyAlignment="1" applyProtection="1">
      <alignment horizontal="left" vertical="center"/>
    </xf>
    <xf numFmtId="0" fontId="0" fillId="0" borderId="5" xfId="0" applyBorder="1" applyAlignment="1">
      <alignment horizontal="left" vertical="center"/>
    </xf>
    <xf numFmtId="3" fontId="24" fillId="4" borderId="7" xfId="0" applyNumberFormat="1" applyFont="1" applyFill="1" applyBorder="1" applyAlignment="1" applyProtection="1">
      <alignment horizontal="centerContinuous" vertical="center"/>
    </xf>
    <xf numFmtId="173" fontId="35" fillId="4" borderId="14" xfId="14" applyNumberFormat="1" applyFont="1" applyFill="1" applyBorder="1" applyAlignment="1" applyProtection="1">
      <alignment horizontal="centerContinuous" vertical="center"/>
    </xf>
    <xf numFmtId="0" fontId="33" fillId="4" borderId="6" xfId="0" applyFont="1" applyFill="1" applyBorder="1" applyProtection="1"/>
    <xf numFmtId="173" fontId="35" fillId="4" borderId="25" xfId="14" applyNumberFormat="1" applyFont="1" applyFill="1" applyBorder="1" applyAlignment="1" applyProtection="1">
      <alignment horizontal="right" vertical="center"/>
    </xf>
    <xf numFmtId="173" fontId="35" fillId="4" borderId="36" xfId="14" applyNumberFormat="1" applyFont="1" applyFill="1" applyBorder="1" applyAlignment="1" applyProtection="1">
      <alignment horizontal="centerContinuous" vertical="center"/>
    </xf>
    <xf numFmtId="0" fontId="0" fillId="4" borderId="6" xfId="0" applyFill="1" applyBorder="1" applyProtection="1"/>
    <xf numFmtId="173" fontId="37" fillId="4" borderId="25" xfId="14" applyNumberFormat="1" applyFont="1" applyFill="1" applyBorder="1" applyAlignment="1" applyProtection="1">
      <alignment horizontal="right" vertical="center"/>
    </xf>
    <xf numFmtId="167" fontId="33" fillId="4" borderId="5" xfId="0" applyNumberFormat="1" applyFont="1" applyFill="1" applyBorder="1" applyAlignment="1" applyProtection="1">
      <alignment horizontal="centerContinuous" vertical="center"/>
    </xf>
    <xf numFmtId="0" fontId="0" fillId="4" borderId="11" xfId="0" applyFill="1" applyBorder="1" applyAlignment="1" applyProtection="1">
      <alignment horizontal="centerContinuous"/>
    </xf>
    <xf numFmtId="167" fontId="33" fillId="4" borderId="22" xfId="0" applyNumberFormat="1" applyFont="1" applyFill="1" applyBorder="1" applyAlignment="1" applyProtection="1">
      <alignment horizontal="centerContinuous"/>
    </xf>
    <xf numFmtId="0" fontId="33" fillId="4" borderId="36" xfId="0" applyFont="1" applyFill="1" applyBorder="1" applyAlignment="1" applyProtection="1">
      <alignment horizontal="centerContinuous"/>
    </xf>
    <xf numFmtId="167" fontId="33" fillId="4" borderId="22" xfId="0" applyNumberFormat="1" applyFont="1" applyFill="1" applyBorder="1" applyAlignment="1" applyProtection="1">
      <alignment horizontal="centerContinuous" vertical="center"/>
    </xf>
    <xf numFmtId="0" fontId="0" fillId="4" borderId="36" xfId="0" applyFill="1" applyBorder="1" applyAlignment="1" applyProtection="1">
      <alignment horizontal="centerContinuous"/>
    </xf>
    <xf numFmtId="165" fontId="33" fillId="4" borderId="5" xfId="0" applyNumberFormat="1" applyFont="1" applyFill="1" applyBorder="1" applyAlignment="1" applyProtection="1">
      <alignment horizontal="centerContinuous" vertical="center"/>
    </xf>
    <xf numFmtId="165" fontId="33" fillId="4" borderId="6" xfId="0" applyNumberFormat="1" applyFont="1" applyFill="1" applyBorder="1" applyAlignment="1" applyProtection="1">
      <alignment horizontal="centerContinuous" vertical="center"/>
    </xf>
    <xf numFmtId="0" fontId="0" fillId="4" borderId="25" xfId="0" applyFill="1" applyBorder="1" applyAlignment="1" applyProtection="1">
      <alignment horizontal="centerContinuous"/>
    </xf>
    <xf numFmtId="167" fontId="36" fillId="4" borderId="5" xfId="0" applyNumberFormat="1" applyFont="1" applyFill="1" applyBorder="1" applyAlignment="1" applyProtection="1">
      <alignment horizontal="centerContinuous" vertical="center"/>
    </xf>
    <xf numFmtId="167" fontId="19" fillId="4" borderId="11" xfId="0" applyNumberFormat="1" applyFont="1" applyFill="1" applyBorder="1" applyAlignment="1" applyProtection="1">
      <alignment horizontal="centerContinuous"/>
    </xf>
    <xf numFmtId="164" fontId="24" fillId="4" borderId="5" xfId="0" applyNumberFormat="1" applyFont="1" applyFill="1" applyBorder="1" applyAlignment="1" applyProtection="1">
      <alignment horizontal="centerContinuous" vertical="center"/>
    </xf>
    <xf numFmtId="164" fontId="31" fillId="4" borderId="11" xfId="14" applyNumberFormat="1" applyFont="1" applyFill="1" applyBorder="1" applyAlignment="1" applyProtection="1">
      <alignment horizontal="centerContinuous" vertical="center"/>
    </xf>
    <xf numFmtId="164" fontId="33" fillId="4" borderId="22" xfId="0" applyNumberFormat="1" applyFont="1" applyFill="1" applyBorder="1" applyAlignment="1" applyProtection="1">
      <alignment horizontal="centerContinuous" vertical="center"/>
    </xf>
    <xf numFmtId="164" fontId="20" fillId="4" borderId="36" xfId="0" applyNumberFormat="1" applyFont="1" applyFill="1" applyBorder="1" applyAlignment="1" applyProtection="1">
      <alignment horizontal="centerContinuous"/>
    </xf>
    <xf numFmtId="165" fontId="0" fillId="4" borderId="11" xfId="0" applyNumberFormat="1" applyFill="1" applyBorder="1" applyAlignment="1" applyProtection="1">
      <alignment horizontal="centerContinuous"/>
    </xf>
    <xf numFmtId="3" fontId="24" fillId="4" borderId="5" xfId="0" applyNumberFormat="1" applyFont="1" applyFill="1" applyBorder="1" applyAlignment="1" applyProtection="1">
      <alignment horizontal="centerContinuous" vertical="center"/>
    </xf>
    <xf numFmtId="173" fontId="35" fillId="4" borderId="11" xfId="14" applyNumberFormat="1" applyFont="1" applyFill="1" applyBorder="1" applyAlignment="1" applyProtection="1">
      <alignment horizontal="centerContinuous" vertical="center"/>
    </xf>
    <xf numFmtId="3" fontId="24" fillId="4" borderId="6" xfId="0" applyNumberFormat="1" applyFont="1" applyFill="1" applyBorder="1" applyAlignment="1" applyProtection="1">
      <alignment horizontal="centerContinuous" vertical="center"/>
    </xf>
    <xf numFmtId="173" fontId="35" fillId="4" borderId="25" xfId="14" applyNumberFormat="1" applyFont="1" applyFill="1" applyBorder="1" applyAlignment="1" applyProtection="1">
      <alignment horizontal="centerContinuous" vertical="center"/>
    </xf>
    <xf numFmtId="173" fontId="31" fillId="4" borderId="5" xfId="14" applyNumberFormat="1" applyFont="1" applyFill="1" applyBorder="1" applyAlignment="1" applyProtection="1">
      <alignment vertical="center"/>
    </xf>
    <xf numFmtId="185" fontId="31" fillId="4" borderId="14" xfId="14" applyNumberFormat="1" applyFont="1" applyFill="1" applyBorder="1" applyAlignment="1" applyProtection="1">
      <alignment vertical="center"/>
    </xf>
    <xf numFmtId="173" fontId="33" fillId="4" borderId="5" xfId="14" applyNumberFormat="1" applyFont="1" applyFill="1" applyBorder="1" applyAlignment="1" applyProtection="1">
      <alignment vertical="center"/>
    </xf>
    <xf numFmtId="170" fontId="33" fillId="4" borderId="11" xfId="14" applyNumberFormat="1" applyFont="1" applyFill="1" applyBorder="1" applyAlignment="1" applyProtection="1">
      <alignment vertical="center"/>
    </xf>
    <xf numFmtId="173" fontId="33" fillId="4" borderId="6" xfId="14" applyNumberFormat="1" applyFont="1" applyFill="1" applyBorder="1" applyAlignment="1" applyProtection="1">
      <alignment vertical="center"/>
    </xf>
    <xf numFmtId="173" fontId="26" fillId="4" borderId="22" xfId="0" applyNumberFormat="1" applyFont="1" applyFill="1" applyBorder="1" applyAlignment="1" applyProtection="1">
      <alignment vertical="center"/>
    </xf>
    <xf numFmtId="185" fontId="31" fillId="4" borderId="60" xfId="14" applyNumberFormat="1" applyFont="1" applyFill="1" applyBorder="1" applyAlignment="1" applyProtection="1">
      <alignment vertical="center"/>
    </xf>
    <xf numFmtId="173" fontId="26" fillId="4" borderId="6" xfId="0" applyNumberFormat="1" applyFont="1" applyFill="1" applyBorder="1" applyAlignment="1" applyProtection="1">
      <alignment vertical="center"/>
    </xf>
    <xf numFmtId="185" fontId="31" fillId="4" borderId="25" xfId="14" applyNumberFormat="1" applyFont="1" applyFill="1" applyBorder="1" applyAlignment="1" applyProtection="1">
      <alignment vertical="center"/>
    </xf>
    <xf numFmtId="173" fontId="31" fillId="4" borderId="22" xfId="0" applyNumberFormat="1" applyFont="1" applyFill="1" applyBorder="1" applyAlignment="1" applyProtection="1">
      <alignment horizontal="right" vertical="center"/>
    </xf>
    <xf numFmtId="173" fontId="33" fillId="4" borderId="44" xfId="0" applyNumberFormat="1" applyFont="1" applyFill="1" applyBorder="1" applyAlignment="1" applyProtection="1">
      <alignment horizontal="center" vertical="center"/>
    </xf>
    <xf numFmtId="173" fontId="33" fillId="4" borderId="43" xfId="0" applyNumberFormat="1" applyFont="1" applyFill="1" applyBorder="1" applyAlignment="1" applyProtection="1">
      <alignment horizontal="center" vertical="center"/>
    </xf>
    <xf numFmtId="170" fontId="33" fillId="4" borderId="33" xfId="0" applyNumberFormat="1" applyFont="1" applyFill="1" applyBorder="1" applyAlignment="1" applyProtection="1">
      <alignment horizontal="right" vertical="center"/>
    </xf>
    <xf numFmtId="170" fontId="33" fillId="4" borderId="20" xfId="0" applyNumberFormat="1" applyFont="1" applyFill="1" applyBorder="1" applyAlignment="1" applyProtection="1">
      <alignment horizontal="right" vertical="center"/>
    </xf>
    <xf numFmtId="170" fontId="33" fillId="4" borderId="34" xfId="0" applyNumberFormat="1" applyFont="1" applyFill="1" applyBorder="1" applyAlignment="1" applyProtection="1">
      <alignment horizontal="right" vertical="center"/>
    </xf>
    <xf numFmtId="170" fontId="33" fillId="4" borderId="16" xfId="0" applyNumberFormat="1" applyFont="1" applyFill="1" applyBorder="1" applyAlignment="1" applyProtection="1">
      <alignment horizontal="right" vertical="center"/>
    </xf>
    <xf numFmtId="177" fontId="33" fillId="4" borderId="5" xfId="0" applyNumberFormat="1" applyFont="1" applyFill="1" applyBorder="1" applyAlignment="1" applyProtection="1">
      <alignment horizontal="right" vertical="center"/>
    </xf>
    <xf numFmtId="0" fontId="33" fillId="4" borderId="41" xfId="17" applyFont="1" applyFill="1" applyBorder="1" applyAlignment="1" applyProtection="1">
      <alignment horizontal="left" vertical="center"/>
    </xf>
    <xf numFmtId="173" fontId="33" fillId="4" borderId="42" xfId="0" applyNumberFormat="1" applyFont="1" applyFill="1" applyBorder="1" applyAlignment="1" applyProtection="1">
      <alignment horizontal="center" vertical="center"/>
    </xf>
    <xf numFmtId="3" fontId="31" fillId="4" borderId="23" xfId="14" applyNumberFormat="1" applyFont="1" applyFill="1" applyBorder="1" applyAlignment="1" applyProtection="1">
      <alignment vertical="center"/>
    </xf>
    <xf numFmtId="0" fontId="33" fillId="4" borderId="0" xfId="0" applyFont="1" applyFill="1" applyAlignment="1" applyProtection="1">
      <alignment horizontal="center"/>
    </xf>
    <xf numFmtId="170" fontId="37" fillId="4" borderId="40" xfId="14" applyNumberFormat="1" applyFont="1" applyFill="1" applyBorder="1" applyAlignment="1" applyProtection="1">
      <alignment horizontal="center" vertical="center"/>
    </xf>
    <xf numFmtId="0" fontId="0" fillId="4" borderId="23" xfId="0" applyFill="1" applyBorder="1" applyProtection="1"/>
    <xf numFmtId="182" fontId="33" fillId="4" borderId="19" xfId="17" applyNumberFormat="1" applyFont="1" applyFill="1" applyBorder="1" applyAlignment="1" applyProtection="1">
      <alignment vertical="center"/>
    </xf>
    <xf numFmtId="182" fontId="33" fillId="4" borderId="15" xfId="17" applyNumberFormat="1" applyFont="1" applyFill="1" applyBorder="1" applyAlignment="1" applyProtection="1">
      <alignment vertical="center"/>
    </xf>
    <xf numFmtId="170" fontId="37" fillId="4" borderId="16" xfId="14" applyNumberFormat="1" applyFont="1" applyFill="1" applyBorder="1" applyAlignment="1" applyProtection="1">
      <alignment vertical="center"/>
    </xf>
    <xf numFmtId="166" fontId="30" fillId="4" borderId="0" xfId="14" applyNumberFormat="1" applyFont="1" applyFill="1" applyBorder="1" applyAlignment="1" applyProtection="1">
      <alignment vertical="center"/>
    </xf>
    <xf numFmtId="170" fontId="20" fillId="4" borderId="11" xfId="0" applyNumberFormat="1" applyFont="1" applyFill="1" applyBorder="1" applyAlignment="1" applyProtection="1">
      <alignment vertical="center"/>
    </xf>
    <xf numFmtId="166" fontId="31" fillId="4" borderId="2" xfId="14" applyNumberFormat="1" applyFont="1" applyFill="1" applyBorder="1" applyAlignment="1" applyProtection="1">
      <alignment vertical="center"/>
    </xf>
    <xf numFmtId="170" fontId="36" fillId="4" borderId="25" xfId="0" applyNumberFormat="1" applyFont="1" applyFill="1" applyBorder="1" applyAlignment="1" applyProtection="1">
      <alignment horizontal="right" vertical="center"/>
    </xf>
    <xf numFmtId="173" fontId="36" fillId="4" borderId="22" xfId="0" applyNumberFormat="1" applyFont="1" applyFill="1" applyBorder="1" applyAlignment="1" applyProtection="1">
      <alignment horizontal="right" vertical="center"/>
    </xf>
    <xf numFmtId="185" fontId="31" fillId="4" borderId="36" xfId="14" applyNumberFormat="1" applyFont="1" applyFill="1" applyBorder="1" applyAlignment="1" applyProtection="1">
      <alignment vertical="center"/>
    </xf>
    <xf numFmtId="170" fontId="33" fillId="4" borderId="11" xfId="0" applyNumberFormat="1" applyFont="1" applyFill="1" applyBorder="1" applyAlignment="1" applyProtection="1">
      <alignment horizontal="right" vertical="center"/>
    </xf>
    <xf numFmtId="170" fontId="33" fillId="4" borderId="25" xfId="0" applyNumberFormat="1" applyFont="1" applyFill="1" applyBorder="1" applyAlignment="1" applyProtection="1">
      <alignment horizontal="right" vertical="center"/>
    </xf>
    <xf numFmtId="0" fontId="33" fillId="4" borderId="23" xfId="0" applyFont="1" applyFill="1" applyBorder="1" applyAlignment="1" applyProtection="1">
      <alignment horizontal="center" vertical="center"/>
    </xf>
    <xf numFmtId="0" fontId="0" fillId="4" borderId="0" xfId="0" applyFill="1" applyProtection="1"/>
    <xf numFmtId="185" fontId="31" fillId="4" borderId="11" xfId="14" applyNumberFormat="1" applyFont="1" applyFill="1" applyBorder="1" applyAlignment="1" applyProtection="1">
      <alignment vertical="center"/>
    </xf>
    <xf numFmtId="166" fontId="26" fillId="4" borderId="6" xfId="0" applyNumberFormat="1" applyFont="1" applyFill="1" applyBorder="1" applyAlignment="1" applyProtection="1">
      <alignment horizontal="right" vertical="center"/>
    </xf>
    <xf numFmtId="173" fontId="31" fillId="4" borderId="25" xfId="0" applyNumberFormat="1" applyFont="1" applyFill="1" applyBorder="1" applyAlignment="1" applyProtection="1">
      <alignment horizontal="right" vertical="center"/>
    </xf>
    <xf numFmtId="173" fontId="26" fillId="4" borderId="5" xfId="0" applyNumberFormat="1" applyFont="1" applyFill="1" applyBorder="1" applyAlignment="1" applyProtection="1">
      <alignment vertical="center"/>
    </xf>
    <xf numFmtId="173" fontId="26" fillId="4" borderId="26" xfId="0" applyNumberFormat="1" applyFont="1" applyFill="1" applyBorder="1" applyAlignment="1" applyProtection="1">
      <alignment vertical="center"/>
    </xf>
    <xf numFmtId="173" fontId="33" fillId="4" borderId="37" xfId="0" applyNumberFormat="1" applyFont="1" applyFill="1" applyBorder="1" applyAlignment="1" applyProtection="1">
      <alignment horizontal="center" vertical="center"/>
    </xf>
    <xf numFmtId="173" fontId="33" fillId="4" borderId="5" xfId="0" applyNumberFormat="1" applyFont="1" applyFill="1" applyBorder="1" applyAlignment="1" applyProtection="1">
      <alignment horizontal="right" vertical="center"/>
    </xf>
    <xf numFmtId="170" fontId="33" fillId="4" borderId="35" xfId="0" applyNumberFormat="1" applyFont="1" applyFill="1" applyBorder="1" applyAlignment="1" applyProtection="1">
      <alignment horizontal="right" vertical="center"/>
    </xf>
    <xf numFmtId="173" fontId="33" fillId="4" borderId="0" xfId="0" applyNumberFormat="1" applyFont="1" applyFill="1" applyBorder="1" applyAlignment="1" applyProtection="1">
      <alignment horizontal="right" vertical="center"/>
    </xf>
    <xf numFmtId="173" fontId="35" fillId="4" borderId="14" xfId="14" applyNumberFormat="1" applyFont="1" applyFill="1" applyBorder="1" applyAlignment="1">
      <alignment horizontal="centerContinuous" vertical="center"/>
    </xf>
    <xf numFmtId="0" fontId="33" fillId="4" borderId="6" xfId="0" applyFont="1" applyFill="1" applyBorder="1"/>
    <xf numFmtId="173" fontId="35" fillId="4" borderId="25" xfId="14" applyNumberFormat="1" applyFont="1" applyFill="1" applyBorder="1" applyAlignment="1">
      <alignment horizontal="right" vertical="center"/>
    </xf>
    <xf numFmtId="173" fontId="35" fillId="4" borderId="36" xfId="14" applyNumberFormat="1" applyFont="1" applyFill="1" applyBorder="1" applyAlignment="1">
      <alignment horizontal="centerContinuous" vertical="center"/>
    </xf>
    <xf numFmtId="0" fontId="0" fillId="4" borderId="6" xfId="0" applyFill="1" applyBorder="1"/>
    <xf numFmtId="173" fontId="37" fillId="4" borderId="25" xfId="14" applyNumberFormat="1" applyFont="1" applyFill="1" applyBorder="1" applyAlignment="1">
      <alignment horizontal="right" vertical="center"/>
    </xf>
    <xf numFmtId="0" fontId="0" fillId="4" borderId="11" xfId="0" applyFill="1" applyBorder="1" applyAlignment="1">
      <alignment horizontal="centerContinuous"/>
    </xf>
    <xf numFmtId="167" fontId="33" fillId="4" borderId="22" xfId="0" applyNumberFormat="1" applyFont="1" applyFill="1" applyBorder="1" applyAlignment="1">
      <alignment horizontal="centerContinuous"/>
    </xf>
    <xf numFmtId="0" fontId="33" fillId="4" borderId="36" xfId="0" applyFont="1" applyFill="1" applyBorder="1" applyAlignment="1">
      <alignment horizontal="centerContinuous"/>
    </xf>
    <xf numFmtId="0" fontId="0" fillId="4" borderId="36" xfId="0" applyFill="1" applyBorder="1" applyAlignment="1">
      <alignment horizontal="centerContinuous"/>
    </xf>
    <xf numFmtId="0" fontId="0" fillId="4" borderId="25" xfId="0" applyFill="1" applyBorder="1" applyAlignment="1">
      <alignment horizontal="centerContinuous"/>
    </xf>
    <xf numFmtId="167" fontId="19" fillId="4" borderId="11" xfId="0" applyNumberFormat="1" applyFont="1" applyFill="1" applyBorder="1" applyAlignment="1">
      <alignment horizontal="centerContinuous"/>
    </xf>
    <xf numFmtId="164" fontId="24" fillId="4" borderId="5" xfId="0" applyNumberFormat="1" applyFont="1" applyFill="1" applyBorder="1" applyAlignment="1">
      <alignment horizontal="centerContinuous" vertical="center"/>
    </xf>
    <xf numFmtId="164" fontId="31" fillId="4" borderId="11" xfId="14" applyNumberFormat="1" applyFont="1" applyFill="1" applyBorder="1" applyAlignment="1">
      <alignment horizontal="centerContinuous" vertical="center"/>
    </xf>
    <xf numFmtId="164" fontId="33" fillId="4" borderId="22" xfId="0" applyNumberFormat="1" applyFont="1" applyFill="1" applyBorder="1" applyAlignment="1">
      <alignment horizontal="centerContinuous" vertical="center"/>
    </xf>
    <xf numFmtId="164" fontId="20" fillId="4" borderId="36" xfId="0" applyNumberFormat="1" applyFont="1" applyFill="1" applyBorder="1" applyAlignment="1">
      <alignment horizontal="centerContinuous"/>
    </xf>
    <xf numFmtId="165" fontId="0" fillId="4" borderId="11" xfId="0" applyNumberFormat="1" applyFill="1" applyBorder="1" applyAlignment="1">
      <alignment horizontal="centerContinuous"/>
    </xf>
    <xf numFmtId="173" fontId="35" fillId="4" borderId="11" xfId="14" applyNumberFormat="1" applyFont="1" applyFill="1" applyBorder="1" applyAlignment="1">
      <alignment horizontal="centerContinuous" vertical="center"/>
    </xf>
    <xf numFmtId="173" fontId="35" fillId="4" borderId="25" xfId="14" applyNumberFormat="1" applyFont="1" applyFill="1" applyBorder="1" applyAlignment="1">
      <alignment horizontal="centerContinuous" vertical="center"/>
    </xf>
    <xf numFmtId="173" fontId="31" fillId="4" borderId="5" xfId="14" applyNumberFormat="1" applyFont="1" applyFill="1" applyBorder="1" applyAlignment="1">
      <alignment vertical="center"/>
    </xf>
    <xf numFmtId="185" fontId="31" fillId="4" borderId="14" xfId="14" applyNumberFormat="1" applyFont="1" applyFill="1" applyBorder="1" applyAlignment="1">
      <alignment vertical="center"/>
    </xf>
    <xf numFmtId="173" fontId="33" fillId="4" borderId="5" xfId="14" applyNumberFormat="1" applyFont="1" applyFill="1" applyBorder="1" applyAlignment="1">
      <alignment vertical="center"/>
    </xf>
    <xf numFmtId="173" fontId="33" fillId="4" borderId="6" xfId="14" applyNumberFormat="1" applyFont="1" applyFill="1" applyBorder="1" applyAlignment="1">
      <alignment vertical="center"/>
    </xf>
    <xf numFmtId="173" fontId="26" fillId="4" borderId="22" xfId="0" applyNumberFormat="1" applyFont="1" applyFill="1" applyBorder="1" applyAlignment="1">
      <alignment vertical="center"/>
    </xf>
    <xf numFmtId="185" fontId="31" fillId="4" borderId="60" xfId="14" applyNumberFormat="1" applyFont="1" applyFill="1" applyBorder="1" applyAlignment="1">
      <alignment vertical="center"/>
    </xf>
    <xf numFmtId="173" fontId="26" fillId="4" borderId="6" xfId="0" applyNumberFormat="1" applyFont="1" applyFill="1" applyBorder="1" applyAlignment="1">
      <alignment vertical="center"/>
    </xf>
    <xf numFmtId="185" fontId="31" fillId="4" borderId="25" xfId="14" applyNumberFormat="1" applyFont="1" applyFill="1" applyBorder="1" applyAlignment="1">
      <alignment vertical="center"/>
    </xf>
    <xf numFmtId="173" fontId="31" fillId="4" borderId="22" xfId="0" applyNumberFormat="1" applyFont="1" applyFill="1" applyBorder="1" applyAlignment="1">
      <alignment horizontal="right" vertical="center"/>
    </xf>
    <xf numFmtId="173" fontId="33" fillId="4" borderId="44" xfId="0" applyNumberFormat="1" applyFont="1" applyFill="1" applyBorder="1" applyAlignment="1">
      <alignment horizontal="center" vertical="center"/>
    </xf>
    <xf numFmtId="173" fontId="33" fillId="4" borderId="43" xfId="0" applyNumberFormat="1" applyFont="1" applyFill="1" applyBorder="1" applyAlignment="1">
      <alignment horizontal="center" vertical="center"/>
    </xf>
    <xf numFmtId="170" fontId="33" fillId="4" borderId="33" xfId="0" applyNumberFormat="1" applyFont="1" applyFill="1" applyBorder="1" applyAlignment="1">
      <alignment horizontal="right" vertical="center"/>
    </xf>
    <xf numFmtId="170" fontId="33" fillId="4" borderId="20" xfId="0" applyNumberFormat="1" applyFont="1" applyFill="1" applyBorder="1" applyAlignment="1">
      <alignment horizontal="right" vertical="center"/>
    </xf>
    <xf numFmtId="170" fontId="33" fillId="4" borderId="34" xfId="0" applyNumberFormat="1" applyFont="1" applyFill="1" applyBorder="1" applyAlignment="1">
      <alignment horizontal="right" vertical="center"/>
    </xf>
    <xf numFmtId="170" fontId="33" fillId="4" borderId="16" xfId="0" applyNumberFormat="1" applyFont="1" applyFill="1" applyBorder="1" applyAlignment="1">
      <alignment horizontal="right" vertical="center"/>
    </xf>
    <xf numFmtId="177" fontId="33" fillId="4" borderId="5" xfId="0" applyNumberFormat="1" applyFont="1" applyFill="1" applyBorder="1" applyAlignment="1">
      <alignment horizontal="right" vertical="center"/>
    </xf>
    <xf numFmtId="0" fontId="33" fillId="4" borderId="41" xfId="17" applyFont="1" applyFill="1" applyBorder="1" applyAlignment="1">
      <alignment horizontal="left" vertical="center"/>
    </xf>
    <xf numFmtId="173" fontId="33" fillId="4" borderId="42" xfId="0" applyNumberFormat="1" applyFont="1" applyFill="1" applyBorder="1" applyAlignment="1">
      <alignment horizontal="center" vertical="center"/>
    </xf>
    <xf numFmtId="3" fontId="31" fillId="4" borderId="23" xfId="14" applyNumberFormat="1" applyFont="1" applyFill="1" applyBorder="1" applyAlignment="1">
      <alignment vertical="center"/>
    </xf>
    <xf numFmtId="0" fontId="33" fillId="4" borderId="0" xfId="0" applyFont="1" applyFill="1" applyBorder="1" applyAlignment="1">
      <alignment horizontal="center"/>
    </xf>
    <xf numFmtId="170" fontId="37" fillId="4" borderId="40" xfId="14" applyNumberFormat="1" applyFont="1" applyFill="1" applyBorder="1" applyAlignment="1">
      <alignment horizontal="center" vertical="center"/>
    </xf>
    <xf numFmtId="0" fontId="0" fillId="4" borderId="23" xfId="0" applyFill="1" applyBorder="1"/>
    <xf numFmtId="170" fontId="37" fillId="4" borderId="16" xfId="14" applyNumberFormat="1" applyFont="1" applyFill="1" applyBorder="1" applyAlignment="1">
      <alignment vertical="center"/>
    </xf>
    <xf numFmtId="166" fontId="30" fillId="4" borderId="0" xfId="14" applyNumberFormat="1" applyFont="1" applyFill="1" applyBorder="1" applyAlignment="1">
      <alignment vertical="center"/>
    </xf>
    <xf numFmtId="170" fontId="20" fillId="4" borderId="11" xfId="0" applyNumberFormat="1" applyFont="1" applyFill="1" applyBorder="1" applyAlignment="1">
      <alignment vertical="center"/>
    </xf>
    <xf numFmtId="166" fontId="31" fillId="4" borderId="2" xfId="14" applyNumberFormat="1" applyFont="1" applyFill="1" applyBorder="1" applyAlignment="1">
      <alignment vertical="center"/>
    </xf>
    <xf numFmtId="170" fontId="36" fillId="4" borderId="25" xfId="0" applyNumberFormat="1" applyFont="1" applyFill="1" applyBorder="1" applyAlignment="1">
      <alignment horizontal="right" vertical="center"/>
    </xf>
    <xf numFmtId="173" fontId="36" fillId="4" borderId="22" xfId="0" applyNumberFormat="1" applyFont="1" applyFill="1" applyBorder="1" applyAlignment="1">
      <alignment horizontal="right" vertical="center"/>
    </xf>
    <xf numFmtId="185" fontId="31" fillId="4" borderId="36" xfId="14" applyNumberFormat="1" applyFont="1" applyFill="1" applyBorder="1" applyAlignment="1">
      <alignment vertical="center"/>
    </xf>
    <xf numFmtId="0" fontId="0" fillId="4" borderId="0" xfId="0" applyFill="1" applyBorder="1"/>
    <xf numFmtId="0" fontId="33" fillId="4" borderId="23" xfId="0" applyFont="1" applyFill="1" applyBorder="1" applyAlignment="1">
      <alignment horizontal="center" vertical="center"/>
    </xf>
    <xf numFmtId="185" fontId="31" fillId="4" borderId="11" xfId="14" applyNumberFormat="1" applyFont="1" applyFill="1" applyBorder="1" applyAlignment="1">
      <alignment vertical="center"/>
    </xf>
    <xf numFmtId="173" fontId="31" fillId="4" borderId="25" xfId="0" applyNumberFormat="1" applyFont="1" applyFill="1" applyBorder="1" applyAlignment="1">
      <alignment horizontal="right" vertical="center"/>
    </xf>
    <xf numFmtId="173" fontId="26" fillId="4" borderId="5" xfId="0" applyNumberFormat="1" applyFont="1" applyFill="1" applyBorder="1" applyAlignment="1">
      <alignment vertical="center"/>
    </xf>
    <xf numFmtId="173" fontId="26" fillId="4" borderId="26" xfId="0" applyNumberFormat="1" applyFont="1" applyFill="1" applyBorder="1" applyAlignment="1">
      <alignment vertical="center"/>
    </xf>
    <xf numFmtId="173" fontId="33" fillId="4" borderId="37" xfId="0" applyNumberFormat="1" applyFont="1" applyFill="1" applyBorder="1" applyAlignment="1">
      <alignment horizontal="center" vertical="center"/>
    </xf>
    <xf numFmtId="173" fontId="33" fillId="4" borderId="5" xfId="0" applyNumberFormat="1" applyFont="1" applyFill="1" applyBorder="1" applyAlignment="1">
      <alignment horizontal="right" vertical="center"/>
    </xf>
    <xf numFmtId="173" fontId="33" fillId="4" borderId="0" xfId="0" applyNumberFormat="1" applyFont="1" applyFill="1" applyBorder="1" applyAlignment="1">
      <alignment horizontal="right" vertical="center"/>
    </xf>
    <xf numFmtId="0" fontId="33" fillId="4" borderId="0" xfId="0" applyFont="1" applyFill="1" applyAlignment="1">
      <alignment horizontal="center"/>
    </xf>
    <xf numFmtId="0" fontId="0" fillId="4" borderId="0" xfId="0" applyFill="1" applyBorder="1" applyAlignment="1">
      <alignment horizontal="centerContinuous"/>
    </xf>
    <xf numFmtId="0" fontId="0" fillId="4" borderId="35" xfId="0" applyFill="1" applyBorder="1" applyAlignment="1">
      <alignment horizontal="centerContinuous"/>
    </xf>
    <xf numFmtId="164" fontId="67" fillId="4" borderId="36" xfId="0" applyNumberFormat="1" applyFont="1" applyFill="1" applyBorder="1" applyAlignment="1">
      <alignment horizontal="centerContinuous"/>
    </xf>
    <xf numFmtId="0" fontId="65" fillId="7" borderId="0" xfId="0" applyFont="1" applyFill="1" applyBorder="1" applyAlignment="1">
      <alignment horizontal="center" vertical="center"/>
    </xf>
    <xf numFmtId="185" fontId="29" fillId="4" borderId="9" xfId="11" applyNumberFormat="1" applyFont="1" applyFill="1" applyBorder="1" applyAlignment="1">
      <alignment horizontal="right" vertical="center"/>
    </xf>
    <xf numFmtId="185" fontId="26" fillId="4" borderId="9" xfId="11" applyNumberFormat="1" applyFont="1" applyFill="1" applyBorder="1" applyAlignment="1">
      <alignment horizontal="right" vertical="center"/>
    </xf>
    <xf numFmtId="185" fontId="26" fillId="4" borderId="53" xfId="11" applyNumberFormat="1" applyFont="1" applyFill="1" applyBorder="1" applyAlignment="1">
      <alignment horizontal="right" vertical="center"/>
    </xf>
    <xf numFmtId="185" fontId="24" fillId="4" borderId="9" xfId="11" applyNumberFormat="1" applyFont="1" applyFill="1" applyBorder="1" applyAlignment="1">
      <alignment horizontal="right" vertical="center"/>
    </xf>
    <xf numFmtId="0" fontId="31" fillId="4" borderId="0" xfId="17" applyFont="1" applyFill="1" applyBorder="1" applyAlignment="1" applyProtection="1">
      <alignment horizontal="right" vertical="center"/>
    </xf>
    <xf numFmtId="0" fontId="65" fillId="0" borderId="0" xfId="0" applyFont="1" applyBorder="1" applyAlignment="1">
      <alignment horizontal="center"/>
    </xf>
    <xf numFmtId="185" fontId="26" fillId="7" borderId="9" xfId="0" applyNumberFormat="1" applyFont="1" applyFill="1" applyBorder="1" applyAlignment="1">
      <alignment vertical="center"/>
    </xf>
    <xf numFmtId="185" fontId="26" fillId="4" borderId="9" xfId="0" applyNumberFormat="1" applyFont="1" applyFill="1" applyBorder="1" applyAlignment="1">
      <alignment vertical="center"/>
    </xf>
    <xf numFmtId="185" fontId="29" fillId="7" borderId="67" xfId="11" applyNumberFormat="1" applyFont="1" applyFill="1" applyBorder="1" applyAlignment="1">
      <alignment horizontal="right" vertical="center"/>
    </xf>
    <xf numFmtId="185" fontId="26" fillId="7" borderId="67" xfId="11" applyNumberFormat="1" applyFont="1" applyFill="1" applyBorder="1" applyAlignment="1">
      <alignment horizontal="right" vertical="center"/>
    </xf>
    <xf numFmtId="185" fontId="24" fillId="7" borderId="67" xfId="11" applyNumberFormat="1" applyFont="1" applyFill="1" applyBorder="1" applyAlignment="1">
      <alignment horizontal="right" vertical="center"/>
    </xf>
    <xf numFmtId="185" fontId="26" fillId="7" borderId="67" xfId="0" applyNumberFormat="1" applyFont="1" applyFill="1" applyBorder="1" applyAlignment="1">
      <alignment vertical="center"/>
    </xf>
    <xf numFmtId="185" fontId="24" fillId="7" borderId="67" xfId="0" applyNumberFormat="1" applyFont="1" applyFill="1" applyBorder="1" applyAlignment="1">
      <alignment horizontal="right" vertical="center"/>
    </xf>
    <xf numFmtId="185" fontId="24" fillId="7" borderId="5" xfId="11" applyNumberFormat="1" applyFont="1" applyFill="1" applyBorder="1" applyAlignment="1">
      <alignment horizontal="right" vertical="center"/>
    </xf>
    <xf numFmtId="171" fontId="24" fillId="4" borderId="9" xfId="0" applyNumberFormat="1" applyFont="1" applyFill="1" applyBorder="1" applyAlignment="1">
      <alignment horizontal="right" vertical="center"/>
    </xf>
    <xf numFmtId="170" fontId="26" fillId="4" borderId="9" xfId="0" applyNumberFormat="1" applyFont="1" applyFill="1" applyBorder="1" applyAlignment="1">
      <alignment horizontal="right" vertical="center"/>
    </xf>
    <xf numFmtId="188" fontId="24" fillId="7" borderId="0" xfId="0" applyNumberFormat="1" applyFont="1" applyFill="1" applyBorder="1" applyAlignment="1">
      <alignment horizontal="right" vertical="center"/>
    </xf>
    <xf numFmtId="170" fontId="26" fillId="7" borderId="0" xfId="0" applyNumberFormat="1" applyFont="1" applyFill="1" applyBorder="1" applyAlignment="1">
      <alignment horizontal="right" vertical="center"/>
    </xf>
    <xf numFmtId="0" fontId="31" fillId="0" borderId="97" xfId="0" applyFont="1" applyBorder="1" applyAlignment="1" applyProtection="1">
      <alignment horizontal="left" vertical="center"/>
    </xf>
    <xf numFmtId="0" fontId="0" fillId="0" borderId="98" xfId="0" applyBorder="1" applyProtection="1"/>
    <xf numFmtId="0" fontId="24" fillId="0" borderId="99" xfId="0" applyFont="1" applyBorder="1" applyAlignment="1" applyProtection="1">
      <alignment horizontal="centerContinuous" vertical="center"/>
    </xf>
    <xf numFmtId="0" fontId="24" fillId="0" borderId="98" xfId="0" applyFont="1" applyBorder="1" applyAlignment="1" applyProtection="1">
      <alignment horizontal="centerContinuous" vertical="center"/>
    </xf>
    <xf numFmtId="0" fontId="31" fillId="0" borderId="99" xfId="0" applyFont="1" applyBorder="1" applyAlignment="1" applyProtection="1">
      <alignment horizontal="centerContinuous" vertical="center"/>
    </xf>
    <xf numFmtId="0" fontId="26" fillId="0" borderId="63" xfId="0" applyFont="1" applyBorder="1" applyAlignment="1" applyProtection="1">
      <alignment vertical="center"/>
    </xf>
    <xf numFmtId="0" fontId="22" fillId="0" borderId="63" xfId="0" applyFont="1" applyBorder="1" applyAlignment="1" applyProtection="1">
      <alignment vertical="center"/>
    </xf>
    <xf numFmtId="168" fontId="37" fillId="0" borderId="63" xfId="0" applyNumberFormat="1" applyFont="1" applyBorder="1" applyAlignment="1" applyProtection="1">
      <alignment vertical="center"/>
    </xf>
    <xf numFmtId="168" fontId="37" fillId="4" borderId="101" xfId="0" applyNumberFormat="1" applyFont="1" applyFill="1" applyBorder="1" applyAlignment="1" applyProtection="1">
      <alignment vertical="center"/>
    </xf>
    <xf numFmtId="168" fontId="37" fillId="4" borderId="62" xfId="0" applyNumberFormat="1" applyFont="1" applyFill="1" applyBorder="1" applyAlignment="1" applyProtection="1">
      <alignment vertical="center"/>
    </xf>
    <xf numFmtId="168" fontId="37" fillId="4" borderId="102" xfId="0" applyNumberFormat="1" applyFont="1" applyFill="1" applyBorder="1" applyAlignment="1" applyProtection="1">
      <alignment vertical="center"/>
    </xf>
    <xf numFmtId="0" fontId="72" fillId="0" borderId="72" xfId="0" applyFont="1" applyBorder="1" applyAlignment="1" applyProtection="1">
      <alignment vertical="center"/>
    </xf>
    <xf numFmtId="0" fontId="65" fillId="7" borderId="68" xfId="0" applyFont="1" applyFill="1" applyBorder="1" applyAlignment="1">
      <alignment horizontal="center" vertical="center"/>
    </xf>
    <xf numFmtId="0" fontId="23" fillId="0" borderId="8" xfId="0" applyFont="1" applyBorder="1" applyAlignment="1">
      <alignment vertical="center"/>
    </xf>
    <xf numFmtId="0" fontId="24" fillId="0" borderId="8" xfId="0" applyFont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185" fontId="23" fillId="4" borderId="9" xfId="0" applyNumberFormat="1" applyFont="1" applyFill="1" applyBorder="1" applyAlignment="1">
      <alignment horizontal="right" vertical="center"/>
    </xf>
    <xf numFmtId="185" fontId="23" fillId="7" borderId="9" xfId="0" applyNumberFormat="1" applyFont="1" applyFill="1" applyBorder="1" applyAlignment="1">
      <alignment horizontal="right" vertical="center"/>
    </xf>
    <xf numFmtId="185" fontId="23" fillId="4" borderId="93" xfId="0" applyNumberFormat="1" applyFont="1" applyFill="1" applyBorder="1" applyAlignment="1">
      <alignment horizontal="right" vertical="center"/>
    </xf>
    <xf numFmtId="170" fontId="23" fillId="4" borderId="93" xfId="0" applyNumberFormat="1" applyFont="1" applyFill="1" applyBorder="1" applyAlignment="1">
      <alignment horizontal="right" vertical="center"/>
    </xf>
    <xf numFmtId="170" fontId="23" fillId="4" borderId="94" xfId="0" applyNumberFormat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185" fontId="23" fillId="4" borderId="53" xfId="0" applyNumberFormat="1" applyFont="1" applyFill="1" applyBorder="1" applyAlignment="1">
      <alignment horizontal="right" vertical="center"/>
    </xf>
    <xf numFmtId="185" fontId="23" fillId="4" borderId="67" xfId="0" applyNumberFormat="1" applyFont="1" applyFill="1" applyBorder="1" applyAlignment="1">
      <alignment horizontal="right" vertical="center"/>
    </xf>
    <xf numFmtId="170" fontId="23" fillId="4" borderId="10" xfId="0" applyNumberFormat="1" applyFont="1" applyFill="1" applyBorder="1" applyAlignment="1">
      <alignment horizontal="right" vertical="center"/>
    </xf>
    <xf numFmtId="0" fontId="65" fillId="7" borderId="2" xfId="0" applyFont="1" applyFill="1" applyBorder="1" applyAlignment="1">
      <alignment horizontal="center" vertical="center"/>
    </xf>
    <xf numFmtId="0" fontId="0" fillId="0" borderId="62" xfId="0" applyBorder="1"/>
    <xf numFmtId="0" fontId="25" fillId="4" borderId="2" xfId="0" applyFont="1" applyFill="1" applyBorder="1" applyAlignment="1">
      <alignment vertical="center"/>
    </xf>
    <xf numFmtId="0" fontId="23" fillId="7" borderId="103" xfId="17" applyFont="1" applyFill="1" applyBorder="1" applyAlignment="1" applyProtection="1">
      <alignment vertical="center"/>
    </xf>
    <xf numFmtId="0" fontId="25" fillId="4" borderId="85" xfId="0" applyFont="1" applyFill="1" applyBorder="1" applyAlignment="1">
      <alignment vertical="center"/>
    </xf>
    <xf numFmtId="0" fontId="84" fillId="0" borderId="0" xfId="0" applyFont="1" applyBorder="1" applyAlignment="1">
      <alignment horizontal="center" vertical="center" textRotation="90"/>
    </xf>
    <xf numFmtId="185" fontId="23" fillId="7" borderId="0" xfId="0" applyNumberFormat="1" applyFont="1" applyFill="1" applyBorder="1" applyAlignment="1">
      <alignment vertical="center"/>
    </xf>
    <xf numFmtId="173" fontId="24" fillId="7" borderId="9" xfId="0" applyNumberFormat="1" applyFont="1" applyFill="1" applyBorder="1" applyAlignment="1">
      <alignment horizontal="right" vertical="center"/>
    </xf>
    <xf numFmtId="0" fontId="23" fillId="7" borderId="5" xfId="17" applyFont="1" applyFill="1" applyBorder="1" applyAlignment="1" applyProtection="1">
      <alignment vertical="center"/>
    </xf>
    <xf numFmtId="173" fontId="30" fillId="7" borderId="9" xfId="0" applyNumberFormat="1" applyFont="1" applyFill="1" applyBorder="1" applyAlignment="1">
      <alignment horizontal="right" vertical="center"/>
    </xf>
    <xf numFmtId="0" fontId="33" fillId="4" borderId="8" xfId="17" applyFont="1" applyFill="1" applyBorder="1" applyAlignment="1" applyProtection="1">
      <alignment horizontal="right" vertical="center"/>
    </xf>
    <xf numFmtId="0" fontId="23" fillId="4" borderId="85" xfId="17" applyFont="1" applyFill="1" applyBorder="1" applyAlignment="1" applyProtection="1">
      <alignment vertical="center"/>
    </xf>
    <xf numFmtId="0" fontId="0" fillId="4" borderId="62" xfId="0" applyFill="1" applyBorder="1" applyAlignment="1">
      <alignment vertical="center"/>
    </xf>
    <xf numFmtId="2" fontId="39" fillId="4" borderId="106" xfId="0" applyNumberFormat="1" applyFont="1" applyFill="1" applyBorder="1" applyAlignment="1">
      <alignment horizontal="center" vertical="center"/>
    </xf>
    <xf numFmtId="2" fontId="39" fillId="4" borderId="107" xfId="0" applyNumberFormat="1" applyFont="1" applyFill="1" applyBorder="1" applyAlignment="1">
      <alignment horizontal="center" vertical="center"/>
    </xf>
    <xf numFmtId="2" fontId="39" fillId="4" borderId="99" xfId="0" applyNumberFormat="1" applyFont="1" applyFill="1" applyBorder="1" applyAlignment="1">
      <alignment horizontal="center" vertical="center"/>
    </xf>
    <xf numFmtId="2" fontId="39" fillId="4" borderId="98" xfId="0" applyNumberFormat="1" applyFont="1" applyFill="1" applyBorder="1" applyAlignment="1">
      <alignment horizontal="center" vertical="center"/>
    </xf>
    <xf numFmtId="2" fontId="39" fillId="4" borderId="109" xfId="0" applyNumberFormat="1" applyFont="1" applyFill="1" applyBorder="1" applyAlignment="1">
      <alignment horizontal="center" vertical="center"/>
    </xf>
    <xf numFmtId="2" fontId="39" fillId="4" borderId="110" xfId="0" applyNumberFormat="1" applyFont="1" applyFill="1" applyBorder="1" applyAlignment="1">
      <alignment horizontal="center" vertical="center"/>
    </xf>
    <xf numFmtId="3" fontId="39" fillId="4" borderId="9" xfId="0" applyNumberFormat="1" applyFont="1" applyFill="1" applyBorder="1" applyAlignment="1">
      <alignment horizontal="center" vertical="center"/>
    </xf>
    <xf numFmtId="3" fontId="39" fillId="4" borderId="67" xfId="0" applyNumberFormat="1" applyFont="1" applyFill="1" applyBorder="1" applyAlignment="1">
      <alignment horizontal="center" vertical="center"/>
    </xf>
    <xf numFmtId="3" fontId="39" fillId="4" borderId="11" xfId="0" applyNumberFormat="1" applyFont="1" applyFill="1" applyBorder="1" applyAlignment="1">
      <alignment horizontal="center" vertical="center"/>
    </xf>
    <xf numFmtId="3" fontId="39" fillId="4" borderId="64" xfId="0" applyNumberFormat="1" applyFont="1" applyFill="1" applyBorder="1" applyAlignment="1">
      <alignment horizontal="center" vertical="center"/>
    </xf>
    <xf numFmtId="3" fontId="39" fillId="4" borderId="5" xfId="0" applyNumberFormat="1" applyFont="1" applyFill="1" applyBorder="1" applyAlignment="1">
      <alignment horizontal="center" vertical="center"/>
    </xf>
    <xf numFmtId="3" fontId="39" fillId="4" borderId="63" xfId="0" applyNumberFormat="1" applyFont="1" applyFill="1" applyBorder="1" applyAlignment="1">
      <alignment horizontal="center" vertical="center"/>
    </xf>
    <xf numFmtId="3" fontId="39" fillId="4" borderId="0" xfId="0" applyNumberFormat="1" applyFont="1" applyFill="1" applyBorder="1" applyAlignment="1">
      <alignment horizontal="center" vertical="center"/>
    </xf>
    <xf numFmtId="3" fontId="39" fillId="4" borderId="68" xfId="0" applyNumberFormat="1" applyFont="1" applyFill="1" applyBorder="1" applyAlignment="1">
      <alignment horizontal="center" vertical="center"/>
    </xf>
    <xf numFmtId="0" fontId="65" fillId="7" borderId="69" xfId="0" applyFont="1" applyFill="1" applyBorder="1" applyAlignment="1">
      <alignment horizontal="center" vertical="center"/>
    </xf>
    <xf numFmtId="0" fontId="65" fillId="7" borderId="111" xfId="0" applyFont="1" applyFill="1" applyBorder="1" applyAlignment="1">
      <alignment horizontal="center" vertical="center"/>
    </xf>
    <xf numFmtId="0" fontId="103" fillId="7" borderId="5" xfId="0" applyFont="1" applyFill="1" applyBorder="1" applyAlignment="1">
      <alignment horizontal="center" vertical="center"/>
    </xf>
    <xf numFmtId="0" fontId="84" fillId="0" borderId="31" xfId="0" applyFont="1" applyBorder="1" applyAlignment="1">
      <alignment horizontal="center" vertical="center" textRotation="90"/>
    </xf>
    <xf numFmtId="0" fontId="65" fillId="0" borderId="68" xfId="0" applyFont="1" applyBorder="1" applyAlignment="1">
      <alignment horizontal="center" vertical="center"/>
    </xf>
    <xf numFmtId="0" fontId="65" fillId="0" borderId="111" xfId="0" applyFont="1" applyBorder="1" applyAlignment="1">
      <alignment horizontal="center" vertical="center"/>
    </xf>
    <xf numFmtId="0" fontId="65" fillId="7" borderId="62" xfId="0" applyFont="1" applyFill="1" applyBorder="1" applyAlignment="1">
      <alignment horizontal="center" vertical="center"/>
    </xf>
    <xf numFmtId="0" fontId="65" fillId="0" borderId="103" xfId="0" applyFont="1" applyBorder="1" applyAlignment="1">
      <alignment horizontal="center" vertical="center"/>
    </xf>
    <xf numFmtId="0" fontId="65" fillId="7" borderId="22" xfId="0" applyFont="1" applyFill="1" applyBorder="1" applyAlignment="1">
      <alignment horizontal="center" vertical="center"/>
    </xf>
    <xf numFmtId="0" fontId="29" fillId="0" borderId="23" xfId="0" applyFont="1" applyBorder="1" applyAlignment="1">
      <alignment vertical="center"/>
    </xf>
    <xf numFmtId="0" fontId="23" fillId="0" borderId="23" xfId="0" applyFont="1" applyBorder="1" applyAlignment="1">
      <alignment vertical="center"/>
    </xf>
    <xf numFmtId="0" fontId="24" fillId="0" borderId="23" xfId="0" applyFont="1" applyBorder="1" applyAlignment="1">
      <alignment horizontal="right" vertical="center"/>
    </xf>
    <xf numFmtId="185" fontId="30" fillId="7" borderId="55" xfId="0" applyNumberFormat="1" applyFont="1" applyFill="1" applyBorder="1" applyAlignment="1">
      <alignment horizontal="right" vertical="center"/>
    </xf>
    <xf numFmtId="185" fontId="30" fillId="4" borderId="55" xfId="0" applyNumberFormat="1" applyFont="1" applyFill="1" applyBorder="1" applyAlignment="1">
      <alignment horizontal="right" vertical="center"/>
    </xf>
    <xf numFmtId="185" fontId="30" fillId="7" borderId="112" xfId="0" applyNumberFormat="1" applyFont="1" applyFill="1" applyBorder="1" applyAlignment="1">
      <alignment horizontal="right" vertical="center"/>
    </xf>
    <xf numFmtId="185" fontId="23" fillId="4" borderId="9" xfId="11" applyNumberFormat="1" applyFont="1" applyFill="1" applyBorder="1" applyAlignment="1">
      <alignment horizontal="right" vertical="center"/>
    </xf>
    <xf numFmtId="185" fontId="23" fillId="7" borderId="9" xfId="11" applyNumberFormat="1" applyFont="1" applyFill="1" applyBorder="1" applyAlignment="1">
      <alignment horizontal="right" vertical="center"/>
    </xf>
    <xf numFmtId="185" fontId="23" fillId="7" borderId="67" xfId="11" applyNumberFormat="1" applyFont="1" applyFill="1" applyBorder="1" applyAlignment="1">
      <alignment horizontal="right" vertical="center"/>
    </xf>
    <xf numFmtId="0" fontId="0" fillId="4" borderId="2" xfId="0" applyFill="1" applyBorder="1" applyAlignment="1">
      <alignment vertical="center"/>
    </xf>
    <xf numFmtId="0" fontId="33" fillId="4" borderId="31" xfId="0" applyFont="1" applyFill="1" applyBorder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left" vertical="center"/>
    </xf>
    <xf numFmtId="0" fontId="24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top"/>
    </xf>
    <xf numFmtId="0" fontId="26" fillId="4" borderId="0" xfId="0" applyFont="1" applyFill="1" applyAlignment="1">
      <alignment vertical="top"/>
    </xf>
    <xf numFmtId="0" fontId="19" fillId="4" borderId="7" xfId="0" applyFont="1" applyFill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19" fillId="4" borderId="7" xfId="0" applyFont="1" applyFill="1" applyBorder="1" applyAlignment="1">
      <alignment horizontal="centerContinuous"/>
    </xf>
    <xf numFmtId="0" fontId="19" fillId="4" borderId="8" xfId="0" applyFont="1" applyFill="1" applyBorder="1" applyAlignment="1">
      <alignment horizontal="centerContinuous"/>
    </xf>
    <xf numFmtId="0" fontId="0" fillId="4" borderId="8" xfId="0" applyFill="1" applyBorder="1" applyAlignment="1">
      <alignment horizontal="centerContinuous"/>
    </xf>
    <xf numFmtId="0" fontId="0" fillId="4" borderId="14" xfId="0" applyFill="1" applyBorder="1" applyAlignment="1">
      <alignment horizontal="centerContinuous"/>
    </xf>
    <xf numFmtId="0" fontId="19" fillId="4" borderId="5" xfId="0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9" fillId="4" borderId="5" xfId="0" applyFont="1" applyFill="1" applyBorder="1" applyAlignment="1">
      <alignment horizontal="centerContinuous"/>
    </xf>
    <xf numFmtId="0" fontId="19" fillId="4" borderId="0" xfId="0" applyFont="1" applyFill="1" applyBorder="1" applyAlignment="1">
      <alignment horizontal="centerContinuous"/>
    </xf>
    <xf numFmtId="0" fontId="0" fillId="4" borderId="5" xfId="0" applyFill="1" applyBorder="1" applyAlignment="1">
      <alignment horizontal="center"/>
    </xf>
    <xf numFmtId="0" fontId="19" fillId="4" borderId="11" xfId="0" applyFont="1" applyFill="1" applyBorder="1" applyAlignment="1">
      <alignment horizontal="centerContinuous"/>
    </xf>
    <xf numFmtId="0" fontId="19" fillId="4" borderId="0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0" fillId="4" borderId="11" xfId="0" applyFill="1" applyBorder="1"/>
    <xf numFmtId="0" fontId="19" fillId="4" borderId="6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169" fontId="0" fillId="4" borderId="2" xfId="0" applyNumberFormat="1" applyFill="1" applyBorder="1" applyAlignment="1">
      <alignment horizontal="center" wrapText="1"/>
    </xf>
    <xf numFmtId="0" fontId="20" fillId="4" borderId="2" xfId="0" applyFont="1" applyFill="1" applyBorder="1" applyAlignment="1">
      <alignment horizontal="centerContinuous"/>
    </xf>
    <xf numFmtId="0" fontId="20" fillId="4" borderId="25" xfId="0" applyFont="1" applyFill="1" applyBorder="1" applyAlignment="1">
      <alignment horizontal="center"/>
    </xf>
    <xf numFmtId="0" fontId="19" fillId="4" borderId="6" xfId="0" applyFont="1" applyFill="1" applyBorder="1" applyAlignment="1">
      <alignment horizontal="left" vertical="center"/>
    </xf>
    <xf numFmtId="0" fontId="19" fillId="9" borderId="7" xfId="0" applyFont="1" applyFill="1" applyBorder="1" applyAlignment="1">
      <alignment horizontal="left" vertical="center"/>
    </xf>
    <xf numFmtId="0" fontId="19" fillId="9" borderId="8" xfId="0" applyFont="1" applyFill="1" applyBorder="1" applyAlignment="1">
      <alignment horizontal="center" vertical="center"/>
    </xf>
    <xf numFmtId="0" fontId="19" fillId="9" borderId="7" xfId="0" applyFont="1" applyFill="1" applyBorder="1" applyAlignment="1">
      <alignment horizontal="centerContinuous" vertical="center"/>
    </xf>
    <xf numFmtId="0" fontId="19" fillId="9" borderId="8" xfId="0" applyFont="1" applyFill="1" applyBorder="1" applyAlignment="1">
      <alignment horizontal="centerContinuous" vertical="center"/>
    </xf>
    <xf numFmtId="0" fontId="19" fillId="9" borderId="14" xfId="0" applyFont="1" applyFill="1" applyBorder="1" applyAlignment="1">
      <alignment horizontal="centerContinuous" vertical="center"/>
    </xf>
    <xf numFmtId="49" fontId="19" fillId="9" borderId="6" xfId="0" applyNumberFormat="1" applyFont="1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0" borderId="0" xfId="0" applyBorder="1" applyAlignment="1">
      <alignment horizontal="center" textRotation="90"/>
    </xf>
    <xf numFmtId="0" fontId="42" fillId="0" borderId="0" xfId="0" applyFont="1"/>
    <xf numFmtId="0" fontId="23" fillId="4" borderId="113" xfId="0" applyFont="1" applyFill="1" applyBorder="1" applyAlignment="1">
      <alignment vertical="center"/>
    </xf>
    <xf numFmtId="0" fontId="65" fillId="0" borderId="107" xfId="0" applyFont="1" applyBorder="1" applyAlignment="1">
      <alignment horizontal="center" vertical="center"/>
    </xf>
    <xf numFmtId="0" fontId="65" fillId="0" borderId="74" xfId="0" applyFont="1" applyBorder="1" applyAlignment="1">
      <alignment horizontal="center" vertical="center"/>
    </xf>
    <xf numFmtId="0" fontId="33" fillId="0" borderId="0" xfId="17" applyFont="1" applyFill="1" applyBorder="1" applyAlignment="1" applyProtection="1">
      <alignment horizontal="right" vertical="center"/>
    </xf>
    <xf numFmtId="0" fontId="65" fillId="7" borderId="114" xfId="0" applyFont="1" applyFill="1" applyBorder="1" applyAlignment="1">
      <alignment horizontal="center" vertical="center"/>
    </xf>
    <xf numFmtId="0" fontId="65" fillId="0" borderId="69" xfId="0" applyFont="1" applyBorder="1" applyAlignment="1">
      <alignment horizontal="center" vertical="center"/>
    </xf>
    <xf numFmtId="0" fontId="65" fillId="0" borderId="114" xfId="0" applyFont="1" applyBorder="1" applyAlignment="1">
      <alignment horizontal="center" vertical="center"/>
    </xf>
    <xf numFmtId="170" fontId="23" fillId="4" borderId="115" xfId="0" applyNumberFormat="1" applyFont="1" applyFill="1" applyBorder="1" applyAlignment="1">
      <alignment horizontal="right" vertical="center"/>
    </xf>
    <xf numFmtId="49" fontId="23" fillId="4" borderId="0" xfId="17" applyNumberFormat="1" applyFont="1" applyFill="1" applyBorder="1" applyAlignment="1" applyProtection="1">
      <alignment vertical="center"/>
    </xf>
    <xf numFmtId="0" fontId="23" fillId="4" borderId="0" xfId="17" applyFont="1" applyFill="1" applyBorder="1" applyAlignment="1" applyProtection="1">
      <alignment horizontal="right" vertical="center"/>
    </xf>
    <xf numFmtId="197" fontId="26" fillId="4" borderId="53" xfId="0" applyNumberFormat="1" applyFont="1" applyFill="1" applyBorder="1" applyAlignment="1">
      <alignment horizontal="right" vertical="center"/>
    </xf>
    <xf numFmtId="0" fontId="0" fillId="4" borderId="8" xfId="0" applyFill="1" applyBorder="1" applyAlignment="1">
      <alignment vertical="center"/>
    </xf>
    <xf numFmtId="0" fontId="33" fillId="4" borderId="116" xfId="17" applyFont="1" applyFill="1" applyBorder="1" applyAlignment="1" applyProtection="1">
      <alignment horizontal="right" vertical="center"/>
    </xf>
    <xf numFmtId="205" fontId="33" fillId="0" borderId="0" xfId="17" applyNumberFormat="1" applyFont="1" applyBorder="1" applyAlignment="1" applyProtection="1">
      <alignment horizontal="right" vertical="center"/>
    </xf>
    <xf numFmtId="0" fontId="35" fillId="0" borderId="0" xfId="0" applyFont="1"/>
    <xf numFmtId="0" fontId="22" fillId="0" borderId="7" xfId="0" applyFont="1" applyBorder="1" applyAlignment="1">
      <alignment vertical="top"/>
    </xf>
    <xf numFmtId="0" fontId="65" fillId="0" borderId="8" xfId="0" applyFont="1" applyBorder="1"/>
    <xf numFmtId="0" fontId="24" fillId="0" borderId="5" xfId="0" applyFont="1" applyBorder="1"/>
    <xf numFmtId="0" fontId="24" fillId="0" borderId="0" xfId="0" applyFont="1" applyBorder="1"/>
    <xf numFmtId="0" fontId="26" fillId="0" borderId="6" xfId="0" applyFont="1" applyBorder="1" applyAlignment="1"/>
    <xf numFmtId="0" fontId="26" fillId="0" borderId="2" xfId="0" applyFont="1" applyBorder="1" applyAlignment="1"/>
    <xf numFmtId="0" fontId="24" fillId="0" borderId="117" xfId="0" applyFont="1" applyBorder="1" applyAlignment="1">
      <alignment horizontal="center"/>
    </xf>
    <xf numFmtId="0" fontId="26" fillId="0" borderId="0" xfId="0" applyFont="1" applyBorder="1" applyAlignment="1"/>
    <xf numFmtId="0" fontId="40" fillId="0" borderId="8" xfId="0" applyFont="1" applyBorder="1" applyAlignment="1">
      <alignment horizontal="left" vertical="top"/>
    </xf>
    <xf numFmtId="0" fontId="41" fillId="7" borderId="14" xfId="0" applyFont="1" applyFill="1" applyBorder="1" applyAlignment="1" applyProtection="1">
      <alignment horizontal="right" vertical="top"/>
    </xf>
    <xf numFmtId="0" fontId="33" fillId="0" borderId="5" xfId="0" applyFont="1" applyBorder="1" applyAlignment="1">
      <alignment horizontal="left" vertical="top"/>
    </xf>
    <xf numFmtId="0" fontId="39" fillId="7" borderId="11" xfId="0" applyFont="1" applyFill="1" applyBorder="1" applyAlignment="1" applyProtection="1">
      <alignment horizontal="right" vertical="top"/>
    </xf>
    <xf numFmtId="0" fontId="33" fillId="0" borderId="5" xfId="0" applyFont="1" applyBorder="1"/>
    <xf numFmtId="0" fontId="35" fillId="0" borderId="5" xfId="0" applyFont="1" applyBorder="1"/>
    <xf numFmtId="170" fontId="33" fillId="4" borderId="25" xfId="14" applyNumberFormat="1" applyFont="1" applyFill="1" applyBorder="1" applyAlignment="1" applyProtection="1">
      <alignment vertical="center"/>
    </xf>
    <xf numFmtId="0" fontId="24" fillId="0" borderId="83" xfId="0" applyFont="1" applyBorder="1" applyAlignment="1" applyProtection="1">
      <alignment vertical="center"/>
    </xf>
    <xf numFmtId="0" fontId="37" fillId="0" borderId="63" xfId="0" applyFont="1" applyBorder="1" applyAlignment="1" applyProtection="1">
      <alignment vertical="center"/>
    </xf>
    <xf numFmtId="0" fontId="37" fillId="0" borderId="65" xfId="0" applyFont="1" applyBorder="1" applyAlignment="1" applyProtection="1">
      <alignment vertical="center"/>
    </xf>
    <xf numFmtId="0" fontId="33" fillId="3" borderId="63" xfId="0" applyFont="1" applyFill="1" applyBorder="1" applyAlignment="1" applyProtection="1">
      <alignment vertical="center"/>
      <protection locked="0"/>
    </xf>
    <xf numFmtId="0" fontId="33" fillId="3" borderId="72" xfId="0" applyFont="1" applyFill="1" applyBorder="1" applyAlignment="1" applyProtection="1">
      <alignment vertical="center"/>
      <protection locked="0"/>
    </xf>
    <xf numFmtId="0" fontId="19" fillId="0" borderId="72" xfId="0" applyFont="1" applyBorder="1" applyAlignment="1" applyProtection="1">
      <alignment vertical="center"/>
    </xf>
    <xf numFmtId="0" fontId="33" fillId="0" borderId="63" xfId="0" applyFont="1" applyBorder="1" applyAlignment="1" applyProtection="1">
      <alignment vertical="center"/>
    </xf>
    <xf numFmtId="0" fontId="24" fillId="0" borderId="118" xfId="0" applyFont="1" applyBorder="1" applyAlignment="1" applyProtection="1">
      <alignment vertical="center"/>
    </xf>
    <xf numFmtId="0" fontId="35" fillId="0" borderId="119" xfId="0" applyFont="1" applyBorder="1" applyAlignment="1" applyProtection="1">
      <alignment vertical="center"/>
    </xf>
    <xf numFmtId="0" fontId="0" fillId="0" borderId="72" xfId="0" applyBorder="1" applyAlignment="1" applyProtection="1">
      <alignment vertical="center"/>
    </xf>
    <xf numFmtId="0" fontId="41" fillId="0" borderId="0" xfId="0" applyFont="1" applyAlignment="1" applyProtection="1">
      <alignment horizontal="left" vertical="center"/>
    </xf>
    <xf numFmtId="0" fontId="26" fillId="0" borderId="109" xfId="0" applyFont="1" applyBorder="1" applyAlignment="1">
      <alignment horizontal="center" wrapText="1"/>
    </xf>
    <xf numFmtId="2" fontId="26" fillId="0" borderId="120" xfId="0" applyNumberFormat="1" applyFont="1" applyBorder="1" applyAlignment="1">
      <alignment horizontal="center"/>
    </xf>
    <xf numFmtId="0" fontId="26" fillId="0" borderId="120" xfId="0" applyFont="1" applyBorder="1" applyAlignment="1">
      <alignment horizontal="center"/>
    </xf>
    <xf numFmtId="2" fontId="26" fillId="0" borderId="3" xfId="0" applyNumberFormat="1" applyFont="1" applyBorder="1"/>
    <xf numFmtId="0" fontId="33" fillId="0" borderId="5" xfId="17" applyFont="1" applyBorder="1" applyAlignment="1" applyProtection="1">
      <alignment vertical="center"/>
      <protection locked="0"/>
    </xf>
    <xf numFmtId="0" fontId="33" fillId="7" borderId="0" xfId="17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33" fillId="7" borderId="11" xfId="0" applyFont="1" applyFill="1" applyBorder="1" applyAlignment="1" applyProtection="1">
      <alignment vertical="center"/>
      <protection locked="0"/>
    </xf>
    <xf numFmtId="0" fontId="33" fillId="7" borderId="0" xfId="0" applyFont="1" applyFill="1" applyBorder="1" applyAlignment="1" applyProtection="1">
      <alignment vertical="center"/>
      <protection locked="0"/>
    </xf>
    <xf numFmtId="0" fontId="107" fillId="0" borderId="0" xfId="0" applyFont="1"/>
    <xf numFmtId="0" fontId="55" fillId="0" borderId="0" xfId="0" applyFont="1" applyBorder="1" applyAlignment="1">
      <alignment vertical="center"/>
    </xf>
    <xf numFmtId="0" fontId="24" fillId="0" borderId="122" xfId="0" applyFont="1" applyBorder="1" applyAlignment="1" applyProtection="1">
      <alignment horizontal="centerContinuous" vertical="center"/>
    </xf>
    <xf numFmtId="0" fontId="44" fillId="0" borderId="0" xfId="0" applyFont="1" applyBorder="1" applyAlignment="1" applyProtection="1">
      <alignment horizontal="centerContinuous" vertical="center"/>
    </xf>
    <xf numFmtId="0" fontId="33" fillId="7" borderId="19" xfId="0" applyFont="1" applyFill="1" applyBorder="1" applyAlignment="1" applyProtection="1">
      <alignment horizontal="right" vertical="center"/>
    </xf>
    <xf numFmtId="2" fontId="33" fillId="7" borderId="0" xfId="0" applyNumberFormat="1" applyFont="1" applyFill="1" applyBorder="1" applyAlignment="1" applyProtection="1">
      <alignment horizontal="centerContinuous" vertical="center"/>
    </xf>
    <xf numFmtId="188" fontId="24" fillId="7" borderId="11" xfId="0" applyNumberFormat="1" applyFont="1" applyFill="1" applyBorder="1" applyAlignment="1" applyProtection="1">
      <alignment horizontal="right" vertical="center"/>
    </xf>
    <xf numFmtId="0" fontId="26" fillId="7" borderId="2" xfId="0" applyFont="1" applyFill="1" applyBorder="1" applyAlignment="1" applyProtection="1">
      <alignment horizontal="centerContinuous" vertical="center"/>
    </xf>
    <xf numFmtId="0" fontId="44" fillId="0" borderId="58" xfId="0" applyFont="1" applyBorder="1" applyAlignment="1" applyProtection="1">
      <alignment horizontal="centerContinuous" vertical="center"/>
    </xf>
    <xf numFmtId="0" fontId="44" fillId="0" borderId="46" xfId="0" applyFont="1" applyBorder="1" applyAlignment="1" applyProtection="1">
      <alignment horizontal="centerContinuous" vertical="center"/>
    </xf>
    <xf numFmtId="4" fontId="26" fillId="3" borderId="56" xfId="0" applyNumberFormat="1" applyFont="1" applyFill="1" applyBorder="1" applyAlignment="1" applyProtection="1">
      <alignment vertical="center"/>
      <protection locked="0"/>
    </xf>
    <xf numFmtId="4" fontId="26" fillId="7" borderId="9" xfId="0" applyNumberFormat="1" applyFont="1" applyFill="1" applyBorder="1" applyAlignment="1" applyProtection="1">
      <alignment horizontal="right" vertical="center"/>
    </xf>
    <xf numFmtId="9" fontId="24" fillId="0" borderId="21" xfId="0" applyNumberFormat="1" applyFont="1" applyBorder="1" applyAlignment="1" applyProtection="1">
      <alignment horizontal="center" vertical="center"/>
    </xf>
    <xf numFmtId="0" fontId="26" fillId="7" borderId="0" xfId="0" applyFont="1" applyFill="1" applyBorder="1" applyAlignment="1" applyProtection="1">
      <alignment horizontal="center" vertical="center"/>
    </xf>
    <xf numFmtId="4" fontId="26" fillId="7" borderId="19" xfId="0" applyNumberFormat="1" applyFont="1" applyFill="1" applyBorder="1" applyAlignment="1" applyProtection="1">
      <alignment vertical="center"/>
    </xf>
    <xf numFmtId="4" fontId="26" fillId="7" borderId="87" xfId="0" applyNumberFormat="1" applyFont="1" applyFill="1" applyBorder="1" applyAlignment="1" applyProtection="1">
      <alignment vertical="center"/>
    </xf>
    <xf numFmtId="0" fontId="27" fillId="0" borderId="0" xfId="0" applyFont="1" applyAlignment="1" applyProtection="1">
      <alignment horizontal="left" vertical="center"/>
    </xf>
    <xf numFmtId="0" fontId="34" fillId="0" borderId="3" xfId="0" applyFont="1" applyBorder="1" applyAlignment="1" applyProtection="1">
      <alignment horizontal="center" vertical="center"/>
    </xf>
    <xf numFmtId="0" fontId="108" fillId="0" borderId="3" xfId="0" applyFont="1" applyBorder="1" applyAlignment="1" applyProtection="1">
      <alignment horizontal="center" vertical="center"/>
    </xf>
    <xf numFmtId="0" fontId="0" fillId="0" borderId="53" xfId="0" applyBorder="1" applyAlignment="1" applyProtection="1">
      <alignment vertical="center"/>
    </xf>
    <xf numFmtId="0" fontId="109" fillId="0" borderId="10" xfId="0" applyFont="1" applyBorder="1" applyAlignment="1" applyProtection="1">
      <alignment horizontal="left" vertical="center"/>
    </xf>
    <xf numFmtId="0" fontId="110" fillId="0" borderId="9" xfId="0" applyFont="1" applyBorder="1" applyAlignment="1" applyProtection="1">
      <alignment vertical="center"/>
    </xf>
    <xf numFmtId="4" fontId="26" fillId="6" borderId="19" xfId="0" applyNumberFormat="1" applyFont="1" applyFill="1" applyBorder="1" applyAlignment="1" applyProtection="1">
      <alignment horizontal="center" vertical="center"/>
    </xf>
    <xf numFmtId="4" fontId="26" fillId="6" borderId="20" xfId="0" applyNumberFormat="1" applyFont="1" applyFill="1" applyBorder="1" applyAlignment="1" applyProtection="1">
      <alignment horizontal="center" vertical="center"/>
    </xf>
    <xf numFmtId="4" fontId="26" fillId="8" borderId="19" xfId="0" applyNumberFormat="1" applyFont="1" applyFill="1" applyBorder="1" applyAlignment="1" applyProtection="1">
      <alignment horizontal="center" vertical="center"/>
      <protection locked="0"/>
    </xf>
    <xf numFmtId="4" fontId="26" fillId="8" borderId="18" xfId="0" applyNumberFormat="1" applyFont="1" applyFill="1" applyBorder="1" applyAlignment="1" applyProtection="1">
      <alignment horizontal="center" vertical="center"/>
      <protection locked="0"/>
    </xf>
    <xf numFmtId="4" fontId="26" fillId="8" borderId="20" xfId="0" applyNumberFormat="1" applyFont="1" applyFill="1" applyBorder="1" applyAlignment="1" applyProtection="1">
      <alignment horizontal="center" vertical="center"/>
      <protection locked="0"/>
    </xf>
    <xf numFmtId="4" fontId="26" fillId="6" borderId="0" xfId="0" applyNumberFormat="1" applyFont="1" applyFill="1" applyBorder="1" applyAlignment="1" applyProtection="1">
      <alignment horizontal="right" vertical="center"/>
    </xf>
    <xf numFmtId="4" fontId="26" fillId="6" borderId="2" xfId="0" applyNumberFormat="1" applyFont="1" applyFill="1" applyBorder="1" applyAlignment="1" applyProtection="1">
      <alignment horizontal="right" vertical="center"/>
    </xf>
    <xf numFmtId="0" fontId="26" fillId="0" borderId="18" xfId="0" applyFont="1" applyBorder="1" applyAlignment="1" applyProtection="1">
      <alignment horizontal="center" vertical="center"/>
    </xf>
    <xf numFmtId="0" fontId="44" fillId="0" borderId="20" xfId="0" applyFont="1" applyBorder="1" applyAlignment="1" applyProtection="1">
      <alignment horizontal="center" vertical="center"/>
    </xf>
    <xf numFmtId="0" fontId="44" fillId="0" borderId="16" xfId="0" applyFont="1" applyBorder="1" applyAlignment="1" applyProtection="1">
      <alignment horizontal="center" vertical="center"/>
    </xf>
    <xf numFmtId="0" fontId="31" fillId="0" borderId="100" xfId="0" applyFont="1" applyBorder="1" applyAlignment="1" applyProtection="1">
      <alignment horizontal="centerContinuous" vertical="center"/>
    </xf>
    <xf numFmtId="0" fontId="26" fillId="0" borderId="0" xfId="0" applyFont="1" applyBorder="1" applyAlignment="1" applyProtection="1">
      <alignment horizontal="center"/>
    </xf>
    <xf numFmtId="168" fontId="37" fillId="4" borderId="123" xfId="0" applyNumberFormat="1" applyFont="1" applyFill="1" applyBorder="1" applyAlignment="1" applyProtection="1">
      <alignment vertical="center"/>
    </xf>
    <xf numFmtId="168" fontId="37" fillId="4" borderId="120" xfId="0" applyNumberFormat="1" applyFont="1" applyFill="1" applyBorder="1" applyAlignment="1" applyProtection="1">
      <alignment vertical="center"/>
    </xf>
    <xf numFmtId="168" fontId="37" fillId="4" borderId="124" xfId="0" applyNumberFormat="1" applyFont="1" applyFill="1" applyBorder="1" applyAlignment="1" applyProtection="1">
      <alignment vertical="center"/>
    </xf>
    <xf numFmtId="168" fontId="37" fillId="4" borderId="121" xfId="0" applyNumberFormat="1" applyFont="1" applyFill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182" fontId="33" fillId="7" borderId="21" xfId="17" applyNumberFormat="1" applyFont="1" applyFill="1" applyBorder="1" applyAlignment="1" applyProtection="1">
      <alignment horizontal="right" vertical="center"/>
    </xf>
    <xf numFmtId="0" fontId="26" fillId="0" borderId="2" xfId="0" applyFont="1" applyBorder="1" applyAlignment="1" applyProtection="1">
      <alignment horizontal="center"/>
    </xf>
    <xf numFmtId="0" fontId="30" fillId="7" borderId="87" xfId="0" applyFont="1" applyFill="1" applyBorder="1" applyAlignment="1" applyProtection="1">
      <alignment horizontal="center"/>
    </xf>
    <xf numFmtId="0" fontId="51" fillId="7" borderId="87" xfId="0" applyFont="1" applyFill="1" applyBorder="1" applyAlignment="1" applyProtection="1">
      <alignment horizontal="centerContinuous"/>
    </xf>
    <xf numFmtId="0" fontId="26" fillId="7" borderId="125" xfId="0" applyFont="1" applyFill="1" applyBorder="1" applyAlignment="1" applyProtection="1">
      <alignment horizontal="center"/>
    </xf>
    <xf numFmtId="0" fontId="33" fillId="7" borderId="29" xfId="0" applyFont="1" applyFill="1" applyBorder="1" applyAlignment="1" applyProtection="1">
      <alignment horizontal="centerContinuous"/>
    </xf>
    <xf numFmtId="0" fontId="33" fillId="7" borderId="126" xfId="0" applyFont="1" applyFill="1" applyBorder="1" applyAlignment="1" applyProtection="1">
      <alignment horizontal="centerContinuous" vertical="center"/>
    </xf>
    <xf numFmtId="0" fontId="33" fillId="0" borderId="57" xfId="0" applyFont="1" applyBorder="1" applyAlignment="1" applyProtection="1">
      <alignment horizontal="centerContinuous" vertical="center"/>
    </xf>
    <xf numFmtId="0" fontId="26" fillId="0" borderId="21" xfId="0" applyFont="1" applyBorder="1" applyAlignment="1" applyProtection="1">
      <alignment horizontal="center" vertical="center"/>
    </xf>
    <xf numFmtId="0" fontId="30" fillId="0" borderId="56" xfId="0" applyFont="1" applyBorder="1" applyAlignment="1" applyProtection="1">
      <alignment horizontal="center" wrapText="1"/>
    </xf>
    <xf numFmtId="2" fontId="35" fillId="8" borderId="3" xfId="0" applyNumberFormat="1" applyFont="1" applyFill="1" applyBorder="1" applyAlignment="1" applyProtection="1">
      <alignment horizontal="center" vertical="center"/>
      <protection locked="0"/>
    </xf>
    <xf numFmtId="171" fontId="37" fillId="7" borderId="43" xfId="17" applyNumberFormat="1" applyFont="1" applyFill="1" applyBorder="1" applyAlignment="1" applyProtection="1">
      <alignment horizontal="right" vertical="center"/>
    </xf>
    <xf numFmtId="168" fontId="33" fillId="0" borderId="63" xfId="0" applyNumberFormat="1" applyFont="1" applyBorder="1" applyAlignment="1" applyProtection="1">
      <alignment vertical="center"/>
    </xf>
    <xf numFmtId="0" fontId="86" fillId="0" borderId="3" xfId="0" applyFont="1" applyBorder="1" applyAlignment="1" applyProtection="1">
      <alignment horizontal="center" vertical="center"/>
    </xf>
    <xf numFmtId="171" fontId="37" fillId="7" borderId="49" xfId="17" applyNumberFormat="1" applyFont="1" applyFill="1" applyBorder="1" applyAlignment="1" applyProtection="1">
      <alignment horizontal="center" vertical="center"/>
    </xf>
    <xf numFmtId="0" fontId="0" fillId="0" borderId="19" xfId="0" applyBorder="1" applyAlignment="1" applyProtection="1">
      <alignment vertical="center"/>
    </xf>
    <xf numFmtId="0" fontId="31" fillId="0" borderId="122" xfId="0" applyFont="1" applyBorder="1" applyAlignment="1" applyProtection="1">
      <alignment horizontal="left" vertical="center"/>
    </xf>
    <xf numFmtId="0" fontId="26" fillId="7" borderId="77" xfId="0" applyFont="1" applyFill="1" applyBorder="1" applyAlignment="1" applyProtection="1">
      <alignment horizontal="center" vertical="center"/>
    </xf>
    <xf numFmtId="0" fontId="26" fillId="7" borderId="56" xfId="0" applyFont="1" applyFill="1" applyBorder="1" applyAlignment="1" applyProtection="1">
      <alignment horizontal="center" vertical="center"/>
    </xf>
    <xf numFmtId="0" fontId="26" fillId="7" borderId="50" xfId="0" applyFont="1" applyFill="1" applyBorder="1" applyAlignment="1" applyProtection="1">
      <alignment horizontal="center" vertical="center"/>
    </xf>
    <xf numFmtId="0" fontId="31" fillId="0" borderId="122" xfId="0" applyFont="1" applyBorder="1" applyAlignment="1" applyProtection="1">
      <alignment horizontal="center" vertical="center"/>
    </xf>
    <xf numFmtId="170" fontId="33" fillId="6" borderId="11" xfId="0" applyNumberFormat="1" applyFont="1" applyFill="1" applyBorder="1" applyAlignment="1" applyProtection="1">
      <alignment horizontal="right" vertical="center"/>
    </xf>
    <xf numFmtId="0" fontId="37" fillId="7" borderId="0" xfId="0" applyFont="1" applyFill="1" applyBorder="1" applyAlignment="1" applyProtection="1">
      <alignment horizontal="left" vertical="center"/>
    </xf>
    <xf numFmtId="49" fontId="26" fillId="0" borderId="0" xfId="0" applyNumberFormat="1" applyFont="1" applyBorder="1" applyAlignment="1">
      <alignment vertical="center"/>
    </xf>
    <xf numFmtId="49" fontId="26" fillId="0" borderId="2" xfId="17" applyNumberFormat="1" applyFont="1" applyBorder="1" applyAlignment="1" applyProtection="1">
      <alignment vertical="center"/>
    </xf>
    <xf numFmtId="9" fontId="33" fillId="0" borderId="2" xfId="17" applyNumberFormat="1" applyFont="1" applyBorder="1" applyAlignment="1" applyProtection="1">
      <alignment horizontal="right" vertical="center"/>
    </xf>
    <xf numFmtId="170" fontId="30" fillId="7" borderId="53" xfId="0" applyNumberFormat="1" applyFont="1" applyFill="1" applyBorder="1" applyAlignment="1">
      <alignment horizontal="right" vertical="center"/>
    </xf>
    <xf numFmtId="170" fontId="30" fillId="4" borderId="53" xfId="0" applyNumberFormat="1" applyFont="1" applyFill="1" applyBorder="1" applyAlignment="1">
      <alignment horizontal="right" vertical="center"/>
    </xf>
    <xf numFmtId="170" fontId="30" fillId="7" borderId="71" xfId="0" applyNumberFormat="1" applyFont="1" applyFill="1" applyBorder="1" applyAlignment="1">
      <alignment horizontal="right" vertical="center"/>
    </xf>
    <xf numFmtId="0" fontId="65" fillId="0" borderId="5" xfId="0" applyFont="1" applyBorder="1" applyAlignment="1">
      <alignment horizontal="center"/>
    </xf>
    <xf numFmtId="185" fontId="23" fillId="7" borderId="5" xfId="0" applyNumberFormat="1" applyFont="1" applyFill="1" applyBorder="1" applyAlignment="1">
      <alignment horizontal="right" vertical="center"/>
    </xf>
    <xf numFmtId="0" fontId="69" fillId="0" borderId="0" xfId="17" applyFont="1" applyBorder="1" applyAlignment="1" applyProtection="1">
      <alignment vertical="center"/>
    </xf>
    <xf numFmtId="0" fontId="44" fillId="0" borderId="0" xfId="0" applyFont="1" applyBorder="1"/>
    <xf numFmtId="173" fontId="26" fillId="0" borderId="0" xfId="0" applyNumberFormat="1" applyFont="1" applyBorder="1" applyAlignment="1">
      <alignment horizontal="right" vertical="center"/>
    </xf>
    <xf numFmtId="173" fontId="26" fillId="6" borderId="0" xfId="0" applyNumberFormat="1" applyFont="1" applyFill="1" applyBorder="1" applyAlignment="1">
      <alignment horizontal="right" vertical="center"/>
    </xf>
    <xf numFmtId="0" fontId="44" fillId="0" borderId="0" xfId="0" applyFont="1" applyAlignment="1">
      <alignment vertical="center"/>
    </xf>
    <xf numFmtId="0" fontId="23" fillId="4" borderId="2" xfId="17" applyFont="1" applyFill="1" applyBorder="1" applyAlignment="1" applyProtection="1">
      <alignment vertical="center"/>
    </xf>
    <xf numFmtId="0" fontId="65" fillId="0" borderId="96" xfId="0" applyFont="1" applyBorder="1" applyAlignment="1">
      <alignment horizontal="center" vertical="center"/>
    </xf>
    <xf numFmtId="185" fontId="23" fillId="4" borderId="95" xfId="0" applyNumberFormat="1" applyFont="1" applyFill="1" applyBorder="1" applyAlignment="1">
      <alignment horizontal="right" vertical="center"/>
    </xf>
    <xf numFmtId="0" fontId="65" fillId="0" borderId="0" xfId="0" applyFont="1" applyBorder="1" applyAlignment="1">
      <alignment horizontal="center" vertical="center"/>
    </xf>
    <xf numFmtId="0" fontId="29" fillId="4" borderId="62" xfId="17" applyFont="1" applyFill="1" applyBorder="1" applyAlignment="1" applyProtection="1">
      <alignment vertical="center"/>
    </xf>
    <xf numFmtId="185" fontId="23" fillId="4" borderId="127" xfId="0" applyNumberFormat="1" applyFont="1" applyFill="1" applyBorder="1" applyAlignment="1">
      <alignment horizontal="right" vertical="center"/>
    </xf>
    <xf numFmtId="0" fontId="33" fillId="0" borderId="85" xfId="0" applyFont="1" applyBorder="1" applyAlignment="1">
      <alignment horizontal="right" vertical="center"/>
    </xf>
    <xf numFmtId="0" fontId="25" fillId="0" borderId="2" xfId="0" applyFont="1" applyBorder="1" applyAlignment="1">
      <alignment vertical="center"/>
    </xf>
    <xf numFmtId="196" fontId="25" fillId="7" borderId="53" xfId="0" applyNumberFormat="1" applyFont="1" applyFill="1" applyBorder="1" applyAlignment="1">
      <alignment horizontal="left" vertical="center"/>
    </xf>
    <xf numFmtId="196" fontId="25" fillId="7" borderId="71" xfId="0" applyNumberFormat="1" applyFont="1" applyFill="1" applyBorder="1" applyAlignment="1">
      <alignment horizontal="left" vertical="center"/>
    </xf>
    <xf numFmtId="0" fontId="65" fillId="7" borderId="85" xfId="0" applyFont="1" applyFill="1" applyBorder="1" applyAlignment="1">
      <alignment horizontal="center" vertical="center"/>
    </xf>
    <xf numFmtId="0" fontId="23" fillId="7" borderId="85" xfId="17" applyFont="1" applyFill="1" applyBorder="1" applyAlignment="1" applyProtection="1">
      <alignment vertical="center"/>
    </xf>
    <xf numFmtId="0" fontId="23" fillId="7" borderId="0" xfId="17" applyFont="1" applyFill="1" applyBorder="1" applyAlignment="1" applyProtection="1">
      <alignment horizontal="right" vertical="center"/>
    </xf>
    <xf numFmtId="0" fontId="35" fillId="7" borderId="0" xfId="17" applyFont="1" applyFill="1" applyBorder="1" applyAlignment="1" applyProtection="1">
      <alignment horizontal="right" vertical="center"/>
    </xf>
    <xf numFmtId="2" fontId="23" fillId="7" borderId="0" xfId="0" applyNumberFormat="1" applyFont="1" applyFill="1" applyBorder="1" applyAlignment="1">
      <alignment horizontal="right" vertical="center"/>
    </xf>
    <xf numFmtId="2" fontId="23" fillId="4" borderId="0" xfId="0" applyNumberFormat="1" applyFont="1" applyFill="1" applyBorder="1" applyAlignment="1">
      <alignment horizontal="right" vertical="center"/>
    </xf>
    <xf numFmtId="0" fontId="23" fillId="4" borderId="113" xfId="17" applyFont="1" applyFill="1" applyBorder="1" applyAlignment="1" applyProtection="1">
      <alignment vertical="center"/>
    </xf>
    <xf numFmtId="0" fontId="0" fillId="4" borderId="85" xfId="0" applyFill="1" applyBorder="1" applyAlignment="1">
      <alignment vertical="center"/>
    </xf>
    <xf numFmtId="0" fontId="44" fillId="0" borderId="31" xfId="0" applyFont="1" applyBorder="1" applyAlignment="1">
      <alignment vertical="center"/>
    </xf>
    <xf numFmtId="0" fontId="69" fillId="0" borderId="31" xfId="17" applyFont="1" applyBorder="1" applyAlignment="1" applyProtection="1">
      <alignment vertical="center"/>
    </xf>
    <xf numFmtId="0" fontId="26" fillId="0" borderId="31" xfId="17" applyFont="1" applyBorder="1" applyAlignment="1" applyProtection="1">
      <alignment vertical="center"/>
    </xf>
    <xf numFmtId="0" fontId="33" fillId="0" borderId="31" xfId="17" applyFont="1" applyBorder="1" applyAlignment="1" applyProtection="1">
      <alignment horizontal="right" vertical="center"/>
    </xf>
    <xf numFmtId="0" fontId="23" fillId="4" borderId="102" xfId="17" applyFont="1" applyFill="1" applyBorder="1" applyAlignment="1" applyProtection="1">
      <alignment vertical="center"/>
    </xf>
    <xf numFmtId="0" fontId="0" fillId="0" borderId="0" xfId="0" applyBorder="1" applyAlignment="1">
      <alignment horizontal="center" vertical="center" textRotation="90"/>
    </xf>
    <xf numFmtId="185" fontId="26" fillId="7" borderId="9" xfId="0" applyNumberFormat="1" applyFont="1" applyFill="1" applyBorder="1" applyAlignment="1">
      <alignment horizontal="right" vertical="center"/>
    </xf>
    <xf numFmtId="185" fontId="26" fillId="7" borderId="67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29" fillId="0" borderId="0" xfId="17" applyFont="1" applyFill="1" applyBorder="1" applyAlignment="1" applyProtection="1">
      <alignment vertical="center"/>
    </xf>
    <xf numFmtId="0" fontId="31" fillId="0" borderId="0" xfId="17" applyFont="1" applyFill="1" applyBorder="1" applyAlignment="1" applyProtection="1">
      <alignment horizontal="right" vertical="center"/>
    </xf>
    <xf numFmtId="0" fontId="65" fillId="0" borderId="0" xfId="17" applyFont="1" applyFill="1" applyBorder="1" applyAlignment="1" applyProtection="1">
      <alignment horizontal="center" vertical="center"/>
    </xf>
    <xf numFmtId="0" fontId="23" fillId="0" borderId="0" xfId="17" applyFont="1" applyFill="1" applyBorder="1" applyAlignment="1" applyProtection="1">
      <alignment vertical="center"/>
    </xf>
    <xf numFmtId="0" fontId="33" fillId="0" borderId="0" xfId="17" applyFont="1" applyFill="1" applyBorder="1" applyAlignment="1" applyProtection="1">
      <alignment vertical="center"/>
    </xf>
    <xf numFmtId="0" fontId="28" fillId="0" borderId="0" xfId="17" applyFont="1" applyFill="1" applyBorder="1" applyAlignment="1" applyProtection="1">
      <alignment vertical="center"/>
    </xf>
    <xf numFmtId="0" fontId="65" fillId="0" borderId="2" xfId="17" applyFont="1" applyFill="1" applyBorder="1" applyAlignment="1" applyProtection="1">
      <alignment horizontal="center" vertical="center"/>
    </xf>
    <xf numFmtId="0" fontId="33" fillId="0" borderId="2" xfId="17" applyFont="1" applyFill="1" applyBorder="1" applyAlignment="1" applyProtection="1">
      <alignment vertical="top"/>
    </xf>
    <xf numFmtId="0" fontId="28" fillId="0" borderId="2" xfId="17" applyFont="1" applyFill="1" applyBorder="1" applyAlignment="1" applyProtection="1">
      <alignment vertical="center"/>
    </xf>
    <xf numFmtId="0" fontId="31" fillId="0" borderId="2" xfId="17" applyFont="1" applyFill="1" applyBorder="1" applyAlignment="1" applyProtection="1">
      <alignment horizontal="right" vertical="center"/>
    </xf>
    <xf numFmtId="0" fontId="33" fillId="0" borderId="2" xfId="17" applyFont="1" applyFill="1" applyBorder="1" applyAlignment="1" applyProtection="1">
      <alignment horizontal="right" vertical="center"/>
    </xf>
    <xf numFmtId="0" fontId="69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23" fillId="0" borderId="2" xfId="17" applyFont="1" applyFill="1" applyBorder="1" applyAlignment="1" applyProtection="1">
      <alignment vertical="center"/>
    </xf>
    <xf numFmtId="0" fontId="0" fillId="0" borderId="2" xfId="0" applyFill="1" applyBorder="1" applyAlignment="1">
      <alignment vertical="center"/>
    </xf>
    <xf numFmtId="197" fontId="26" fillId="0" borderId="53" xfId="0" applyNumberFormat="1" applyFont="1" applyFill="1" applyBorder="1" applyAlignment="1">
      <alignment horizontal="right" vertical="center"/>
    </xf>
    <xf numFmtId="197" fontId="26" fillId="0" borderId="71" xfId="0" applyNumberFormat="1" applyFont="1" applyFill="1" applyBorder="1" applyAlignment="1">
      <alignment horizontal="right" vertical="center"/>
    </xf>
    <xf numFmtId="0" fontId="0" fillId="0" borderId="102" xfId="0" applyFill="1" applyBorder="1" applyAlignment="1">
      <alignment vertical="center"/>
    </xf>
    <xf numFmtId="0" fontId="0" fillId="0" borderId="62" xfId="0" applyFill="1" applyBorder="1" applyAlignment="1">
      <alignment vertical="center"/>
    </xf>
    <xf numFmtId="0" fontId="33" fillId="0" borderId="116" xfId="17" applyFont="1" applyFill="1" applyBorder="1" applyAlignment="1" applyProtection="1">
      <alignment horizontal="right" vertical="center"/>
    </xf>
    <xf numFmtId="49" fontId="23" fillId="4" borderId="7" xfId="17" applyNumberFormat="1" applyFont="1" applyFill="1" applyBorder="1" applyAlignment="1" applyProtection="1">
      <alignment vertical="center"/>
    </xf>
    <xf numFmtId="0" fontId="29" fillId="4" borderId="8" xfId="17" applyFont="1" applyFill="1" applyBorder="1" applyAlignment="1" applyProtection="1">
      <alignment vertical="center"/>
    </xf>
    <xf numFmtId="185" fontId="23" fillId="4" borderId="10" xfId="0" applyNumberFormat="1" applyFont="1" applyFill="1" applyBorder="1" applyAlignment="1">
      <alignment horizontal="right" vertical="center"/>
    </xf>
    <xf numFmtId="185" fontId="23" fillId="4" borderId="115" xfId="0" applyNumberFormat="1" applyFont="1" applyFill="1" applyBorder="1" applyAlignment="1">
      <alignment horizontal="right" vertical="center"/>
    </xf>
    <xf numFmtId="0" fontId="65" fillId="0" borderId="2" xfId="0" applyFont="1" applyBorder="1" applyAlignment="1">
      <alignment horizontal="center"/>
    </xf>
    <xf numFmtId="170" fontId="23" fillId="4" borderId="95" xfId="0" applyNumberFormat="1" applyFont="1" applyFill="1" applyBorder="1" applyAlignment="1">
      <alignment horizontal="right" vertical="center"/>
    </xf>
    <xf numFmtId="185" fontId="23" fillId="0" borderId="9" xfId="0" applyNumberFormat="1" applyFont="1" applyFill="1" applyBorder="1" applyAlignment="1">
      <alignment horizontal="right" vertical="center"/>
    </xf>
    <xf numFmtId="188" fontId="31" fillId="0" borderId="0" xfId="0" applyNumberFormat="1" applyFont="1" applyFill="1" applyBorder="1" applyAlignment="1">
      <alignment horizontal="right" vertical="center"/>
    </xf>
    <xf numFmtId="185" fontId="23" fillId="0" borderId="0" xfId="0" applyNumberFormat="1" applyFont="1" applyFill="1" applyBorder="1" applyAlignment="1">
      <alignment horizontal="right" vertical="center"/>
    </xf>
    <xf numFmtId="0" fontId="44" fillId="0" borderId="0" xfId="17" applyFont="1" applyFill="1" applyBorder="1" applyAlignment="1" applyProtection="1">
      <alignment vertical="center"/>
    </xf>
    <xf numFmtId="188" fontId="31" fillId="0" borderId="9" xfId="0" applyNumberFormat="1" applyFont="1" applyFill="1" applyBorder="1" applyAlignment="1">
      <alignment horizontal="right" vertical="center"/>
    </xf>
    <xf numFmtId="188" fontId="31" fillId="0" borderId="67" xfId="0" applyNumberFormat="1" applyFont="1" applyFill="1" applyBorder="1" applyAlignment="1">
      <alignment horizontal="right" vertical="center"/>
    </xf>
    <xf numFmtId="0" fontId="65" fillId="0" borderId="62" xfId="0" applyFont="1" applyFill="1" applyBorder="1" applyAlignment="1">
      <alignment horizontal="center" vertical="center"/>
    </xf>
    <xf numFmtId="0" fontId="23" fillId="0" borderId="62" xfId="17" applyFont="1" applyFill="1" applyBorder="1" applyAlignment="1" applyProtection="1">
      <alignment vertical="center"/>
    </xf>
    <xf numFmtId="0" fontId="33" fillId="0" borderId="62" xfId="17" applyFont="1" applyFill="1" applyBorder="1" applyAlignment="1" applyProtection="1">
      <alignment horizontal="right" vertical="center"/>
    </xf>
    <xf numFmtId="188" fontId="31" fillId="0" borderId="95" xfId="0" applyNumberFormat="1" applyFont="1" applyFill="1" applyBorder="1" applyAlignment="1">
      <alignment horizontal="right" vertical="center"/>
    </xf>
    <xf numFmtId="188" fontId="31" fillId="0" borderId="127" xfId="0" applyNumberFormat="1" applyFont="1" applyFill="1" applyBorder="1" applyAlignment="1">
      <alignment horizontal="right" vertical="center"/>
    </xf>
    <xf numFmtId="0" fontId="29" fillId="4" borderId="2" xfId="17" applyFont="1" applyFill="1" applyBorder="1" applyAlignment="1" applyProtection="1">
      <alignment vertical="center"/>
    </xf>
    <xf numFmtId="0" fontId="33" fillId="4" borderId="2" xfId="0" applyFont="1" applyFill="1" applyBorder="1" applyAlignment="1">
      <alignment horizontal="right" vertical="center"/>
    </xf>
    <xf numFmtId="185" fontId="23" fillId="4" borderId="71" xfId="0" applyNumberFormat="1" applyFont="1" applyFill="1" applyBorder="1" applyAlignment="1">
      <alignment horizontal="right" vertical="center"/>
    </xf>
    <xf numFmtId="0" fontId="103" fillId="7" borderId="6" xfId="0" applyFont="1" applyFill="1" applyBorder="1" applyAlignment="1">
      <alignment horizontal="center" vertical="center"/>
    </xf>
    <xf numFmtId="0" fontId="23" fillId="4" borderId="12" xfId="17" applyFont="1" applyFill="1" applyBorder="1" applyAlignment="1" applyProtection="1">
      <alignment vertical="center"/>
    </xf>
    <xf numFmtId="0" fontId="0" fillId="4" borderId="31" xfId="0" applyFill="1" applyBorder="1" applyAlignment="1">
      <alignment vertical="center"/>
    </xf>
    <xf numFmtId="0" fontId="29" fillId="4" borderId="31" xfId="17" applyFont="1" applyFill="1" applyBorder="1" applyAlignment="1" applyProtection="1">
      <alignment vertical="center"/>
    </xf>
    <xf numFmtId="185" fontId="23" fillId="4" borderId="3" xfId="0" applyNumberFormat="1" applyFont="1" applyFill="1" applyBorder="1" applyAlignment="1">
      <alignment horizontal="right" vertical="center"/>
    </xf>
    <xf numFmtId="185" fontId="23" fillId="4" borderId="73" xfId="0" applyNumberFormat="1" applyFont="1" applyFill="1" applyBorder="1" applyAlignment="1">
      <alignment horizontal="right" vertical="center"/>
    </xf>
    <xf numFmtId="0" fontId="30" fillId="0" borderId="62" xfId="0" applyFont="1" applyBorder="1" applyAlignment="1">
      <alignment horizontal="right" vertical="center"/>
    </xf>
    <xf numFmtId="0" fontId="30" fillId="0" borderId="62" xfId="0" applyFont="1" applyBorder="1" applyAlignment="1">
      <alignment horizontal="left" vertical="center"/>
    </xf>
    <xf numFmtId="0" fontId="33" fillId="0" borderId="62" xfId="0" applyFont="1" applyBorder="1" applyAlignment="1">
      <alignment horizontal="right" vertical="center"/>
    </xf>
    <xf numFmtId="185" fontId="24" fillId="7" borderId="95" xfId="11" applyNumberFormat="1" applyFont="1" applyFill="1" applyBorder="1" applyAlignment="1">
      <alignment horizontal="right" vertical="center"/>
    </xf>
    <xf numFmtId="185" fontId="24" fillId="4" borderId="95" xfId="11" applyNumberFormat="1" applyFont="1" applyFill="1" applyBorder="1" applyAlignment="1">
      <alignment horizontal="right" vertical="center"/>
    </xf>
    <xf numFmtId="185" fontId="24" fillId="7" borderId="127" xfId="11" applyNumberFormat="1" applyFont="1" applyFill="1" applyBorder="1" applyAlignment="1">
      <alignment horizontal="right" vertical="center"/>
    </xf>
    <xf numFmtId="185" fontId="31" fillId="7" borderId="0" xfId="0" applyNumberFormat="1" applyFont="1" applyFill="1" applyBorder="1" applyAlignment="1">
      <alignment vertical="center"/>
    </xf>
    <xf numFmtId="185" fontId="31" fillId="0" borderId="0" xfId="0" applyNumberFormat="1" applyFont="1" applyFill="1" applyBorder="1" applyAlignment="1">
      <alignment vertical="center"/>
    </xf>
    <xf numFmtId="0" fontId="26" fillId="0" borderId="85" xfId="17" applyFont="1" applyBorder="1" applyAlignment="1" applyProtection="1">
      <alignment vertical="center"/>
    </xf>
    <xf numFmtId="170" fontId="30" fillId="7" borderId="93" xfId="0" applyNumberFormat="1" applyFont="1" applyFill="1" applyBorder="1" applyAlignment="1">
      <alignment horizontal="right" vertical="center"/>
    </xf>
    <xf numFmtId="170" fontId="30" fillId="4" borderId="93" xfId="0" applyNumberFormat="1" applyFont="1" applyFill="1" applyBorder="1" applyAlignment="1">
      <alignment horizontal="right" vertical="center"/>
    </xf>
    <xf numFmtId="170" fontId="30" fillId="7" borderId="94" xfId="0" applyNumberFormat="1" applyFont="1" applyFill="1" applyBorder="1" applyAlignment="1">
      <alignment horizontal="right" vertical="center"/>
    </xf>
    <xf numFmtId="0" fontId="26" fillId="0" borderId="2" xfId="0" applyFont="1" applyBorder="1"/>
    <xf numFmtId="0" fontId="26" fillId="0" borderId="2" xfId="0" applyFont="1" applyBorder="1" applyAlignment="1">
      <alignment horizontal="right" vertical="center"/>
    </xf>
    <xf numFmtId="185" fontId="26" fillId="7" borderId="95" xfId="11" applyNumberFormat="1" applyFont="1" applyFill="1" applyBorder="1" applyAlignment="1">
      <alignment horizontal="right" vertical="center"/>
    </xf>
    <xf numFmtId="185" fontId="26" fillId="4" borderId="95" xfId="11" applyNumberFormat="1" applyFont="1" applyFill="1" applyBorder="1" applyAlignment="1">
      <alignment horizontal="right" vertical="center"/>
    </xf>
    <xf numFmtId="185" fontId="26" fillId="7" borderId="127" xfId="11" applyNumberFormat="1" applyFont="1" applyFill="1" applyBorder="1" applyAlignment="1">
      <alignment horizontal="right" vertical="center"/>
    </xf>
    <xf numFmtId="0" fontId="30" fillId="4" borderId="62" xfId="17" applyFont="1" applyFill="1" applyBorder="1" applyAlignment="1" applyProtection="1">
      <alignment vertical="center"/>
    </xf>
    <xf numFmtId="170" fontId="23" fillId="4" borderId="127" xfId="0" applyNumberFormat="1" applyFont="1" applyFill="1" applyBorder="1" applyAlignment="1">
      <alignment horizontal="right" vertical="center"/>
    </xf>
    <xf numFmtId="170" fontId="23" fillId="4" borderId="9" xfId="0" applyNumberFormat="1" applyFont="1" applyFill="1" applyBorder="1" applyAlignment="1">
      <alignment horizontal="right" vertical="center"/>
    </xf>
    <xf numFmtId="170" fontId="23" fillId="4" borderId="67" xfId="0" applyNumberFormat="1" applyFont="1" applyFill="1" applyBorder="1" applyAlignment="1">
      <alignment horizontal="right" vertical="center"/>
    </xf>
    <xf numFmtId="196" fontId="25" fillId="7" borderId="2" xfId="0" applyNumberFormat="1" applyFont="1" applyFill="1" applyBorder="1" applyAlignment="1">
      <alignment horizontal="right"/>
    </xf>
    <xf numFmtId="0" fontId="33" fillId="0" borderId="128" xfId="0" applyFont="1" applyBorder="1" applyAlignment="1">
      <alignment horizontal="right" vertical="center"/>
    </xf>
    <xf numFmtId="0" fontId="33" fillId="0" borderId="11" xfId="0" applyFont="1" applyBorder="1" applyAlignment="1">
      <alignment horizontal="right" vertical="center"/>
    </xf>
    <xf numFmtId="0" fontId="33" fillId="0" borderId="25" xfId="0" applyFont="1" applyBorder="1" applyAlignment="1">
      <alignment horizontal="right" vertical="center"/>
    </xf>
    <xf numFmtId="49" fontId="26" fillId="0" borderId="31" xfId="17" applyNumberFormat="1" applyFont="1" applyBorder="1" applyAlignment="1" applyProtection="1">
      <alignment vertical="center"/>
    </xf>
    <xf numFmtId="0" fontId="44" fillId="0" borderId="5" xfId="0" applyFont="1" applyBorder="1" applyAlignment="1">
      <alignment horizontal="right" vertical="center"/>
    </xf>
    <xf numFmtId="0" fontId="65" fillId="7" borderId="102" xfId="0" applyFont="1" applyFill="1" applyBorder="1" applyAlignment="1">
      <alignment horizontal="center" vertical="center"/>
    </xf>
    <xf numFmtId="0" fontId="29" fillId="0" borderId="62" xfId="0" applyFont="1" applyBorder="1" applyAlignment="1">
      <alignment vertical="center"/>
    </xf>
    <xf numFmtId="0" fontId="23" fillId="0" borderId="62" xfId="0" applyFont="1" applyBorder="1" applyAlignment="1">
      <alignment vertical="center"/>
    </xf>
    <xf numFmtId="0" fontId="24" fillId="0" borderId="62" xfId="0" applyFont="1" applyBorder="1" applyAlignment="1">
      <alignment horizontal="right" vertical="center"/>
    </xf>
    <xf numFmtId="185" fontId="26" fillId="4" borderId="95" xfId="0" applyNumberFormat="1" applyFont="1" applyFill="1" applyBorder="1" applyAlignment="1">
      <alignment horizontal="right" vertical="center"/>
    </xf>
    <xf numFmtId="185" fontId="26" fillId="7" borderId="102" xfId="11" applyNumberFormat="1" applyFont="1" applyFill="1" applyBorder="1" applyAlignment="1">
      <alignment horizontal="right" vertical="center"/>
    </xf>
    <xf numFmtId="185" fontId="26" fillId="7" borderId="95" xfId="0" applyNumberFormat="1" applyFont="1" applyFill="1" applyBorder="1" applyAlignment="1">
      <alignment horizontal="right" vertical="center"/>
    </xf>
    <xf numFmtId="185" fontId="26" fillId="7" borderId="127" xfId="0" applyNumberFormat="1" applyFont="1" applyFill="1" applyBorder="1" applyAlignment="1">
      <alignment horizontal="right" vertical="center"/>
    </xf>
    <xf numFmtId="185" fontId="26" fillId="7" borderId="9" xfId="11" applyNumberFormat="1" applyFont="1" applyFill="1" applyBorder="1" applyAlignment="1">
      <alignment horizontal="right" vertical="center"/>
    </xf>
    <xf numFmtId="170" fontId="26" fillId="4" borderId="93" xfId="0" applyNumberFormat="1" applyFont="1" applyFill="1" applyBorder="1" applyAlignment="1">
      <alignment horizontal="right" vertical="center"/>
    </xf>
    <xf numFmtId="0" fontId="31" fillId="0" borderId="62" xfId="0" applyFont="1" applyBorder="1" applyAlignment="1">
      <alignment vertical="center"/>
    </xf>
    <xf numFmtId="49" fontId="26" fillId="0" borderId="6" xfId="17" applyNumberFormat="1" applyFont="1" applyBorder="1" applyAlignment="1" applyProtection="1">
      <alignment vertical="center"/>
    </xf>
    <xf numFmtId="170" fontId="26" fillId="4" borderId="53" xfId="0" applyNumberFormat="1" applyFont="1" applyFill="1" applyBorder="1" applyAlignment="1">
      <alignment horizontal="right" vertical="center"/>
    </xf>
    <xf numFmtId="0" fontId="33" fillId="0" borderId="25" xfId="17" applyFont="1" applyFill="1" applyBorder="1" applyAlignment="1" applyProtection="1">
      <alignment horizontal="right" vertical="center"/>
    </xf>
    <xf numFmtId="188" fontId="26" fillId="0" borderId="9" xfId="0" applyNumberFormat="1" applyFont="1" applyFill="1" applyBorder="1" applyAlignment="1">
      <alignment horizontal="right" vertical="center"/>
    </xf>
    <xf numFmtId="188" fontId="26" fillId="0" borderId="67" xfId="0" applyNumberFormat="1" applyFont="1" applyFill="1" applyBorder="1" applyAlignment="1">
      <alignment horizontal="right" vertical="center"/>
    </xf>
    <xf numFmtId="0" fontId="69" fillId="0" borderId="5" xfId="17" applyFont="1" applyBorder="1" applyAlignment="1" applyProtection="1">
      <alignment vertical="center"/>
    </xf>
    <xf numFmtId="0" fontId="69" fillId="0" borderId="0" xfId="0" applyFont="1" applyBorder="1" applyAlignment="1">
      <alignment vertical="center"/>
    </xf>
    <xf numFmtId="0" fontId="65" fillId="0" borderId="6" xfId="0" applyFont="1" applyBorder="1"/>
    <xf numFmtId="0" fontId="26" fillId="0" borderId="2" xfId="17" applyFont="1" applyBorder="1" applyAlignment="1" applyProtection="1">
      <alignment horizontal="left" vertical="center"/>
    </xf>
    <xf numFmtId="199" fontId="33" fillId="0" borderId="2" xfId="17" applyNumberFormat="1" applyFont="1" applyBorder="1" applyAlignment="1" applyProtection="1">
      <alignment horizontal="centerContinuous" vertical="center"/>
    </xf>
    <xf numFmtId="2" fontId="25" fillId="7" borderId="53" xfId="0" applyNumberFormat="1" applyFont="1" applyFill="1" applyBorder="1" applyAlignment="1">
      <alignment horizontal="left" vertical="center"/>
    </xf>
    <xf numFmtId="2" fontId="25" fillId="7" borderId="71" xfId="0" applyNumberFormat="1" applyFont="1" applyFill="1" applyBorder="1" applyAlignment="1">
      <alignment horizontal="left" vertical="center"/>
    </xf>
    <xf numFmtId="170" fontId="25" fillId="7" borderId="53" xfId="0" applyNumberFormat="1" applyFont="1" applyFill="1" applyBorder="1" applyAlignment="1">
      <alignment horizontal="left" vertical="center"/>
    </xf>
    <xf numFmtId="170" fontId="25" fillId="7" borderId="71" xfId="0" applyNumberFormat="1" applyFont="1" applyFill="1" applyBorder="1" applyAlignment="1">
      <alignment horizontal="left" vertical="center"/>
    </xf>
    <xf numFmtId="0" fontId="44" fillId="0" borderId="2" xfId="0" applyFont="1" applyBorder="1" applyAlignment="1">
      <alignment vertical="center"/>
    </xf>
    <xf numFmtId="202" fontId="33" fillId="0" borderId="2" xfId="17" applyNumberFormat="1" applyFont="1" applyBorder="1" applyAlignment="1" applyProtection="1">
      <alignment horizontal="left" vertical="center"/>
    </xf>
    <xf numFmtId="0" fontId="25" fillId="0" borderId="5" xfId="0" applyFont="1" applyBorder="1" applyAlignment="1">
      <alignment vertical="center"/>
    </xf>
    <xf numFmtId="0" fontId="65" fillId="0" borderId="62" xfId="0" applyFont="1" applyBorder="1" applyAlignment="1">
      <alignment horizontal="center" vertical="center"/>
    </xf>
    <xf numFmtId="173" fontId="35" fillId="4" borderId="5" xfId="14" applyNumberFormat="1" applyFont="1" applyFill="1" applyBorder="1" applyAlignment="1">
      <alignment vertical="center"/>
    </xf>
    <xf numFmtId="170" fontId="35" fillId="4" borderId="11" xfId="14" applyNumberFormat="1" applyFont="1" applyFill="1" applyBorder="1" applyAlignment="1" applyProtection="1">
      <alignment vertical="center"/>
    </xf>
    <xf numFmtId="173" fontId="35" fillId="4" borderId="5" xfId="14" applyNumberFormat="1" applyFont="1" applyFill="1" applyBorder="1" applyAlignment="1" applyProtection="1">
      <alignment vertical="center"/>
    </xf>
    <xf numFmtId="0" fontId="0" fillId="4" borderId="122" xfId="0" applyFill="1" applyBorder="1" applyAlignment="1">
      <alignment vertical="center"/>
    </xf>
    <xf numFmtId="0" fontId="29" fillId="4" borderId="122" xfId="17" applyFont="1" applyFill="1" applyBorder="1" applyAlignment="1" applyProtection="1">
      <alignment vertical="center"/>
    </xf>
    <xf numFmtId="185" fontId="23" fillId="4" borderId="109" xfId="0" applyNumberFormat="1" applyFont="1" applyFill="1" applyBorder="1" applyAlignment="1">
      <alignment horizontal="right" vertical="center"/>
    </xf>
    <xf numFmtId="185" fontId="23" fillId="4" borderId="110" xfId="0" applyNumberFormat="1" applyFont="1" applyFill="1" applyBorder="1" applyAlignment="1">
      <alignment horizontal="right" vertical="center"/>
    </xf>
    <xf numFmtId="170" fontId="23" fillId="4" borderId="128" xfId="0" applyNumberFormat="1" applyFont="1" applyFill="1" applyBorder="1" applyAlignment="1">
      <alignment horizontal="right" vertical="center"/>
    </xf>
    <xf numFmtId="185" fontId="23" fillId="4" borderId="98" xfId="0" applyNumberFormat="1" applyFont="1" applyFill="1" applyBorder="1" applyAlignment="1">
      <alignment horizontal="right" vertical="center"/>
    </xf>
    <xf numFmtId="170" fontId="23" fillId="4" borderId="116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right" vertical="center"/>
    </xf>
    <xf numFmtId="0" fontId="33" fillId="4" borderId="98" xfId="17" applyFont="1" applyFill="1" applyBorder="1" applyAlignment="1" applyProtection="1">
      <alignment horizontal="right" vertical="center"/>
    </xf>
    <xf numFmtId="197" fontId="26" fillId="4" borderId="9" xfId="0" applyNumberFormat="1" applyFont="1" applyFill="1" applyBorder="1" applyAlignment="1">
      <alignment horizontal="right" vertical="center"/>
    </xf>
    <xf numFmtId="197" fontId="26" fillId="4" borderId="53" xfId="0" applyNumberFormat="1" applyFont="1" applyFill="1" applyBorder="1" applyAlignment="1">
      <alignment vertical="center"/>
    </xf>
    <xf numFmtId="0" fontId="30" fillId="4" borderId="85" xfId="17" applyFont="1" applyFill="1" applyBorder="1" applyAlignment="1" applyProtection="1">
      <alignment vertical="center"/>
    </xf>
    <xf numFmtId="0" fontId="33" fillId="4" borderId="128" xfId="17" applyFont="1" applyFill="1" applyBorder="1" applyAlignment="1" applyProtection="1">
      <alignment horizontal="right" vertical="center"/>
    </xf>
    <xf numFmtId="190" fontId="26" fillId="0" borderId="9" xfId="0" applyNumberFormat="1" applyFont="1" applyFill="1" applyBorder="1" applyAlignment="1">
      <alignment horizontal="right" vertical="center"/>
    </xf>
    <xf numFmtId="190" fontId="26" fillId="0" borderId="67" xfId="0" applyNumberFormat="1" applyFont="1" applyFill="1" applyBorder="1" applyAlignment="1">
      <alignment horizontal="right" vertical="center"/>
    </xf>
    <xf numFmtId="171" fontId="24" fillId="0" borderId="9" xfId="0" applyNumberFormat="1" applyFont="1" applyFill="1" applyBorder="1" applyAlignment="1">
      <alignment horizontal="right" vertical="center"/>
    </xf>
    <xf numFmtId="171" fontId="24" fillId="0" borderId="67" xfId="0" applyNumberFormat="1" applyFont="1" applyFill="1" applyBorder="1" applyAlignment="1">
      <alignment horizontal="right" vertical="center"/>
    </xf>
    <xf numFmtId="0" fontId="26" fillId="0" borderId="0" xfId="17" applyFont="1" applyFill="1" applyBorder="1" applyAlignment="1" applyProtection="1">
      <alignment vertical="center"/>
    </xf>
    <xf numFmtId="0" fontId="65" fillId="0" borderId="0" xfId="0" applyFont="1" applyFill="1" applyBorder="1"/>
    <xf numFmtId="0" fontId="26" fillId="0" borderId="0" xfId="17" applyFont="1" applyFill="1" applyBorder="1" applyAlignment="1" applyProtection="1">
      <alignment horizontal="right" vertical="center"/>
    </xf>
    <xf numFmtId="0" fontId="65" fillId="0" borderId="2" xfId="0" applyFont="1" applyFill="1" applyBorder="1"/>
    <xf numFmtId="0" fontId="33" fillId="0" borderId="2" xfId="17" applyFont="1" applyFill="1" applyBorder="1" applyAlignment="1" applyProtection="1">
      <alignment vertical="center"/>
    </xf>
    <xf numFmtId="0" fontId="26" fillId="0" borderId="2" xfId="17" applyFont="1" applyFill="1" applyBorder="1" applyAlignment="1" applyProtection="1">
      <alignment horizontal="right" vertical="center"/>
    </xf>
    <xf numFmtId="0" fontId="23" fillId="0" borderId="6" xfId="17" applyFont="1" applyFill="1" applyBorder="1" applyAlignment="1" applyProtection="1">
      <alignment vertical="center"/>
    </xf>
    <xf numFmtId="0" fontId="44" fillId="0" borderId="2" xfId="0" applyFont="1" applyFill="1" applyBorder="1" applyAlignment="1">
      <alignment vertical="center"/>
    </xf>
    <xf numFmtId="0" fontId="26" fillId="0" borderId="2" xfId="17" applyFont="1" applyFill="1" applyBorder="1" applyAlignment="1" applyProtection="1">
      <alignment vertical="center"/>
    </xf>
    <xf numFmtId="0" fontId="65" fillId="0" borderId="102" xfId="0" applyFont="1" applyFill="1" applyBorder="1" applyAlignment="1">
      <alignment vertical="center"/>
    </xf>
    <xf numFmtId="0" fontId="44" fillId="0" borderId="62" xfId="0" applyFont="1" applyFill="1" applyBorder="1" applyAlignment="1">
      <alignment vertical="center"/>
    </xf>
    <xf numFmtId="188" fontId="26" fillId="4" borderId="95" xfId="0" applyNumberFormat="1" applyFont="1" applyFill="1" applyBorder="1" applyAlignment="1">
      <alignment horizontal="right" vertical="center"/>
    </xf>
    <xf numFmtId="0" fontId="26" fillId="4" borderId="62" xfId="0" applyFont="1" applyFill="1" applyBorder="1" applyAlignment="1">
      <alignment vertical="center"/>
    </xf>
    <xf numFmtId="0" fontId="24" fillId="4" borderId="62" xfId="17" applyFont="1" applyFill="1" applyBorder="1" applyAlignment="1" applyProtection="1">
      <alignment vertical="center"/>
    </xf>
    <xf numFmtId="0" fontId="26" fillId="4" borderId="62" xfId="17" applyFont="1" applyFill="1" applyBorder="1" applyAlignment="1" applyProtection="1">
      <alignment vertical="center"/>
    </xf>
    <xf numFmtId="188" fontId="31" fillId="7" borderId="85" xfId="0" applyNumberFormat="1" applyFont="1" applyFill="1" applyBorder="1" applyAlignment="1">
      <alignment horizontal="right" vertical="center"/>
    </xf>
    <xf numFmtId="0" fontId="65" fillId="0" borderId="0" xfId="0" applyFont="1" applyFill="1" applyBorder="1" applyAlignment="1">
      <alignment horizontal="center" vertical="center"/>
    </xf>
    <xf numFmtId="0" fontId="33" fillId="0" borderId="0" xfId="17" applyFont="1" applyFill="1" applyBorder="1" applyAlignment="1" applyProtection="1">
      <alignment horizontal="left" vertical="center"/>
    </xf>
    <xf numFmtId="0" fontId="44" fillId="4" borderId="85" xfId="0" applyFont="1" applyFill="1" applyBorder="1" applyAlignment="1">
      <alignment vertical="center"/>
    </xf>
    <xf numFmtId="0" fontId="26" fillId="7" borderId="103" xfId="17" applyFont="1" applyFill="1" applyBorder="1" applyAlignment="1" applyProtection="1">
      <alignment vertical="center"/>
    </xf>
    <xf numFmtId="0" fontId="28" fillId="7" borderId="103" xfId="17" applyFont="1" applyFill="1" applyBorder="1" applyAlignment="1" applyProtection="1">
      <alignment vertical="center"/>
    </xf>
    <xf numFmtId="0" fontId="30" fillId="7" borderId="103" xfId="17" applyFont="1" applyFill="1" applyBorder="1" applyAlignment="1" applyProtection="1">
      <alignment horizontal="right" vertical="center"/>
    </xf>
    <xf numFmtId="0" fontId="33" fillId="7" borderId="103" xfId="17" applyFont="1" applyFill="1" applyBorder="1" applyAlignment="1" applyProtection="1">
      <alignment horizontal="right" vertical="center"/>
    </xf>
    <xf numFmtId="2" fontId="23" fillId="7" borderId="103" xfId="0" applyNumberFormat="1" applyFont="1" applyFill="1" applyBorder="1" applyAlignment="1">
      <alignment horizontal="right" vertical="center"/>
    </xf>
    <xf numFmtId="0" fontId="24" fillId="7" borderId="103" xfId="17" applyFont="1" applyFill="1" applyBorder="1" applyAlignment="1" applyProtection="1">
      <alignment vertical="center"/>
    </xf>
    <xf numFmtId="0" fontId="24" fillId="7" borderId="103" xfId="17" applyFont="1" applyFill="1" applyBorder="1" applyAlignment="1" applyProtection="1">
      <alignment horizontal="right" vertical="center"/>
    </xf>
    <xf numFmtId="0" fontId="35" fillId="7" borderId="103" xfId="17" applyFont="1" applyFill="1" applyBorder="1" applyAlignment="1" applyProtection="1">
      <alignment horizontal="right" vertical="center"/>
    </xf>
    <xf numFmtId="188" fontId="26" fillId="4" borderId="9" xfId="11" applyNumberFormat="1" applyFont="1" applyFill="1" applyBorder="1" applyAlignment="1">
      <alignment horizontal="right" vertical="center"/>
    </xf>
    <xf numFmtId="197" fontId="26" fillId="4" borderId="95" xfId="0" applyNumberFormat="1" applyFont="1" applyFill="1" applyBorder="1" applyAlignment="1">
      <alignment horizontal="right" vertical="center"/>
    </xf>
    <xf numFmtId="2" fontId="23" fillId="0" borderId="103" xfId="0" applyNumberFormat="1" applyFont="1" applyFill="1" applyBorder="1" applyAlignment="1">
      <alignment horizontal="right" vertical="center"/>
    </xf>
    <xf numFmtId="197" fontId="26" fillId="0" borderId="95" xfId="0" applyNumberFormat="1" applyFont="1" applyFill="1" applyBorder="1" applyAlignment="1">
      <alignment horizontal="right" vertical="center"/>
    </xf>
    <xf numFmtId="188" fontId="26" fillId="0" borderId="9" xfId="11" applyNumberFormat="1" applyFont="1" applyFill="1" applyBorder="1" applyAlignment="1">
      <alignment horizontal="right" vertical="center"/>
    </xf>
    <xf numFmtId="188" fontId="26" fillId="4" borderId="53" xfId="11" applyNumberFormat="1" applyFont="1" applyFill="1" applyBorder="1" applyAlignment="1">
      <alignment horizontal="right" vertical="center"/>
    </xf>
    <xf numFmtId="188" fontId="26" fillId="0" borderId="53" xfId="11" applyNumberFormat="1" applyFont="1" applyFill="1" applyBorder="1" applyAlignment="1">
      <alignment horizontal="right" vertical="center"/>
    </xf>
    <xf numFmtId="188" fontId="26" fillId="0" borderId="67" xfId="11" applyNumberFormat="1" applyFont="1" applyFill="1" applyBorder="1" applyAlignment="1">
      <alignment horizontal="right" vertical="center"/>
    </xf>
    <xf numFmtId="188" fontId="26" fillId="0" borderId="71" xfId="11" applyNumberFormat="1" applyFont="1" applyFill="1" applyBorder="1" applyAlignment="1">
      <alignment horizontal="right" vertical="center"/>
    </xf>
    <xf numFmtId="185" fontId="23" fillId="0" borderId="0" xfId="0" applyNumberFormat="1" applyFont="1" applyFill="1" applyBorder="1" applyAlignment="1">
      <alignment vertical="center"/>
    </xf>
    <xf numFmtId="185" fontId="23" fillId="0" borderId="0" xfId="11" applyNumberFormat="1" applyFont="1" applyFill="1" applyBorder="1" applyAlignment="1">
      <alignment horizontal="right" vertical="center"/>
    </xf>
    <xf numFmtId="170" fontId="23" fillId="0" borderId="0" xfId="0" applyNumberFormat="1" applyFont="1" applyFill="1" applyBorder="1" applyAlignment="1">
      <alignment horizontal="right" vertical="center"/>
    </xf>
    <xf numFmtId="0" fontId="30" fillId="4" borderId="0" xfId="17" applyFont="1" applyFill="1" applyBorder="1" applyAlignment="1" applyProtection="1">
      <alignment vertical="center"/>
    </xf>
    <xf numFmtId="170" fontId="23" fillId="4" borderId="11" xfId="0" applyNumberFormat="1" applyFont="1" applyFill="1" applyBorder="1" applyAlignment="1">
      <alignment horizontal="right" vertical="center"/>
    </xf>
    <xf numFmtId="0" fontId="65" fillId="0" borderId="129" xfId="0" applyFont="1" applyBorder="1" applyAlignment="1">
      <alignment horizontal="center" vertical="center"/>
    </xf>
    <xf numFmtId="49" fontId="26" fillId="0" borderId="130" xfId="17" applyNumberFormat="1" applyFont="1" applyBorder="1" applyAlignment="1" applyProtection="1">
      <alignment vertical="center"/>
    </xf>
    <xf numFmtId="0" fontId="26" fillId="0" borderId="103" xfId="0" applyFont="1" applyBorder="1" applyAlignment="1">
      <alignment vertical="center"/>
    </xf>
    <xf numFmtId="0" fontId="26" fillId="0" borderId="103" xfId="17" applyFont="1" applyBorder="1" applyAlignment="1" applyProtection="1">
      <alignment vertical="center"/>
    </xf>
    <xf numFmtId="0" fontId="33" fillId="0" borderId="131" xfId="17" applyFont="1" applyBorder="1" applyAlignment="1" applyProtection="1">
      <alignment horizontal="right" vertical="center"/>
    </xf>
    <xf numFmtId="170" fontId="26" fillId="0" borderId="131" xfId="0" applyNumberFormat="1" applyFont="1" applyFill="1" applyBorder="1" applyAlignment="1">
      <alignment horizontal="right" vertical="center"/>
    </xf>
    <xf numFmtId="170" fontId="26" fillId="0" borderId="132" xfId="0" applyNumberFormat="1" applyFont="1" applyFill="1" applyBorder="1" applyAlignment="1">
      <alignment horizontal="right" vertical="center"/>
    </xf>
    <xf numFmtId="170" fontId="26" fillId="0" borderId="133" xfId="0" applyNumberFormat="1" applyFont="1" applyFill="1" applyBorder="1" applyAlignment="1">
      <alignment horizontal="right" vertical="center"/>
    </xf>
    <xf numFmtId="197" fontId="26" fillId="0" borderId="127" xfId="0" applyNumberFormat="1" applyFont="1" applyFill="1" applyBorder="1" applyAlignment="1">
      <alignment horizontal="right" vertical="center"/>
    </xf>
    <xf numFmtId="0" fontId="23" fillId="4" borderId="99" xfId="17" applyFont="1" applyFill="1" applyBorder="1" applyAlignment="1" applyProtection="1">
      <alignment vertical="center"/>
    </xf>
    <xf numFmtId="0" fontId="39" fillId="0" borderId="31" xfId="0" applyFont="1" applyBorder="1" applyAlignment="1">
      <alignment vertical="center"/>
    </xf>
    <xf numFmtId="3" fontId="39" fillId="0" borderId="3" xfId="0" applyNumberFormat="1" applyFont="1" applyBorder="1" applyAlignment="1">
      <alignment horizontal="center" vertical="center"/>
    </xf>
    <xf numFmtId="3" fontId="39" fillId="0" borderId="31" xfId="0" applyNumberFormat="1" applyFont="1" applyBorder="1" applyAlignment="1">
      <alignment horizontal="center" vertical="center"/>
    </xf>
    <xf numFmtId="3" fontId="39" fillId="0" borderId="74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1" fontId="69" fillId="0" borderId="53" xfId="0" applyNumberFormat="1" applyFont="1" applyBorder="1" applyAlignment="1">
      <alignment horizontal="center" vertical="center"/>
    </xf>
    <xf numFmtId="1" fontId="69" fillId="0" borderId="2" xfId="0" applyNumberFormat="1" applyFont="1" applyBorder="1" applyAlignment="1">
      <alignment horizontal="center" vertical="center"/>
    </xf>
    <xf numFmtId="1" fontId="69" fillId="0" borderId="69" xfId="0" applyNumberFormat="1" applyFont="1" applyBorder="1" applyAlignment="1">
      <alignment horizontal="center" vertical="center"/>
    </xf>
    <xf numFmtId="1" fontId="69" fillId="0" borderId="6" xfId="0" applyNumberFormat="1" applyFont="1" applyBorder="1" applyAlignment="1">
      <alignment horizontal="center" vertical="center"/>
    </xf>
    <xf numFmtId="1" fontId="69" fillId="0" borderId="71" xfId="0" applyNumberFormat="1" applyFont="1" applyBorder="1" applyAlignment="1">
      <alignment horizontal="center" vertical="center"/>
    </xf>
    <xf numFmtId="1" fontId="69" fillId="0" borderId="25" xfId="0" applyNumberFormat="1" applyFont="1" applyBorder="1" applyAlignment="1">
      <alignment horizontal="center" vertical="center"/>
    </xf>
    <xf numFmtId="1" fontId="69" fillId="0" borderId="70" xfId="0" applyNumberFormat="1" applyFont="1" applyBorder="1" applyAlignment="1">
      <alignment horizontal="center" vertical="center"/>
    </xf>
    <xf numFmtId="1" fontId="69" fillId="0" borderId="72" xfId="0" applyNumberFormat="1" applyFont="1" applyBorder="1" applyAlignment="1">
      <alignment horizontal="center" vertical="center"/>
    </xf>
    <xf numFmtId="0" fontId="39" fillId="4" borderId="100" xfId="0" applyFont="1" applyFill="1" applyBorder="1" applyAlignment="1">
      <alignment horizontal="right" vertical="center"/>
    </xf>
    <xf numFmtId="0" fontId="24" fillId="4" borderId="64" xfId="0" applyFont="1" applyFill="1" applyBorder="1" applyAlignment="1">
      <alignment horizontal="right" vertical="center"/>
    </xf>
    <xf numFmtId="0" fontId="26" fillId="4" borderId="64" xfId="0" applyFont="1" applyFill="1" applyBorder="1" applyAlignment="1">
      <alignment horizontal="right" vertical="center"/>
    </xf>
    <xf numFmtId="1" fontId="24" fillId="4" borderId="64" xfId="0" applyNumberFormat="1" applyFont="1" applyFill="1" applyBorder="1" applyAlignment="1">
      <alignment horizontal="right" vertical="center"/>
    </xf>
    <xf numFmtId="1" fontId="26" fillId="4" borderId="64" xfId="0" applyNumberFormat="1" applyFont="1" applyFill="1" applyBorder="1" applyAlignment="1">
      <alignment horizontal="right" vertical="center"/>
    </xf>
    <xf numFmtId="1" fontId="26" fillId="4" borderId="70" xfId="0" applyNumberFormat="1" applyFont="1" applyFill="1" applyBorder="1" applyAlignment="1">
      <alignment horizontal="right" vertical="center"/>
    </xf>
    <xf numFmtId="1" fontId="24" fillId="4" borderId="70" xfId="0" applyNumberFormat="1" applyFont="1" applyFill="1" applyBorder="1" applyAlignment="1">
      <alignment horizontal="right" vertical="center"/>
    </xf>
    <xf numFmtId="1" fontId="39" fillId="4" borderId="134" xfId="17" applyNumberFormat="1" applyFont="1" applyFill="1" applyBorder="1" applyAlignment="1" applyProtection="1">
      <alignment horizontal="right" vertical="center"/>
    </xf>
    <xf numFmtId="0" fontId="24" fillId="4" borderId="134" xfId="0" applyFont="1" applyFill="1" applyBorder="1" applyAlignment="1">
      <alignment horizontal="right" vertical="center"/>
    </xf>
    <xf numFmtId="1" fontId="26" fillId="4" borderId="64" xfId="17" applyNumberFormat="1" applyFont="1" applyFill="1" applyBorder="1" applyAlignment="1" applyProtection="1">
      <alignment horizontal="right" vertical="center"/>
    </xf>
    <xf numFmtId="166" fontId="26" fillId="4" borderId="64" xfId="17" applyNumberFormat="1" applyFont="1" applyFill="1" applyBorder="1" applyAlignment="1" applyProtection="1">
      <alignment horizontal="right" vertical="center"/>
    </xf>
    <xf numFmtId="0" fontId="24" fillId="4" borderId="70" xfId="17" applyFont="1" applyFill="1" applyBorder="1" applyAlignment="1" applyProtection="1">
      <alignment horizontal="right" vertical="center"/>
    </xf>
    <xf numFmtId="0" fontId="24" fillId="4" borderId="64" xfId="17" applyFont="1" applyFill="1" applyBorder="1" applyAlignment="1" applyProtection="1">
      <alignment horizontal="right" vertical="center"/>
    </xf>
    <xf numFmtId="0" fontId="39" fillId="4" borderId="64" xfId="17" applyFont="1" applyFill="1" applyBorder="1" applyAlignment="1" applyProtection="1">
      <alignment horizontal="right" vertical="center"/>
    </xf>
    <xf numFmtId="197" fontId="26" fillId="0" borderId="9" xfId="0" applyNumberFormat="1" applyFont="1" applyFill="1" applyBorder="1" applyAlignment="1">
      <alignment horizontal="right" vertical="center"/>
    </xf>
    <xf numFmtId="197" fontId="26" fillId="0" borderId="67" xfId="0" applyNumberFormat="1" applyFont="1" applyFill="1" applyBorder="1" applyAlignment="1">
      <alignment horizontal="right" vertical="center"/>
    </xf>
    <xf numFmtId="197" fontId="24" fillId="0" borderId="9" xfId="0" applyNumberFormat="1" applyFont="1" applyFill="1" applyBorder="1" applyAlignment="1">
      <alignment horizontal="right" vertical="center"/>
    </xf>
    <xf numFmtId="197" fontId="24" fillId="4" borderId="9" xfId="0" applyNumberFormat="1" applyFont="1" applyFill="1" applyBorder="1" applyAlignment="1">
      <alignment horizontal="right" vertical="center"/>
    </xf>
    <xf numFmtId="197" fontId="24" fillId="0" borderId="67" xfId="0" applyNumberFormat="1" applyFont="1" applyFill="1" applyBorder="1" applyAlignment="1">
      <alignment horizontal="right" vertical="center"/>
    </xf>
    <xf numFmtId="197" fontId="24" fillId="0" borderId="53" xfId="0" applyNumberFormat="1" applyFont="1" applyFill="1" applyBorder="1" applyAlignment="1">
      <alignment horizontal="right" vertical="center"/>
    </xf>
    <xf numFmtId="197" fontId="24" fillId="4" borderId="53" xfId="0" applyNumberFormat="1" applyFont="1" applyFill="1" applyBorder="1" applyAlignment="1">
      <alignment horizontal="right" vertical="center"/>
    </xf>
    <xf numFmtId="197" fontId="24" fillId="0" borderId="71" xfId="0" applyNumberFormat="1" applyFont="1" applyFill="1" applyBorder="1" applyAlignment="1">
      <alignment horizontal="right" vertical="center"/>
    </xf>
    <xf numFmtId="170" fontId="26" fillId="7" borderId="53" xfId="0" applyNumberFormat="1" applyFont="1" applyFill="1" applyBorder="1" applyAlignment="1">
      <alignment horizontal="right" vertical="center"/>
    </xf>
    <xf numFmtId="170" fontId="26" fillId="4" borderId="53" xfId="0" applyNumberFormat="1" applyFont="1" applyFill="1" applyBorder="1" applyAlignment="1">
      <alignment vertical="center"/>
    </xf>
    <xf numFmtId="170" fontId="26" fillId="7" borderId="71" xfId="0" applyNumberFormat="1" applyFont="1" applyFill="1" applyBorder="1" applyAlignment="1">
      <alignment vertical="center"/>
    </xf>
    <xf numFmtId="170" fontId="23" fillId="4" borderId="109" xfId="0" applyNumberFormat="1" applyFont="1" applyFill="1" applyBorder="1" applyAlignment="1">
      <alignment horizontal="right" vertical="center"/>
    </xf>
    <xf numFmtId="170" fontId="23" fillId="4" borderId="110" xfId="0" applyNumberFormat="1" applyFont="1" applyFill="1" applyBorder="1" applyAlignment="1">
      <alignment horizontal="right" vertical="center"/>
    </xf>
    <xf numFmtId="0" fontId="68" fillId="4" borderId="85" xfId="0" applyFont="1" applyFill="1" applyBorder="1" applyAlignment="1">
      <alignment horizontal="left" vertical="center"/>
    </xf>
    <xf numFmtId="0" fontId="39" fillId="4" borderId="97" xfId="0" applyFont="1" applyFill="1" applyBorder="1" applyAlignment="1">
      <alignment vertical="center"/>
    </xf>
    <xf numFmtId="0" fontId="39" fillId="4" borderId="110" xfId="0" applyFont="1" applyFill="1" applyBorder="1" applyAlignment="1">
      <alignment horizontal="center" vertical="center"/>
    </xf>
    <xf numFmtId="0" fontId="24" fillId="4" borderId="63" xfId="0" applyFont="1" applyFill="1" applyBorder="1" applyAlignment="1">
      <alignment vertical="center"/>
    </xf>
    <xf numFmtId="0" fontId="26" fillId="4" borderId="63" xfId="0" applyFont="1" applyFill="1" applyBorder="1" applyAlignment="1">
      <alignment vertical="center"/>
    </xf>
    <xf numFmtId="1" fontId="24" fillId="4" borderId="63" xfId="0" applyNumberFormat="1" applyFont="1" applyFill="1" applyBorder="1" applyAlignment="1">
      <alignment vertical="center"/>
    </xf>
    <xf numFmtId="1" fontId="26" fillId="4" borderId="63" xfId="17" applyNumberFormat="1" applyFont="1" applyFill="1" applyBorder="1" applyAlignment="1" applyProtection="1">
      <alignment vertical="center"/>
    </xf>
    <xf numFmtId="1" fontId="26" fillId="4" borderId="63" xfId="17" applyNumberFormat="1" applyFont="1" applyFill="1" applyBorder="1" applyAlignment="1">
      <alignment vertical="center"/>
    </xf>
    <xf numFmtId="1" fontId="26" fillId="4" borderId="72" xfId="17" applyNumberFormat="1" applyFont="1" applyFill="1" applyBorder="1" applyAlignment="1" applyProtection="1">
      <alignment vertical="center"/>
    </xf>
    <xf numFmtId="1" fontId="24" fillId="4" borderId="72" xfId="17" applyNumberFormat="1" applyFont="1" applyFill="1" applyBorder="1" applyAlignment="1" applyProtection="1">
      <alignment vertical="center"/>
    </xf>
    <xf numFmtId="49" fontId="24" fillId="4" borderId="72" xfId="0" applyNumberFormat="1" applyFont="1" applyFill="1" applyBorder="1" applyAlignment="1">
      <alignment vertical="center"/>
    </xf>
    <xf numFmtId="1" fontId="40" fillId="4" borderId="63" xfId="17" applyNumberFormat="1" applyFont="1" applyFill="1" applyBorder="1" applyAlignment="1" applyProtection="1">
      <alignment vertical="center"/>
    </xf>
    <xf numFmtId="0" fontId="24" fillId="4" borderId="135" xfId="17" applyFont="1" applyFill="1" applyBorder="1" applyAlignment="1" applyProtection="1">
      <alignment vertical="center"/>
    </xf>
    <xf numFmtId="0" fontId="24" fillId="4" borderId="72" xfId="17" applyFont="1" applyFill="1" applyBorder="1" applyAlignment="1" applyProtection="1">
      <alignment vertical="center"/>
    </xf>
    <xf numFmtId="0" fontId="39" fillId="4" borderId="63" xfId="17" applyFont="1" applyFill="1" applyBorder="1" applyAlignment="1" applyProtection="1">
      <alignment vertical="center"/>
    </xf>
    <xf numFmtId="0" fontId="39" fillId="4" borderId="72" xfId="0" applyFont="1" applyFill="1" applyBorder="1" applyAlignment="1">
      <alignment vertical="center"/>
    </xf>
    <xf numFmtId="0" fontId="24" fillId="4" borderId="63" xfId="17" applyFont="1" applyFill="1" applyBorder="1" applyAlignment="1" applyProtection="1">
      <alignment vertical="center"/>
    </xf>
    <xf numFmtId="1" fontId="23" fillId="0" borderId="136" xfId="0" applyNumberFormat="1" applyFont="1" applyBorder="1" applyAlignment="1">
      <alignment horizontal="center" vertical="center"/>
    </xf>
    <xf numFmtId="1" fontId="69" fillId="0" borderId="136" xfId="0" applyNumberFormat="1" applyFont="1" applyBorder="1" applyAlignment="1">
      <alignment horizontal="center" vertical="center"/>
    </xf>
    <xf numFmtId="3" fontId="23" fillId="0" borderId="136" xfId="0" applyNumberFormat="1" applyFont="1" applyBorder="1" applyAlignment="1">
      <alignment horizontal="center" vertical="center"/>
    </xf>
    <xf numFmtId="1" fontId="69" fillId="0" borderId="137" xfId="0" applyNumberFormat="1" applyFont="1" applyBorder="1" applyAlignment="1">
      <alignment horizontal="center" vertical="center"/>
    </xf>
    <xf numFmtId="3" fontId="23" fillId="0" borderId="137" xfId="0" applyNumberFormat="1" applyFont="1" applyBorder="1" applyAlignment="1">
      <alignment horizontal="center" vertical="center"/>
    </xf>
    <xf numFmtId="3" fontId="39" fillId="0" borderId="138" xfId="0" applyNumberFormat="1" applyFont="1" applyBorder="1" applyAlignment="1">
      <alignment horizontal="center" vertical="center"/>
    </xf>
    <xf numFmtId="1" fontId="23" fillId="0" borderId="137" xfId="0" applyNumberFormat="1" applyFont="1" applyBorder="1" applyAlignment="1">
      <alignment horizontal="center" vertical="center"/>
    </xf>
    <xf numFmtId="2" fontId="40" fillId="0" borderId="136" xfId="0" applyNumberFormat="1" applyFont="1" applyBorder="1" applyAlignment="1">
      <alignment horizontal="center" vertical="center"/>
    </xf>
    <xf numFmtId="2" fontId="39" fillId="0" borderId="137" xfId="0" applyNumberFormat="1" applyFont="1" applyBorder="1" applyAlignment="1">
      <alignment horizontal="center" vertical="center"/>
    </xf>
    <xf numFmtId="2" fontId="23" fillId="0" borderId="136" xfId="0" applyNumberFormat="1" applyFont="1" applyBorder="1" applyAlignment="1">
      <alignment horizontal="center" vertical="center"/>
    </xf>
    <xf numFmtId="2" fontId="23" fillId="0" borderId="137" xfId="0" applyNumberFormat="1" applyFont="1" applyBorder="1" applyAlignment="1">
      <alignment horizontal="center" vertical="center"/>
    </xf>
    <xf numFmtId="196" fontId="25" fillId="4" borderId="53" xfId="0" applyNumberFormat="1" applyFont="1" applyFill="1" applyBorder="1" applyAlignment="1">
      <alignment horizontal="left" vertical="center"/>
    </xf>
    <xf numFmtId="2" fontId="25" fillId="4" borderId="53" xfId="0" applyNumberFormat="1" applyFont="1" applyFill="1" applyBorder="1" applyAlignment="1">
      <alignment horizontal="left" vertical="center"/>
    </xf>
    <xf numFmtId="170" fontId="25" fillId="4" borderId="53" xfId="0" applyNumberFormat="1" applyFont="1" applyFill="1" applyBorder="1" applyAlignment="1">
      <alignment horizontal="left" vertical="center"/>
    </xf>
    <xf numFmtId="170" fontId="24" fillId="4" borderId="132" xfId="0" applyNumberFormat="1" applyFont="1" applyFill="1" applyBorder="1" applyAlignment="1">
      <alignment horizontal="right" vertical="center"/>
    </xf>
    <xf numFmtId="173" fontId="35" fillId="0" borderId="25" xfId="14" applyNumberFormat="1" applyFont="1" applyFill="1" applyBorder="1" applyAlignment="1">
      <alignment horizontal="centerContinuous" vertical="center"/>
    </xf>
    <xf numFmtId="49" fontId="24" fillId="0" borderId="0" xfId="17" applyNumberFormat="1" applyFont="1" applyFill="1" applyBorder="1" applyAlignment="1" applyProtection="1">
      <alignment vertical="center"/>
    </xf>
    <xf numFmtId="0" fontId="40" fillId="0" borderId="31" xfId="0" applyFont="1" applyFill="1" applyBorder="1" applyAlignment="1">
      <alignment vertical="center"/>
    </xf>
    <xf numFmtId="0" fontId="24" fillId="0" borderId="31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" fontId="24" fillId="0" borderId="0" xfId="0" applyNumberFormat="1" applyFont="1" applyFill="1" applyBorder="1" applyAlignment="1">
      <alignment horizontal="right" vertical="center"/>
    </xf>
    <xf numFmtId="1" fontId="23" fillId="0" borderId="0" xfId="0" applyNumberFormat="1" applyFont="1" applyFill="1" applyBorder="1" applyAlignment="1">
      <alignment horizontal="center" vertical="center"/>
    </xf>
    <xf numFmtId="1" fontId="26" fillId="4" borderId="66" xfId="0" applyNumberFormat="1" applyFont="1" applyFill="1" applyBorder="1" applyAlignment="1">
      <alignment horizontal="right" vertical="center"/>
    </xf>
    <xf numFmtId="3" fontId="69" fillId="0" borderId="95" xfId="0" applyNumberFormat="1" applyFont="1" applyBorder="1" applyAlignment="1">
      <alignment horizontal="center" vertical="center"/>
    </xf>
    <xf numFmtId="3" fontId="69" fillId="0" borderId="62" xfId="0" applyNumberFormat="1" applyFont="1" applyBorder="1" applyAlignment="1">
      <alignment horizontal="center" vertical="center"/>
    </xf>
    <xf numFmtId="3" fontId="69" fillId="0" borderId="111" xfId="0" applyNumberFormat="1" applyFont="1" applyBorder="1" applyAlignment="1">
      <alignment horizontal="center" vertical="center"/>
    </xf>
    <xf numFmtId="3" fontId="69" fillId="0" borderId="102" xfId="0" applyNumberFormat="1" applyFont="1" applyBorder="1" applyAlignment="1">
      <alignment horizontal="center" vertical="center"/>
    </xf>
    <xf numFmtId="3" fontId="69" fillId="0" borderId="139" xfId="0" applyNumberFormat="1" applyFont="1" applyBorder="1" applyAlignment="1">
      <alignment horizontal="center" vertical="center"/>
    </xf>
    <xf numFmtId="3" fontId="69" fillId="0" borderId="127" xfId="0" applyNumberFormat="1" applyFont="1" applyBorder="1" applyAlignment="1">
      <alignment horizontal="center" vertical="center"/>
    </xf>
    <xf numFmtId="3" fontId="69" fillId="0" borderId="116" xfId="0" applyNumberFormat="1" applyFont="1" applyBorder="1" applyAlignment="1">
      <alignment horizontal="center" vertical="center"/>
    </xf>
    <xf numFmtId="3" fontId="69" fillId="0" borderId="66" xfId="0" applyNumberFormat="1" applyFont="1" applyBorder="1" applyAlignment="1">
      <alignment horizontal="center" vertical="center"/>
    </xf>
    <xf numFmtId="3" fontId="69" fillId="0" borderId="65" xfId="0" applyNumberFormat="1" applyFont="1" applyBorder="1" applyAlignment="1">
      <alignment horizontal="center" vertical="center"/>
    </xf>
    <xf numFmtId="1" fontId="26" fillId="4" borderId="83" xfId="17" applyNumberFormat="1" applyFont="1" applyFill="1" applyBorder="1" applyAlignment="1" applyProtection="1">
      <alignment vertical="center"/>
    </xf>
    <xf numFmtId="1" fontId="26" fillId="4" borderId="86" xfId="0" applyNumberFormat="1" applyFont="1" applyFill="1" applyBorder="1" applyAlignment="1">
      <alignment horizontal="right" vertical="center"/>
    </xf>
    <xf numFmtId="1" fontId="69" fillId="0" borderId="93" xfId="0" applyNumberFormat="1" applyFont="1" applyBorder="1" applyAlignment="1">
      <alignment horizontal="center" vertical="center"/>
    </xf>
    <xf numFmtId="1" fontId="69" fillId="0" borderId="85" xfId="0" applyNumberFormat="1" applyFont="1" applyBorder="1" applyAlignment="1">
      <alignment horizontal="center" vertical="center"/>
    </xf>
    <xf numFmtId="1" fontId="69" fillId="0" borderId="96" xfId="0" applyNumberFormat="1" applyFont="1" applyBorder="1" applyAlignment="1">
      <alignment horizontal="center" vertical="center"/>
    </xf>
    <xf numFmtId="1" fontId="69" fillId="0" borderId="113" xfId="0" applyNumberFormat="1" applyFont="1" applyBorder="1" applyAlignment="1">
      <alignment horizontal="center" vertical="center"/>
    </xf>
    <xf numFmtId="1" fontId="69" fillId="0" borderId="106" xfId="0" applyNumberFormat="1" applyFont="1" applyBorder="1" applyAlignment="1">
      <alignment horizontal="center" vertical="center"/>
    </xf>
    <xf numFmtId="1" fontId="69" fillId="0" borderId="94" xfId="0" applyNumberFormat="1" applyFont="1" applyBorder="1" applyAlignment="1">
      <alignment horizontal="center" vertical="center"/>
    </xf>
    <xf numFmtId="1" fontId="69" fillId="0" borderId="128" xfId="0" applyNumberFormat="1" applyFont="1" applyBorder="1" applyAlignment="1">
      <alignment horizontal="center" vertical="center"/>
    </xf>
    <xf numFmtId="1" fontId="69" fillId="0" borderId="86" xfId="0" applyNumberFormat="1" applyFont="1" applyBorder="1" applyAlignment="1">
      <alignment horizontal="center" vertical="center"/>
    </xf>
    <xf numFmtId="1" fontId="69" fillId="0" borderId="83" xfId="0" applyNumberFormat="1" applyFont="1" applyBorder="1" applyAlignment="1">
      <alignment horizontal="center" vertical="center"/>
    </xf>
    <xf numFmtId="0" fontId="39" fillId="4" borderId="65" xfId="17" applyFont="1" applyFill="1" applyBorder="1" applyAlignment="1" applyProtection="1">
      <alignment vertical="center"/>
    </xf>
    <xf numFmtId="2" fontId="40" fillId="0" borderId="95" xfId="0" applyNumberFormat="1" applyFont="1" applyBorder="1" applyAlignment="1">
      <alignment horizontal="center" vertical="center"/>
    </xf>
    <xf numFmtId="2" fontId="40" fillId="0" borderId="62" xfId="0" applyNumberFormat="1" applyFont="1" applyBorder="1" applyAlignment="1">
      <alignment horizontal="center" vertical="center"/>
    </xf>
    <xf numFmtId="2" fontId="40" fillId="0" borderId="111" xfId="0" applyNumberFormat="1" applyFont="1" applyBorder="1" applyAlignment="1">
      <alignment horizontal="center" vertical="center"/>
    </xf>
    <xf numFmtId="2" fontId="40" fillId="0" borderId="102" xfId="0" applyNumberFormat="1" applyFont="1" applyBorder="1" applyAlignment="1">
      <alignment horizontal="center" vertical="center"/>
    </xf>
    <xf numFmtId="2" fontId="40" fillId="0" borderId="139" xfId="0" applyNumberFormat="1" applyFont="1" applyBorder="1" applyAlignment="1">
      <alignment horizontal="center" vertical="center"/>
    </xf>
    <xf numFmtId="2" fontId="40" fillId="0" borderId="127" xfId="0" applyNumberFormat="1" applyFont="1" applyBorder="1" applyAlignment="1">
      <alignment horizontal="center" vertical="center"/>
    </xf>
    <xf numFmtId="2" fontId="40" fillId="0" borderId="116" xfId="0" applyNumberFormat="1" applyFont="1" applyBorder="1" applyAlignment="1">
      <alignment horizontal="center" vertical="center"/>
    </xf>
    <xf numFmtId="2" fontId="40" fillId="0" borderId="66" xfId="0" applyNumberFormat="1" applyFont="1" applyBorder="1" applyAlignment="1">
      <alignment horizontal="center" vertical="center"/>
    </xf>
    <xf numFmtId="2" fontId="40" fillId="0" borderId="65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center" vertical="center"/>
    </xf>
    <xf numFmtId="0" fontId="24" fillId="4" borderId="97" xfId="17" applyFont="1" applyFill="1" applyBorder="1" applyAlignment="1" applyProtection="1">
      <alignment vertical="center"/>
    </xf>
    <xf numFmtId="0" fontId="24" fillId="4" borderId="100" xfId="0" applyFont="1" applyFill="1" applyBorder="1" applyAlignment="1">
      <alignment horizontal="right" vertical="center"/>
    </xf>
    <xf numFmtId="170" fontId="33" fillId="3" borderId="46" xfId="0" applyNumberFormat="1" applyFont="1" applyFill="1" applyBorder="1" applyAlignment="1" applyProtection="1">
      <alignment horizontal="right" vertical="center"/>
      <protection locked="0"/>
    </xf>
    <xf numFmtId="0" fontId="0" fillId="4" borderId="26" xfId="0" applyFill="1" applyBorder="1"/>
    <xf numFmtId="0" fontId="0" fillId="4" borderId="26" xfId="0" applyFill="1" applyBorder="1" applyProtection="1"/>
    <xf numFmtId="1" fontId="23" fillId="0" borderId="2" xfId="0" applyNumberFormat="1" applyFont="1" applyBorder="1" applyAlignment="1">
      <alignment horizontal="center" vertical="center"/>
    </xf>
    <xf numFmtId="168" fontId="33" fillId="3" borderId="19" xfId="17" applyNumberFormat="1" applyFont="1" applyFill="1" applyBorder="1" applyAlignment="1" applyProtection="1">
      <alignment horizontal="left" vertical="center"/>
      <protection locked="0"/>
    </xf>
    <xf numFmtId="2" fontId="39" fillId="0" borderId="2" xfId="0" applyNumberFormat="1" applyFont="1" applyBorder="1" applyAlignment="1">
      <alignment horizontal="center" vertical="center"/>
    </xf>
    <xf numFmtId="1" fontId="23" fillId="0" borderId="11" xfId="0" applyNumberFormat="1" applyFont="1" applyFill="1" applyBorder="1" applyAlignment="1">
      <alignment horizontal="center" vertical="center"/>
    </xf>
    <xf numFmtId="1" fontId="23" fillId="0" borderId="53" xfId="0" applyNumberFormat="1" applyFont="1" applyBorder="1" applyAlignment="1">
      <alignment horizontal="center" vertical="center"/>
    </xf>
    <xf numFmtId="2" fontId="40" fillId="0" borderId="11" xfId="0" applyNumberFormat="1" applyFont="1" applyFill="1" applyBorder="1" applyAlignment="1">
      <alignment horizontal="center" vertical="center"/>
    </xf>
    <xf numFmtId="1" fontId="23" fillId="0" borderId="68" xfId="0" applyNumberFormat="1" applyFont="1" applyFill="1" applyBorder="1" applyAlignment="1">
      <alignment horizontal="center" vertical="center"/>
    </xf>
    <xf numFmtId="1" fontId="23" fillId="0" borderId="9" xfId="0" applyNumberFormat="1" applyFont="1" applyFill="1" applyBorder="1" applyAlignment="1">
      <alignment horizontal="center" vertical="center"/>
    </xf>
    <xf numFmtId="1" fontId="23" fillId="0" borderId="67" xfId="0" applyNumberFormat="1" applyFont="1" applyFill="1" applyBorder="1" applyAlignment="1">
      <alignment horizontal="center" vertical="center"/>
    </xf>
    <xf numFmtId="1" fontId="23" fillId="0" borderId="71" xfId="0" applyNumberFormat="1" applyFont="1" applyBorder="1" applyAlignment="1">
      <alignment horizontal="center" vertical="center"/>
    </xf>
    <xf numFmtId="2" fontId="40" fillId="0" borderId="68" xfId="0" applyNumberFormat="1" applyFont="1" applyFill="1" applyBorder="1" applyAlignment="1">
      <alignment horizontal="center" vertical="center"/>
    </xf>
    <xf numFmtId="2" fontId="40" fillId="0" borderId="9" xfId="0" applyNumberFormat="1" applyFont="1" applyFill="1" applyBorder="1" applyAlignment="1">
      <alignment horizontal="center" vertical="center"/>
    </xf>
    <xf numFmtId="2" fontId="40" fillId="0" borderId="67" xfId="0" applyNumberFormat="1" applyFont="1" applyFill="1" applyBorder="1" applyAlignment="1">
      <alignment horizontal="center" vertical="center"/>
    </xf>
    <xf numFmtId="3" fontId="39" fillId="0" borderId="32" xfId="0" applyNumberFormat="1" applyFont="1" applyBorder="1" applyAlignment="1">
      <alignment horizontal="center" vertical="center"/>
    </xf>
    <xf numFmtId="0" fontId="39" fillId="4" borderId="135" xfId="17" applyFont="1" applyFill="1" applyBorder="1" applyAlignment="1" applyProtection="1">
      <alignment vertical="center"/>
    </xf>
    <xf numFmtId="0" fontId="39" fillId="4" borderId="134" xfId="17" applyFont="1" applyFill="1" applyBorder="1" applyAlignment="1" applyProtection="1">
      <alignment horizontal="right" vertical="center"/>
    </xf>
    <xf numFmtId="3" fontId="39" fillId="0" borderId="73" xfId="0" applyNumberFormat="1" applyFont="1" applyBorder="1" applyAlignment="1">
      <alignment horizontal="center" vertical="center"/>
    </xf>
    <xf numFmtId="3" fontId="39" fillId="0" borderId="135" xfId="0" applyNumberFormat="1" applyFont="1" applyBorder="1" applyAlignment="1">
      <alignment horizontal="center" vertical="center"/>
    </xf>
    <xf numFmtId="3" fontId="39" fillId="0" borderId="134" xfId="0" applyNumberFormat="1" applyFont="1" applyBorder="1" applyAlignment="1">
      <alignment horizontal="center" vertical="center"/>
    </xf>
    <xf numFmtId="1" fontId="23" fillId="0" borderId="64" xfId="0" applyNumberFormat="1" applyFont="1" applyFill="1" applyBorder="1" applyAlignment="1">
      <alignment horizontal="center" vertical="center"/>
    </xf>
    <xf numFmtId="2" fontId="40" fillId="0" borderId="64" xfId="0" applyNumberFormat="1" applyFont="1" applyFill="1" applyBorder="1" applyAlignment="1">
      <alignment horizontal="center" vertical="center"/>
    </xf>
    <xf numFmtId="3" fontId="39" fillId="4" borderId="136" xfId="0" applyNumberFormat="1" applyFont="1" applyFill="1" applyBorder="1" applyAlignment="1">
      <alignment horizontal="center" vertical="center"/>
    </xf>
    <xf numFmtId="1" fontId="24" fillId="0" borderId="63" xfId="0" applyNumberFormat="1" applyFont="1" applyFill="1" applyBorder="1" applyAlignment="1">
      <alignment vertical="center"/>
    </xf>
    <xf numFmtId="0" fontId="39" fillId="0" borderId="63" xfId="17" applyFont="1" applyFill="1" applyBorder="1" applyAlignment="1" applyProtection="1">
      <alignment vertical="center"/>
    </xf>
    <xf numFmtId="177" fontId="36" fillId="7" borderId="2" xfId="0" applyNumberFormat="1" applyFont="1" applyFill="1" applyBorder="1" applyAlignment="1" applyProtection="1">
      <alignment horizontal="right" vertical="center"/>
    </xf>
    <xf numFmtId="177" fontId="36" fillId="7" borderId="75" xfId="0" applyNumberFormat="1" applyFont="1" applyFill="1" applyBorder="1" applyAlignment="1" applyProtection="1">
      <alignment horizontal="right" vertical="center"/>
    </xf>
    <xf numFmtId="0" fontId="35" fillId="0" borderId="7" xfId="0" applyFont="1" applyFill="1" applyBorder="1" applyAlignment="1" applyProtection="1">
      <alignment horizontal="centerContinuous" vertical="center"/>
    </xf>
    <xf numFmtId="0" fontId="69" fillId="4" borderId="11" xfId="0" applyFont="1" applyFill="1" applyBorder="1" applyAlignment="1">
      <alignment horizontal="right" vertical="center"/>
    </xf>
    <xf numFmtId="196" fontId="24" fillId="7" borderId="9" xfId="0" applyNumberFormat="1" applyFont="1" applyFill="1" applyBorder="1" applyAlignment="1">
      <alignment horizontal="right" vertical="center"/>
    </xf>
    <xf numFmtId="196" fontId="24" fillId="4" borderId="9" xfId="0" applyNumberFormat="1" applyFont="1" applyFill="1" applyBorder="1" applyAlignment="1">
      <alignment horizontal="right" vertical="center"/>
    </xf>
    <xf numFmtId="196" fontId="24" fillId="7" borderId="67" xfId="0" applyNumberFormat="1" applyFont="1" applyFill="1" applyBorder="1" applyAlignment="1">
      <alignment horizontal="right" vertical="center"/>
    </xf>
    <xf numFmtId="0" fontId="23" fillId="4" borderId="62" xfId="0" applyFont="1" applyFill="1" applyBorder="1" applyAlignment="1">
      <alignment vertical="center"/>
    </xf>
    <xf numFmtId="0" fontId="25" fillId="4" borderId="62" xfId="0" applyFont="1" applyFill="1" applyBorder="1" applyAlignment="1">
      <alignment vertical="center"/>
    </xf>
    <xf numFmtId="0" fontId="33" fillId="4" borderId="62" xfId="0" applyFont="1" applyFill="1" applyBorder="1" applyAlignment="1">
      <alignment horizontal="left" vertical="center"/>
    </xf>
    <xf numFmtId="174" fontId="23" fillId="4" borderId="95" xfId="0" applyNumberFormat="1" applyFont="1" applyFill="1" applyBorder="1" applyAlignment="1">
      <alignment horizontal="center" vertical="center"/>
    </xf>
    <xf numFmtId="174" fontId="23" fillId="4" borderId="127" xfId="0" applyNumberFormat="1" applyFont="1" applyFill="1" applyBorder="1" applyAlignment="1">
      <alignment horizontal="center" vertical="center"/>
    </xf>
    <xf numFmtId="0" fontId="24" fillId="0" borderId="0" xfId="17" applyFont="1" applyFill="1" applyBorder="1" applyAlignment="1" applyProtection="1">
      <alignment horizontal="right" vertical="center"/>
    </xf>
    <xf numFmtId="3" fontId="23" fillId="0" borderId="0" xfId="0" applyNumberFormat="1" applyFont="1" applyFill="1" applyBorder="1" applyAlignment="1">
      <alignment horizontal="center" vertical="center"/>
    </xf>
    <xf numFmtId="1" fontId="35" fillId="7" borderId="4" xfId="0" applyNumberFormat="1" applyFont="1" applyFill="1" applyBorder="1" applyAlignment="1" applyProtection="1">
      <alignment horizontal="center" vertical="center"/>
    </xf>
    <xf numFmtId="0" fontId="26" fillId="0" borderId="56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</xf>
    <xf numFmtId="195" fontId="26" fillId="7" borderId="56" xfId="0" applyNumberFormat="1" applyFont="1" applyFill="1" applyBorder="1" applyAlignment="1" applyProtection="1">
      <alignment horizontal="center" vertical="center"/>
    </xf>
    <xf numFmtId="195" fontId="26" fillId="7" borderId="50" xfId="0" applyNumberFormat="1" applyFont="1" applyFill="1" applyBorder="1" applyAlignment="1" applyProtection="1">
      <alignment horizontal="center" vertical="center"/>
    </xf>
    <xf numFmtId="0" fontId="26" fillId="0" borderId="10" xfId="0" applyFont="1" applyBorder="1" applyAlignment="1" applyProtection="1">
      <alignment horizontal="left" vertical="center"/>
    </xf>
    <xf numFmtId="0" fontId="26" fillId="0" borderId="9" xfId="0" applyFont="1" applyBorder="1" applyAlignment="1" applyProtection="1">
      <alignment horizontal="left" vertical="center"/>
    </xf>
    <xf numFmtId="0" fontId="26" fillId="3" borderId="9" xfId="0" applyFont="1" applyFill="1" applyBorder="1" applyAlignment="1" applyProtection="1">
      <alignment vertical="center"/>
      <protection locked="0"/>
    </xf>
    <xf numFmtId="0" fontId="26" fillId="3" borderId="53" xfId="0" applyFont="1" applyFill="1" applyBorder="1" applyAlignment="1" applyProtection="1">
      <alignment vertical="center"/>
      <protection locked="0"/>
    </xf>
    <xf numFmtId="4" fontId="26" fillId="3" borderId="20" xfId="0" applyNumberFormat="1" applyFont="1" applyFill="1" applyBorder="1" applyAlignment="1" applyProtection="1">
      <alignment horizontal="right" vertical="center"/>
      <protection locked="0"/>
    </xf>
    <xf numFmtId="4" fontId="26" fillId="3" borderId="16" xfId="0" applyNumberFormat="1" applyFont="1" applyFill="1" applyBorder="1" applyAlignment="1" applyProtection="1">
      <alignment horizontal="right" vertical="center"/>
      <protection locked="0"/>
    </xf>
    <xf numFmtId="0" fontId="44" fillId="0" borderId="77" xfId="0" applyFont="1" applyBorder="1" applyAlignment="1" applyProtection="1">
      <alignment horizontal="centerContinuous" vertical="center"/>
    </xf>
    <xf numFmtId="0" fontId="44" fillId="0" borderId="56" xfId="0" applyFont="1" applyBorder="1" applyAlignment="1" applyProtection="1">
      <alignment horizontal="centerContinuous" vertical="center"/>
    </xf>
    <xf numFmtId="9" fontId="24" fillId="0" borderId="50" xfId="0" applyNumberFormat="1" applyFont="1" applyBorder="1" applyAlignment="1" applyProtection="1">
      <alignment horizontal="center" vertical="center"/>
    </xf>
    <xf numFmtId="4" fontId="26" fillId="8" borderId="0" xfId="0" applyNumberFormat="1" applyFont="1" applyFill="1" applyBorder="1" applyAlignment="1" applyProtection="1">
      <alignment horizontal="center" vertical="center"/>
      <protection locked="0"/>
    </xf>
    <xf numFmtId="4" fontId="26" fillId="6" borderId="0" xfId="0" applyNumberFormat="1" applyFont="1" applyFill="1" applyBorder="1" applyAlignment="1" applyProtection="1">
      <alignment horizontal="center" vertical="center"/>
    </xf>
    <xf numFmtId="0" fontId="31" fillId="0" borderId="98" xfId="0" applyFont="1" applyBorder="1" applyAlignment="1" applyProtection="1">
      <alignment horizontal="centerContinuous" vertical="center"/>
    </xf>
    <xf numFmtId="0" fontId="26" fillId="0" borderId="11" xfId="0" applyFont="1" applyBorder="1" applyAlignment="1" applyProtection="1">
      <alignment horizontal="center" vertical="center"/>
    </xf>
    <xf numFmtId="0" fontId="26" fillId="7" borderId="11" xfId="0" applyNumberFormat="1" applyFont="1" applyFill="1" applyBorder="1" applyAlignment="1" applyProtection="1">
      <alignment horizontal="right" vertical="center"/>
    </xf>
    <xf numFmtId="0" fontId="26" fillId="0" borderId="76" xfId="0" applyFont="1" applyBorder="1" applyAlignment="1" applyProtection="1">
      <alignment vertical="center"/>
    </xf>
    <xf numFmtId="0" fontId="26" fillId="0" borderId="33" xfId="0" applyFont="1" applyBorder="1" applyAlignment="1" applyProtection="1">
      <alignment horizontal="center" vertical="center"/>
    </xf>
    <xf numFmtId="0" fontId="0" fillId="0" borderId="34" xfId="0" applyBorder="1" applyProtection="1"/>
    <xf numFmtId="180" fontId="26" fillId="3" borderId="33" xfId="0" applyNumberFormat="1" applyFont="1" applyFill="1" applyBorder="1" applyAlignment="1" applyProtection="1">
      <alignment horizontal="right" vertical="center"/>
      <protection locked="0"/>
    </xf>
    <xf numFmtId="180" fontId="26" fillId="3" borderId="33" xfId="0" applyNumberFormat="1" applyFont="1" applyFill="1" applyBorder="1" applyAlignment="1" applyProtection="1">
      <alignment vertical="center"/>
      <protection locked="0"/>
    </xf>
    <xf numFmtId="180" fontId="26" fillId="3" borderId="34" xfId="0" applyNumberFormat="1" applyFont="1" applyFill="1" applyBorder="1" applyAlignment="1" applyProtection="1">
      <alignment vertical="center"/>
      <protection locked="0"/>
    </xf>
    <xf numFmtId="168" fontId="37" fillId="4" borderId="82" xfId="0" applyNumberFormat="1" applyFont="1" applyFill="1" applyBorder="1" applyAlignment="1" applyProtection="1">
      <alignment vertical="center"/>
    </xf>
    <xf numFmtId="2" fontId="69" fillId="4" borderId="62" xfId="0" applyNumberFormat="1" applyFont="1" applyFill="1" applyBorder="1" applyAlignment="1">
      <alignment horizontal="center" vertical="center"/>
    </xf>
    <xf numFmtId="2" fontId="69" fillId="4" borderId="95" xfId="0" applyNumberFormat="1" applyFont="1" applyFill="1" applyBorder="1" applyAlignment="1">
      <alignment horizontal="center" vertical="center"/>
    </xf>
    <xf numFmtId="2" fontId="69" fillId="4" borderId="111" xfId="0" applyNumberFormat="1" applyFont="1" applyFill="1" applyBorder="1" applyAlignment="1">
      <alignment horizontal="center" vertical="center"/>
    </xf>
    <xf numFmtId="2" fontId="69" fillId="4" borderId="127" xfId="0" applyNumberFormat="1" applyFont="1" applyFill="1" applyBorder="1" applyAlignment="1">
      <alignment horizontal="center" vertical="center"/>
    </xf>
    <xf numFmtId="2" fontId="69" fillId="4" borderId="116" xfId="0" applyNumberFormat="1" applyFont="1" applyFill="1" applyBorder="1" applyAlignment="1">
      <alignment horizontal="center" vertical="center"/>
    </xf>
    <xf numFmtId="2" fontId="69" fillId="4" borderId="139" xfId="0" applyNumberFormat="1" applyFont="1" applyFill="1" applyBorder="1" applyAlignment="1">
      <alignment horizontal="center" vertical="center"/>
    </xf>
    <xf numFmtId="2" fontId="69" fillId="4" borderId="102" xfId="0" applyNumberFormat="1" applyFont="1" applyFill="1" applyBorder="1" applyAlignment="1">
      <alignment horizontal="center" vertical="center"/>
    </xf>
    <xf numFmtId="2" fontId="69" fillId="4" borderId="65" xfId="0" applyNumberFormat="1" applyFont="1" applyFill="1" applyBorder="1" applyAlignment="1">
      <alignment horizontal="center" vertical="center"/>
    </xf>
    <xf numFmtId="2" fontId="69" fillId="4" borderId="66" xfId="0" applyNumberFormat="1" applyFont="1" applyFill="1" applyBorder="1" applyAlignment="1">
      <alignment horizontal="center" vertical="center"/>
    </xf>
    <xf numFmtId="2" fontId="44" fillId="4" borderId="85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right"/>
    </xf>
    <xf numFmtId="0" fontId="26" fillId="0" borderId="23" xfId="0" applyFont="1" applyBorder="1" applyAlignment="1">
      <alignment horizontal="right" vertical="center"/>
    </xf>
    <xf numFmtId="0" fontId="0" fillId="0" borderId="23" xfId="0" applyBorder="1" applyAlignment="1" applyProtection="1">
      <alignment horizontal="right"/>
    </xf>
    <xf numFmtId="0" fontId="0" fillId="0" borderId="2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26" fillId="0" borderId="23" xfId="0" applyFont="1" applyBorder="1" applyAlignment="1" applyProtection="1">
      <alignment horizontal="right" vertical="center"/>
    </xf>
    <xf numFmtId="0" fontId="38" fillId="0" borderId="2" xfId="0" applyFont="1" applyBorder="1" applyAlignment="1">
      <alignment vertical="center"/>
    </xf>
    <xf numFmtId="0" fontId="38" fillId="0" borderId="2" xfId="0" applyFont="1" applyBorder="1" applyAlignment="1" applyProtection="1">
      <alignment vertical="center"/>
    </xf>
    <xf numFmtId="0" fontId="33" fillId="0" borderId="0" xfId="0" applyFont="1" applyFill="1" applyBorder="1" applyAlignment="1">
      <alignment horizontal="right" vertical="center"/>
    </xf>
    <xf numFmtId="0" fontId="33" fillId="0" borderId="0" xfId="0" applyFont="1" applyFill="1" applyBorder="1" applyAlignment="1" applyProtection="1">
      <alignment horizontal="right" vertical="center"/>
    </xf>
    <xf numFmtId="0" fontId="37" fillId="7" borderId="0" xfId="0" applyFont="1" applyFill="1" applyBorder="1" applyAlignment="1" applyProtection="1">
      <alignment horizontal="right" vertical="center"/>
    </xf>
    <xf numFmtId="0" fontId="51" fillId="0" borderId="113" xfId="0" applyFont="1" applyBorder="1" applyAlignment="1">
      <alignment vertical="center"/>
    </xf>
    <xf numFmtId="0" fontId="23" fillId="0" borderId="85" xfId="17" applyFont="1" applyBorder="1" applyAlignment="1" applyProtection="1">
      <alignment vertical="center"/>
    </xf>
    <xf numFmtId="0" fontId="35" fillId="0" borderId="85" xfId="0" applyFont="1" applyBorder="1" applyAlignment="1">
      <alignment horizontal="right" vertical="center"/>
    </xf>
    <xf numFmtId="190" fontId="24" fillId="4" borderId="93" xfId="0" applyNumberFormat="1" applyFont="1" applyFill="1" applyBorder="1" applyAlignment="1">
      <alignment horizontal="left" vertical="center"/>
    </xf>
    <xf numFmtId="190" fontId="24" fillId="7" borderId="93" xfId="0" applyNumberFormat="1" applyFont="1" applyFill="1" applyBorder="1" applyAlignment="1">
      <alignment horizontal="left" vertical="center"/>
    </xf>
    <xf numFmtId="190" fontId="24" fillId="7" borderId="94" xfId="0" applyNumberFormat="1" applyFont="1" applyFill="1" applyBorder="1" applyAlignment="1">
      <alignment horizontal="left" vertical="center"/>
    </xf>
    <xf numFmtId="185" fontId="25" fillId="4" borderId="9" xfId="11" applyNumberFormat="1" applyFont="1" applyFill="1" applyBorder="1" applyAlignment="1">
      <alignment horizontal="left" vertical="center"/>
    </xf>
    <xf numFmtId="185" fontId="25" fillId="7" borderId="5" xfId="11" applyNumberFormat="1" applyFont="1" applyFill="1" applyBorder="1" applyAlignment="1">
      <alignment horizontal="left" vertical="center"/>
    </xf>
    <xf numFmtId="185" fontId="25" fillId="7" borderId="67" xfId="11" applyNumberFormat="1" applyFont="1" applyFill="1" applyBorder="1" applyAlignment="1">
      <alignment horizontal="left" vertical="center"/>
    </xf>
    <xf numFmtId="4" fontId="35" fillId="0" borderId="0" xfId="17" applyNumberFormat="1" applyFont="1" applyBorder="1" applyAlignment="1" applyProtection="1">
      <alignment horizontal="right" vertical="center"/>
    </xf>
    <xf numFmtId="0" fontId="86" fillId="0" borderId="0" xfId="0" applyFont="1" applyBorder="1" applyAlignment="1">
      <alignment vertical="center"/>
    </xf>
    <xf numFmtId="188" fontId="26" fillId="4" borderId="67" xfId="0" applyNumberFormat="1" applyFont="1" applyFill="1" applyBorder="1" applyAlignment="1">
      <alignment horizontal="right" vertical="center"/>
    </xf>
    <xf numFmtId="0" fontId="29" fillId="0" borderId="2" xfId="17" applyFont="1" applyFill="1" applyBorder="1" applyAlignment="1" applyProtection="1">
      <alignment vertical="center"/>
    </xf>
    <xf numFmtId="0" fontId="33" fillId="0" borderId="2" xfId="0" applyFont="1" applyFill="1" applyBorder="1" applyAlignment="1">
      <alignment horizontal="right" vertical="center"/>
    </xf>
    <xf numFmtId="170" fontId="23" fillId="0" borderId="10" xfId="0" applyNumberFormat="1" applyFont="1" applyFill="1" applyBorder="1" applyAlignment="1">
      <alignment horizontal="right" vertical="center"/>
    </xf>
    <xf numFmtId="0" fontId="35" fillId="4" borderId="6" xfId="17" applyFont="1" applyFill="1" applyBorder="1" applyAlignment="1" applyProtection="1">
      <alignment horizontal="left" vertical="center"/>
    </xf>
    <xf numFmtId="0" fontId="23" fillId="4" borderId="2" xfId="17" applyFont="1" applyFill="1" applyBorder="1" applyAlignment="1" applyProtection="1">
      <alignment horizontal="left" vertical="center"/>
    </xf>
    <xf numFmtId="197" fontId="26" fillId="4" borderId="71" xfId="0" applyNumberFormat="1" applyFont="1" applyFill="1" applyBorder="1" applyAlignment="1">
      <alignment horizontal="right" vertical="center"/>
    </xf>
    <xf numFmtId="0" fontId="35" fillId="4" borderId="5" xfId="17" applyFont="1" applyFill="1" applyBorder="1" applyAlignment="1" applyProtection="1">
      <alignment horizontal="left" vertical="center"/>
    </xf>
    <xf numFmtId="188" fontId="26" fillId="4" borderId="127" xfId="0" applyNumberFormat="1" applyFont="1" applyFill="1" applyBorder="1" applyAlignment="1">
      <alignment horizontal="right" vertical="center"/>
    </xf>
    <xf numFmtId="0" fontId="51" fillId="0" borderId="85" xfId="0" applyFont="1" applyBorder="1" applyAlignment="1">
      <alignment vertical="center"/>
    </xf>
    <xf numFmtId="0" fontId="24" fillId="0" borderId="85" xfId="17" applyFont="1" applyBorder="1" applyAlignment="1" applyProtection="1">
      <alignment vertical="center"/>
    </xf>
    <xf numFmtId="0" fontId="24" fillId="0" borderId="85" xfId="0" applyFont="1" applyBorder="1" applyAlignment="1">
      <alignment horizontal="right" vertical="center"/>
    </xf>
    <xf numFmtId="0" fontId="35" fillId="7" borderId="23" xfId="0" applyFont="1" applyFill="1" applyBorder="1"/>
    <xf numFmtId="14" fontId="33" fillId="0" borderId="2" xfId="0" applyNumberFormat="1" applyFont="1" applyBorder="1" applyAlignment="1" applyProtection="1">
      <alignment horizontal="left" vertical="center"/>
    </xf>
    <xf numFmtId="14" fontId="33" fillId="0" borderId="2" xfId="0" applyNumberFormat="1" applyFont="1" applyBorder="1" applyAlignment="1">
      <alignment horizontal="left" vertical="center"/>
    </xf>
    <xf numFmtId="185" fontId="37" fillId="7" borderId="34" xfId="0" applyNumberFormat="1" applyFont="1" applyFill="1" applyBorder="1" applyAlignment="1" applyProtection="1">
      <alignment horizontal="right" vertical="center"/>
    </xf>
    <xf numFmtId="185" fontId="37" fillId="7" borderId="21" xfId="0" applyNumberFormat="1" applyFont="1" applyFill="1" applyBorder="1" applyAlignment="1" applyProtection="1">
      <alignment horizontal="right" vertical="center"/>
    </xf>
    <xf numFmtId="185" fontId="37" fillId="7" borderId="16" xfId="0" applyNumberFormat="1" applyFont="1" applyFill="1" applyBorder="1" applyAlignment="1" applyProtection="1">
      <alignment horizontal="right" vertical="center"/>
    </xf>
    <xf numFmtId="188" fontId="25" fillId="7" borderId="5" xfId="11" applyNumberFormat="1" applyFont="1" applyFill="1" applyBorder="1" applyAlignment="1">
      <alignment horizontal="left" vertical="center"/>
    </xf>
    <xf numFmtId="0" fontId="0" fillId="0" borderId="0" xfId="0" applyFill="1" applyBorder="1"/>
    <xf numFmtId="0" fontId="22" fillId="0" borderId="0" xfId="0" applyFont="1" applyFill="1" applyBorder="1" applyAlignment="1">
      <alignment horizontal="right" vertical="top"/>
    </xf>
    <xf numFmtId="0" fontId="24" fillId="0" borderId="2" xfId="0" applyFont="1" applyBorder="1" applyAlignment="1">
      <alignment horizontal="left" vertical="center"/>
    </xf>
    <xf numFmtId="0" fontId="24" fillId="0" borderId="2" xfId="0" applyFont="1" applyBorder="1" applyAlignment="1" applyProtection="1">
      <alignment horizontal="left" vertical="center"/>
    </xf>
    <xf numFmtId="0" fontId="44" fillId="0" borderId="0" xfId="0" applyFont="1" applyBorder="1" applyAlignment="1">
      <alignment horizontal="left" vertical="center" wrapText="1"/>
    </xf>
    <xf numFmtId="170" fontId="30" fillId="0" borderId="9" xfId="0" applyNumberFormat="1" applyFont="1" applyFill="1" applyBorder="1" applyAlignment="1">
      <alignment horizontal="right" vertical="center"/>
    </xf>
    <xf numFmtId="170" fontId="30" fillId="7" borderId="64" xfId="0" applyNumberFormat="1" applyFont="1" applyFill="1" applyBorder="1" applyAlignment="1">
      <alignment horizontal="right" vertical="center"/>
    </xf>
    <xf numFmtId="170" fontId="26" fillId="7" borderId="53" xfId="0" applyNumberFormat="1" applyFont="1" applyFill="1" applyBorder="1" applyAlignment="1">
      <alignment horizontal="left" vertical="center"/>
    </xf>
    <xf numFmtId="170" fontId="26" fillId="4" borderId="53" xfId="0" applyNumberFormat="1" applyFont="1" applyFill="1" applyBorder="1" applyAlignment="1">
      <alignment horizontal="left" vertical="center"/>
    </xf>
    <xf numFmtId="170" fontId="26" fillId="7" borderId="71" xfId="0" applyNumberFormat="1" applyFont="1" applyFill="1" applyBorder="1" applyAlignment="1">
      <alignment horizontal="left" vertical="center"/>
    </xf>
    <xf numFmtId="170" fontId="30" fillId="4" borderId="11" xfId="0" applyNumberFormat="1" applyFont="1" applyFill="1" applyBorder="1" applyAlignment="1">
      <alignment horizontal="right" vertical="center"/>
    </xf>
    <xf numFmtId="1" fontId="23" fillId="4" borderId="97" xfId="17" applyNumberFormat="1" applyFont="1" applyFill="1" applyBorder="1" applyAlignment="1" applyProtection="1">
      <alignment vertical="center"/>
    </xf>
    <xf numFmtId="1" fontId="69" fillId="4" borderId="122" xfId="0" applyNumberFormat="1" applyFont="1" applyFill="1" applyBorder="1" applyAlignment="1">
      <alignment horizontal="center" vertical="center"/>
    </xf>
    <xf numFmtId="1" fontId="69" fillId="4" borderId="109" xfId="0" applyNumberFormat="1" applyFont="1" applyFill="1" applyBorder="1" applyAlignment="1">
      <alignment horizontal="center" vertical="center"/>
    </xf>
    <xf numFmtId="1" fontId="69" fillId="4" borderId="110" xfId="0" applyNumberFormat="1" applyFont="1" applyFill="1" applyBorder="1" applyAlignment="1">
      <alignment horizontal="center" vertical="center"/>
    </xf>
    <xf numFmtId="1" fontId="69" fillId="4" borderId="107" xfId="0" applyNumberFormat="1" applyFont="1" applyFill="1" applyBorder="1" applyAlignment="1">
      <alignment horizontal="center" vertical="center"/>
    </xf>
    <xf numFmtId="1" fontId="69" fillId="4" borderId="98" xfId="0" applyNumberFormat="1" applyFont="1" applyFill="1" applyBorder="1" applyAlignment="1">
      <alignment horizontal="center" vertical="center"/>
    </xf>
    <xf numFmtId="1" fontId="69" fillId="4" borderId="108" xfId="0" applyNumberFormat="1" applyFont="1" applyFill="1" applyBorder="1" applyAlignment="1">
      <alignment horizontal="center" vertical="center"/>
    </xf>
    <xf numFmtId="1" fontId="69" fillId="4" borderId="99" xfId="0" applyNumberFormat="1" applyFont="1" applyFill="1" applyBorder="1" applyAlignment="1">
      <alignment horizontal="center" vertical="center"/>
    </xf>
    <xf numFmtId="1" fontId="69" fillId="4" borderId="97" xfId="0" applyNumberFormat="1" applyFont="1" applyFill="1" applyBorder="1" applyAlignment="1">
      <alignment horizontal="center" vertical="center"/>
    </xf>
    <xf numFmtId="1" fontId="69" fillId="4" borderId="100" xfId="0" applyNumberFormat="1" applyFont="1" applyFill="1" applyBorder="1" applyAlignment="1">
      <alignment horizontal="center" vertical="center"/>
    </xf>
    <xf numFmtId="1" fontId="23" fillId="4" borderId="135" xfId="17" applyNumberFormat="1" applyFont="1" applyFill="1" applyBorder="1" applyAlignment="1" applyProtection="1">
      <alignment vertical="center"/>
    </xf>
    <xf numFmtId="1" fontId="69" fillId="4" borderId="31" xfId="0" applyNumberFormat="1" applyFont="1" applyFill="1" applyBorder="1" applyAlignment="1">
      <alignment horizontal="center" vertical="center"/>
    </xf>
    <xf numFmtId="1" fontId="69" fillId="4" borderId="3" xfId="0" applyNumberFormat="1" applyFont="1" applyFill="1" applyBorder="1" applyAlignment="1">
      <alignment horizontal="center" vertical="center"/>
    </xf>
    <xf numFmtId="1" fontId="69" fillId="4" borderId="73" xfId="0" applyNumberFormat="1" applyFont="1" applyFill="1" applyBorder="1" applyAlignment="1">
      <alignment horizontal="center" vertical="center"/>
    </xf>
    <xf numFmtId="1" fontId="69" fillId="4" borderId="74" xfId="0" applyNumberFormat="1" applyFont="1" applyFill="1" applyBorder="1" applyAlignment="1">
      <alignment horizontal="center" vertical="center"/>
    </xf>
    <xf numFmtId="1" fontId="69" fillId="4" borderId="32" xfId="0" applyNumberFormat="1" applyFont="1" applyFill="1" applyBorder="1" applyAlignment="1">
      <alignment horizontal="center" vertical="center"/>
    </xf>
    <xf numFmtId="1" fontId="69" fillId="4" borderId="138" xfId="0" applyNumberFormat="1" applyFont="1" applyFill="1" applyBorder="1" applyAlignment="1">
      <alignment horizontal="center" vertical="center"/>
    </xf>
    <xf numFmtId="1" fontId="69" fillId="4" borderId="12" xfId="0" applyNumberFormat="1" applyFont="1" applyFill="1" applyBorder="1" applyAlignment="1">
      <alignment horizontal="center" vertical="center"/>
    </xf>
    <xf numFmtId="1" fontId="69" fillId="4" borderId="135" xfId="0" applyNumberFormat="1" applyFont="1" applyFill="1" applyBorder="1" applyAlignment="1">
      <alignment horizontal="center" vertical="center"/>
    </xf>
    <xf numFmtId="1" fontId="69" fillId="4" borderId="134" xfId="0" applyNumberFormat="1" applyFont="1" applyFill="1" applyBorder="1" applyAlignment="1">
      <alignment horizontal="center" vertical="center"/>
    </xf>
    <xf numFmtId="1" fontId="23" fillId="4" borderId="101" xfId="17" applyNumberFormat="1" applyFont="1" applyFill="1" applyBorder="1" applyAlignment="1" applyProtection="1">
      <alignment vertical="center"/>
    </xf>
    <xf numFmtId="1" fontId="23" fillId="4" borderId="100" xfId="17" applyNumberFormat="1" applyFont="1" applyFill="1" applyBorder="1" applyAlignment="1" applyProtection="1">
      <alignment horizontal="right" vertical="center"/>
    </xf>
    <xf numFmtId="1" fontId="23" fillId="4" borderId="134" xfId="17" applyNumberFormat="1" applyFont="1" applyFill="1" applyBorder="1" applyAlignment="1" applyProtection="1">
      <alignment horizontal="right" vertical="center"/>
    </xf>
    <xf numFmtId="1" fontId="23" fillId="4" borderId="140" xfId="17" applyNumberFormat="1" applyFont="1" applyFill="1" applyBorder="1" applyAlignment="1" applyProtection="1">
      <alignment horizontal="right" vertical="center"/>
    </xf>
    <xf numFmtId="1" fontId="23" fillId="0" borderId="136" xfId="0" applyNumberFormat="1" applyFont="1" applyFill="1" applyBorder="1" applyAlignment="1">
      <alignment horizontal="center" vertical="center"/>
    </xf>
    <xf numFmtId="2" fontId="40" fillId="0" borderId="136" xfId="0" applyNumberFormat="1" applyFont="1" applyFill="1" applyBorder="1" applyAlignment="1">
      <alignment horizontal="center" vertical="center"/>
    </xf>
    <xf numFmtId="1" fontId="39" fillId="4" borderId="64" xfId="17" applyNumberFormat="1" applyFont="1" applyFill="1" applyBorder="1" applyAlignment="1" applyProtection="1">
      <alignment horizontal="right" vertical="center"/>
    </xf>
    <xf numFmtId="49" fontId="24" fillId="4" borderId="135" xfId="17" applyNumberFormat="1" applyFont="1" applyFill="1" applyBorder="1" applyAlignment="1" applyProtection="1">
      <alignment vertical="center"/>
    </xf>
    <xf numFmtId="1" fontId="26" fillId="4" borderId="134" xfId="0" applyNumberFormat="1" applyFont="1" applyFill="1" applyBorder="1" applyAlignment="1">
      <alignment horizontal="right" vertical="center"/>
    </xf>
    <xf numFmtId="1" fontId="69" fillId="0" borderId="31" xfId="0" applyNumberFormat="1" applyFont="1" applyBorder="1" applyAlignment="1">
      <alignment horizontal="center" vertical="center"/>
    </xf>
    <xf numFmtId="1" fontId="69" fillId="0" borderId="3" xfId="0" applyNumberFormat="1" applyFont="1" applyBorder="1" applyAlignment="1">
      <alignment horizontal="center" vertical="center"/>
    </xf>
    <xf numFmtId="1" fontId="69" fillId="0" borderId="73" xfId="0" applyNumberFormat="1" applyFont="1" applyBorder="1" applyAlignment="1">
      <alignment horizontal="center" vertical="center"/>
    </xf>
    <xf numFmtId="1" fontId="69" fillId="0" borderId="74" xfId="0" applyNumberFormat="1" applyFont="1" applyBorder="1" applyAlignment="1">
      <alignment horizontal="center" vertical="center"/>
    </xf>
    <xf numFmtId="1" fontId="69" fillId="0" borderId="32" xfId="0" applyNumberFormat="1" applyFont="1" applyBorder="1" applyAlignment="1">
      <alignment horizontal="center" vertical="center"/>
    </xf>
    <xf numFmtId="1" fontId="69" fillId="0" borderId="138" xfId="0" applyNumberFormat="1" applyFont="1" applyBorder="1" applyAlignment="1">
      <alignment horizontal="center" vertical="center"/>
    </xf>
    <xf numFmtId="1" fontId="69" fillId="0" borderId="12" xfId="0" applyNumberFormat="1" applyFont="1" applyBorder="1" applyAlignment="1">
      <alignment horizontal="center" vertical="center"/>
    </xf>
    <xf numFmtId="1" fontId="69" fillId="0" borderId="135" xfId="0" applyNumberFormat="1" applyFont="1" applyBorder="1" applyAlignment="1">
      <alignment horizontal="center" vertical="center"/>
    </xf>
    <xf numFmtId="1" fontId="69" fillId="0" borderId="134" xfId="0" applyNumberFormat="1" applyFont="1" applyBorder="1" applyAlignment="1">
      <alignment horizontal="center" vertical="center"/>
    </xf>
    <xf numFmtId="200" fontId="0" fillId="0" borderId="0" xfId="0" applyNumberFormat="1" applyBorder="1" applyAlignment="1">
      <alignment horizontal="left"/>
    </xf>
    <xf numFmtId="9" fontId="20" fillId="9" borderId="6" xfId="0" applyNumberFormat="1" applyFont="1" applyFill="1" applyBorder="1" applyAlignment="1">
      <alignment horizontal="left" vertical="center"/>
    </xf>
    <xf numFmtId="9" fontId="20" fillId="9" borderId="2" xfId="0" applyNumberFormat="1" applyFont="1" applyFill="1" applyBorder="1" applyAlignment="1">
      <alignment horizontal="left" vertical="center"/>
    </xf>
    <xf numFmtId="9" fontId="20" fillId="9" borderId="25" xfId="0" applyNumberFormat="1" applyFont="1" applyFill="1" applyBorder="1" applyAlignment="1">
      <alignment horizontal="left" vertical="center"/>
    </xf>
    <xf numFmtId="200" fontId="0" fillId="0" borderId="5" xfId="0" applyNumberFormat="1" applyBorder="1" applyAlignment="1">
      <alignment horizontal="left"/>
    </xf>
    <xf numFmtId="200" fontId="0" fillId="0" borderId="2" xfId="0" applyNumberFormat="1" applyBorder="1" applyAlignment="1">
      <alignment horizontal="left"/>
    </xf>
    <xf numFmtId="0" fontId="113" fillId="0" borderId="7" xfId="0" applyFont="1" applyBorder="1" applyAlignment="1" applyProtection="1">
      <alignment vertical="top"/>
    </xf>
    <xf numFmtId="0" fontId="0" fillId="0" borderId="8" xfId="0" applyBorder="1" applyAlignment="1" applyProtection="1">
      <alignment vertical="top"/>
    </xf>
    <xf numFmtId="0" fontId="0" fillId="0" borderId="8" xfId="0" applyBorder="1" applyProtection="1"/>
    <xf numFmtId="0" fontId="41" fillId="7" borderId="8" xfId="0" applyFont="1" applyFill="1" applyBorder="1" applyAlignment="1" applyProtection="1">
      <alignment horizontal="right" vertical="top"/>
    </xf>
    <xf numFmtId="0" fontId="59" fillId="0" borderId="8" xfId="0" applyFont="1" applyBorder="1" applyAlignment="1" applyProtection="1">
      <alignment horizontal="left" vertical="top"/>
    </xf>
    <xf numFmtId="0" fontId="0" fillId="0" borderId="6" xfId="0" applyBorder="1" applyAlignment="1" applyProtection="1">
      <alignment vertical="top"/>
    </xf>
    <xf numFmtId="0" fontId="113" fillId="0" borderId="7" xfId="0" applyFont="1" applyBorder="1" applyAlignment="1">
      <alignment vertical="top"/>
    </xf>
    <xf numFmtId="0" fontId="59" fillId="0" borderId="8" xfId="0" applyFont="1" applyBorder="1" applyAlignment="1">
      <alignment horizontal="left" vertical="top"/>
    </xf>
    <xf numFmtId="0" fontId="0" fillId="0" borderId="6" xfId="0" applyBorder="1" applyAlignment="1">
      <alignment vertical="top"/>
    </xf>
    <xf numFmtId="0" fontId="44" fillId="0" borderId="8" xfId="0" applyFont="1" applyBorder="1" applyAlignment="1">
      <alignment vertical="top"/>
    </xf>
    <xf numFmtId="0" fontId="0" fillId="0" borderId="8" xfId="0" applyFill="1" applyBorder="1" applyAlignment="1">
      <alignment horizontal="right"/>
    </xf>
    <xf numFmtId="0" fontId="40" fillId="0" borderId="6" xfId="0" applyFont="1" applyBorder="1" applyAlignment="1">
      <alignment vertical="top"/>
    </xf>
    <xf numFmtId="0" fontId="24" fillId="0" borderId="2" xfId="0" applyFont="1" applyBorder="1"/>
    <xf numFmtId="204" fontId="0" fillId="0" borderId="8" xfId="0" applyNumberFormat="1" applyFill="1" applyBorder="1" applyAlignment="1">
      <alignment horizontal="left"/>
    </xf>
    <xf numFmtId="0" fontId="40" fillId="0" borderId="8" xfId="0" applyFont="1" applyFill="1" applyBorder="1" applyAlignment="1">
      <alignment horizontal="right"/>
    </xf>
    <xf numFmtId="0" fontId="41" fillId="0" borderId="8" xfId="0" applyFont="1" applyFill="1" applyBorder="1" applyAlignment="1" applyProtection="1">
      <alignment horizontal="left"/>
    </xf>
    <xf numFmtId="0" fontId="39" fillId="0" borderId="8" xfId="0" applyFont="1" applyFill="1" applyBorder="1" applyAlignment="1">
      <alignment horizontal="left"/>
    </xf>
    <xf numFmtId="204" fontId="33" fillId="0" borderId="8" xfId="0" applyNumberFormat="1" applyFont="1" applyFill="1" applyBorder="1" applyAlignment="1">
      <alignment horizontal="left"/>
    </xf>
    <xf numFmtId="0" fontId="40" fillId="0" borderId="8" xfId="0" applyFont="1" applyFill="1" applyBorder="1" applyAlignment="1" applyProtection="1">
      <alignment horizontal="right"/>
      <protection locked="0"/>
    </xf>
    <xf numFmtId="0" fontId="33" fillId="0" borderId="62" xfId="0" applyFont="1" applyBorder="1" applyAlignment="1">
      <alignment vertical="top"/>
    </xf>
    <xf numFmtId="14" fontId="33" fillId="0" borderId="62" xfId="0" applyNumberFormat="1" applyFont="1" applyBorder="1" applyAlignment="1">
      <alignment horizontal="left" vertical="top"/>
    </xf>
    <xf numFmtId="0" fontId="33" fillId="0" borderId="62" xfId="0" applyFont="1" applyBorder="1" applyAlignment="1">
      <alignment horizontal="right" vertical="top"/>
    </xf>
    <xf numFmtId="0" fontId="41" fillId="0" borderId="83" xfId="0" applyFont="1" applyBorder="1" applyAlignment="1">
      <alignment vertical="top"/>
    </xf>
    <xf numFmtId="0" fontId="41" fillId="0" borderId="85" xfId="0" applyFont="1" applyBorder="1" applyAlignment="1">
      <alignment vertical="top"/>
    </xf>
    <xf numFmtId="0" fontId="0" fillId="0" borderId="85" xfId="0" applyBorder="1" applyAlignment="1">
      <alignment vertical="top"/>
    </xf>
    <xf numFmtId="0" fontId="39" fillId="0" borderId="85" xfId="0" applyFont="1" applyFill="1" applyBorder="1" applyAlignment="1">
      <alignment horizontal="right" vertical="center"/>
    </xf>
    <xf numFmtId="0" fontId="40" fillId="0" borderId="85" xfId="0" applyFont="1" applyBorder="1" applyAlignment="1">
      <alignment horizontal="left"/>
    </xf>
    <xf numFmtId="0" fontId="0" fillId="4" borderId="85" xfId="0" applyFill="1" applyBorder="1"/>
    <xf numFmtId="0" fontId="59" fillId="4" borderId="128" xfId="0" applyFont="1" applyFill="1" applyBorder="1" applyAlignment="1">
      <alignment horizontal="right"/>
    </xf>
    <xf numFmtId="0" fontId="59" fillId="4" borderId="85" xfId="0" applyFont="1" applyFill="1" applyBorder="1" applyAlignment="1">
      <alignment horizontal="right"/>
    </xf>
    <xf numFmtId="0" fontId="32" fillId="4" borderId="86" xfId="0" applyFont="1" applyFill="1" applyBorder="1" applyAlignment="1">
      <alignment horizontal="right"/>
    </xf>
    <xf numFmtId="0" fontId="0" fillId="0" borderId="65" xfId="0" applyBorder="1" applyAlignment="1">
      <alignment vertical="top"/>
    </xf>
    <xf numFmtId="0" fontId="116" fillId="4" borderId="62" xfId="17" applyFont="1" applyFill="1" applyBorder="1" applyAlignment="1" applyProtection="1">
      <alignment vertical="center"/>
    </xf>
    <xf numFmtId="197" fontId="26" fillId="0" borderId="116" xfId="0" applyNumberFormat="1" applyFont="1" applyFill="1" applyBorder="1" applyAlignment="1">
      <alignment horizontal="right" vertical="center"/>
    </xf>
    <xf numFmtId="171" fontId="26" fillId="4" borderId="53" xfId="0" applyNumberFormat="1" applyFont="1" applyFill="1" applyBorder="1" applyAlignment="1">
      <alignment horizontal="right" vertical="center"/>
    </xf>
    <xf numFmtId="171" fontId="26" fillId="0" borderId="53" xfId="0" applyNumberFormat="1" applyFont="1" applyFill="1" applyBorder="1" applyAlignment="1">
      <alignment horizontal="right" vertical="center"/>
    </xf>
    <xf numFmtId="171" fontId="26" fillId="0" borderId="71" xfId="0" applyNumberFormat="1" applyFont="1" applyFill="1" applyBorder="1" applyAlignment="1">
      <alignment horizontal="right" vertical="center"/>
    </xf>
    <xf numFmtId="188" fontId="24" fillId="4" borderId="9" xfId="11" applyNumberFormat="1" applyFont="1" applyFill="1" applyBorder="1" applyAlignment="1">
      <alignment horizontal="right" vertical="center"/>
    </xf>
    <xf numFmtId="188" fontId="24" fillId="0" borderId="9" xfId="0" applyNumberFormat="1" applyFont="1" applyFill="1" applyBorder="1" applyAlignment="1">
      <alignment horizontal="right" vertical="center"/>
    </xf>
    <xf numFmtId="188" fontId="24" fillId="0" borderId="67" xfId="0" applyNumberFormat="1" applyFont="1" applyFill="1" applyBorder="1" applyAlignment="1">
      <alignment horizontal="right" vertical="center"/>
    </xf>
    <xf numFmtId="0" fontId="0" fillId="7" borderId="62" xfId="0" applyFill="1" applyBorder="1" applyAlignment="1">
      <alignment vertical="center"/>
    </xf>
    <xf numFmtId="0" fontId="30" fillId="4" borderId="0" xfId="17" applyFont="1" applyFill="1" applyBorder="1" applyAlignment="1" applyProtection="1">
      <alignment horizontal="right" vertical="center"/>
    </xf>
    <xf numFmtId="185" fontId="33" fillId="3" borderId="22" xfId="0" applyNumberFormat="1" applyFont="1" applyFill="1" applyBorder="1" applyAlignment="1" applyProtection="1">
      <alignment horizontal="right" vertical="center"/>
      <protection locked="0"/>
    </xf>
    <xf numFmtId="185" fontId="33" fillId="3" borderId="43" xfId="0" applyNumberFormat="1" applyFont="1" applyFill="1" applyBorder="1" applyAlignment="1" applyProtection="1">
      <alignment horizontal="right" vertical="center"/>
      <protection locked="0"/>
    </xf>
    <xf numFmtId="0" fontId="0" fillId="7" borderId="69" xfId="0" applyFill="1" applyBorder="1" applyAlignment="1">
      <alignment horizontal="center" vertical="center"/>
    </xf>
    <xf numFmtId="0" fontId="0" fillId="7" borderId="114" xfId="0" applyFill="1" applyBorder="1" applyAlignment="1">
      <alignment horizontal="center" vertical="center"/>
    </xf>
    <xf numFmtId="0" fontId="0" fillId="7" borderId="68" xfId="0" applyFill="1" applyBorder="1" applyAlignment="1">
      <alignment horizontal="center" vertical="center"/>
    </xf>
    <xf numFmtId="170" fontId="23" fillId="0" borderId="115" xfId="0" applyNumberFormat="1" applyFont="1" applyFill="1" applyBorder="1" applyAlignment="1">
      <alignment horizontal="right" vertical="center"/>
    </xf>
    <xf numFmtId="0" fontId="33" fillId="4" borderId="0" xfId="0" applyFont="1" applyFill="1" applyBorder="1" applyAlignment="1">
      <alignment vertical="center"/>
    </xf>
    <xf numFmtId="0" fontId="0" fillId="0" borderId="85" xfId="0" applyBorder="1"/>
    <xf numFmtId="0" fontId="32" fillId="0" borderId="85" xfId="0" applyFont="1" applyFill="1" applyBorder="1" applyAlignment="1">
      <alignment horizontal="left" vertical="top"/>
    </xf>
    <xf numFmtId="0" fontId="0" fillId="4" borderId="85" xfId="0" applyFill="1" applyBorder="1" applyAlignment="1">
      <alignment vertical="top"/>
    </xf>
    <xf numFmtId="0" fontId="39" fillId="4" borderId="86" xfId="0" applyFont="1" applyFill="1" applyBorder="1" applyAlignment="1">
      <alignment horizontal="right"/>
    </xf>
    <xf numFmtId="0" fontId="33" fillId="0" borderId="65" xfId="0" applyFont="1" applyBorder="1" applyAlignment="1">
      <alignment vertical="top"/>
    </xf>
    <xf numFmtId="0" fontId="24" fillId="4" borderId="134" xfId="17" applyFont="1" applyFill="1" applyBorder="1" applyAlignment="1" applyProtection="1">
      <alignment horizontal="right" vertical="center"/>
    </xf>
    <xf numFmtId="3" fontId="24" fillId="0" borderId="31" xfId="0" applyNumberFormat="1" applyFont="1" applyBorder="1" applyAlignment="1">
      <alignment horizontal="center" vertical="center"/>
    </xf>
    <xf numFmtId="3" fontId="24" fillId="0" borderId="3" xfId="0" applyNumberFormat="1" applyFont="1" applyBorder="1" applyAlignment="1">
      <alignment horizontal="center" vertical="center"/>
    </xf>
    <xf numFmtId="3" fontId="24" fillId="0" borderId="73" xfId="0" applyNumberFormat="1" applyFont="1" applyBorder="1" applyAlignment="1">
      <alignment horizontal="center" vertical="center"/>
    </xf>
    <xf numFmtId="3" fontId="24" fillId="0" borderId="74" xfId="0" applyNumberFormat="1" applyFont="1" applyBorder="1" applyAlignment="1">
      <alignment horizontal="center" vertical="center"/>
    </xf>
    <xf numFmtId="3" fontId="24" fillId="0" borderId="32" xfId="0" applyNumberFormat="1" applyFont="1" applyBorder="1" applyAlignment="1">
      <alignment horizontal="center" vertical="center"/>
    </xf>
    <xf numFmtId="3" fontId="24" fillId="0" borderId="138" xfId="0" applyNumberFormat="1" applyFont="1" applyBorder="1" applyAlignment="1">
      <alignment horizontal="center" vertical="center"/>
    </xf>
    <xf numFmtId="3" fontId="24" fillId="0" borderId="12" xfId="0" applyNumberFormat="1" applyFont="1" applyBorder="1" applyAlignment="1">
      <alignment horizontal="center" vertical="center"/>
    </xf>
    <xf numFmtId="3" fontId="24" fillId="0" borderId="135" xfId="0" applyNumberFormat="1" applyFont="1" applyBorder="1" applyAlignment="1">
      <alignment horizontal="center" vertical="center"/>
    </xf>
    <xf numFmtId="3" fontId="24" fillId="0" borderId="134" xfId="0" applyNumberFormat="1" applyFont="1" applyBorder="1" applyAlignment="1">
      <alignment horizontal="center" vertical="center"/>
    </xf>
    <xf numFmtId="0" fontId="24" fillId="0" borderId="0" xfId="17" applyFont="1" applyFill="1" applyBorder="1" applyAlignment="1" applyProtection="1">
      <alignment vertical="center"/>
    </xf>
    <xf numFmtId="190" fontId="33" fillId="7" borderId="19" xfId="0" applyNumberFormat="1" applyFont="1" applyFill="1" applyBorder="1" applyAlignment="1" applyProtection="1">
      <alignment horizontal="right" vertical="center"/>
    </xf>
    <xf numFmtId="166" fontId="33" fillId="7" borderId="19" xfId="0" applyNumberFormat="1" applyFont="1" applyFill="1" applyBorder="1" applyAlignment="1" applyProtection="1">
      <alignment horizontal="right" vertical="center"/>
    </xf>
    <xf numFmtId="0" fontId="35" fillId="4" borderId="102" xfId="17" applyFont="1" applyFill="1" applyBorder="1" applyAlignment="1" applyProtection="1">
      <alignment horizontal="left" vertical="center"/>
    </xf>
    <xf numFmtId="0" fontId="39" fillId="4" borderId="122" xfId="0" applyFont="1" applyFill="1" applyBorder="1" applyAlignment="1">
      <alignment vertical="center"/>
    </xf>
    <xf numFmtId="0" fontId="26" fillId="4" borderId="0" xfId="0" applyFont="1" applyFill="1" applyBorder="1" applyAlignment="1">
      <alignment vertical="center"/>
    </xf>
    <xf numFmtId="1" fontId="24" fillId="4" borderId="0" xfId="0" applyNumberFormat="1" applyFont="1" applyFill="1" applyBorder="1" applyAlignment="1">
      <alignment vertical="center"/>
    </xf>
    <xf numFmtId="1" fontId="26" fillId="4" borderId="62" xfId="0" applyNumberFormat="1" applyFont="1" applyFill="1" applyBorder="1" applyAlignment="1">
      <alignment vertical="center"/>
    </xf>
    <xf numFmtId="1" fontId="24" fillId="0" borderId="0" xfId="0" applyNumberFormat="1" applyFont="1" applyFill="1" applyBorder="1" applyAlignment="1">
      <alignment vertical="center"/>
    </xf>
    <xf numFmtId="1" fontId="26" fillId="4" borderId="85" xfId="17" applyNumberFormat="1" applyFont="1" applyFill="1" applyBorder="1" applyAlignment="1" applyProtection="1">
      <alignment vertical="center"/>
    </xf>
    <xf numFmtId="1" fontId="26" fillId="4" borderId="0" xfId="17" applyNumberFormat="1" applyFont="1" applyFill="1" applyBorder="1" applyAlignment="1">
      <alignment vertical="center"/>
    </xf>
    <xf numFmtId="1" fontId="26" fillId="4" borderId="0" xfId="17" applyNumberFormat="1" applyFont="1" applyFill="1" applyBorder="1" applyAlignment="1" applyProtection="1">
      <alignment vertical="center"/>
    </xf>
    <xf numFmtId="1" fontId="26" fillId="4" borderId="2" xfId="17" applyNumberFormat="1" applyFont="1" applyFill="1" applyBorder="1" applyAlignment="1" applyProtection="1">
      <alignment vertical="center"/>
    </xf>
    <xf numFmtId="1" fontId="24" fillId="4" borderId="2" xfId="17" applyNumberFormat="1" applyFont="1" applyFill="1" applyBorder="1" applyAlignment="1" applyProtection="1">
      <alignment vertical="center"/>
    </xf>
    <xf numFmtId="1" fontId="39" fillId="4" borderId="31" xfId="17" applyNumberFormat="1" applyFont="1" applyFill="1" applyBorder="1" applyAlignment="1" applyProtection="1">
      <alignment vertical="center"/>
    </xf>
    <xf numFmtId="49" fontId="24" fillId="4" borderId="2" xfId="0" applyNumberFormat="1" applyFont="1" applyFill="1" applyBorder="1" applyAlignment="1">
      <alignment vertical="center"/>
    </xf>
    <xf numFmtId="49" fontId="24" fillId="4" borderId="31" xfId="17" applyNumberFormat="1" applyFont="1" applyFill="1" applyBorder="1" applyAlignment="1" applyProtection="1">
      <alignment vertical="center"/>
    </xf>
    <xf numFmtId="1" fontId="39" fillId="4" borderId="0" xfId="17" applyNumberFormat="1" applyFont="1" applyFill="1" applyBorder="1" applyAlignment="1" applyProtection="1">
      <alignment vertical="center"/>
    </xf>
    <xf numFmtId="1" fontId="40" fillId="4" borderId="0" xfId="17" applyNumberFormat="1" applyFont="1" applyFill="1" applyBorder="1" applyAlignment="1" applyProtection="1">
      <alignment vertical="center"/>
    </xf>
    <xf numFmtId="0" fontId="39" fillId="4" borderId="62" xfId="17" applyFont="1" applyFill="1" applyBorder="1" applyAlignment="1" applyProtection="1">
      <alignment vertical="center"/>
    </xf>
    <xf numFmtId="0" fontId="39" fillId="0" borderId="0" xfId="17" applyFont="1" applyFill="1" applyBorder="1" applyAlignment="1" applyProtection="1">
      <alignment vertical="center"/>
    </xf>
    <xf numFmtId="0" fontId="24" fillId="4" borderId="122" xfId="17" applyFont="1" applyFill="1" applyBorder="1" applyAlignment="1" applyProtection="1">
      <alignment vertical="center"/>
    </xf>
    <xf numFmtId="0" fontId="24" fillId="4" borderId="31" xfId="17" applyFont="1" applyFill="1" applyBorder="1" applyAlignment="1" applyProtection="1">
      <alignment vertical="center"/>
    </xf>
    <xf numFmtId="0" fontId="39" fillId="4" borderId="31" xfId="17" applyFont="1" applyFill="1" applyBorder="1" applyAlignment="1" applyProtection="1">
      <alignment vertical="center"/>
    </xf>
    <xf numFmtId="0" fontId="39" fillId="4" borderId="0" xfId="17" applyFont="1" applyFill="1" applyBorder="1" applyAlignment="1" applyProtection="1">
      <alignment vertical="center"/>
    </xf>
    <xf numFmtId="0" fontId="39" fillId="4" borderId="2" xfId="0" applyFont="1" applyFill="1" applyBorder="1" applyAlignment="1">
      <alignment vertical="center"/>
    </xf>
    <xf numFmtId="0" fontId="24" fillId="4" borderId="0" xfId="17" applyFont="1" applyFill="1" applyBorder="1" applyAlignment="1" applyProtection="1">
      <alignment vertical="center"/>
    </xf>
    <xf numFmtId="0" fontId="24" fillId="4" borderId="2" xfId="17" applyFont="1" applyFill="1" applyBorder="1" applyAlignment="1" applyProtection="1">
      <alignment vertical="center"/>
    </xf>
    <xf numFmtId="1" fontId="23" fillId="4" borderId="122" xfId="17" applyNumberFormat="1" applyFont="1" applyFill="1" applyBorder="1" applyAlignment="1" applyProtection="1">
      <alignment vertical="center"/>
    </xf>
    <xf numFmtId="1" fontId="23" fillId="4" borderId="31" xfId="17" applyNumberFormat="1" applyFont="1" applyFill="1" applyBorder="1" applyAlignment="1" applyProtection="1">
      <alignment vertical="center"/>
    </xf>
    <xf numFmtId="1" fontId="23" fillId="4" borderId="124" xfId="17" applyNumberFormat="1" applyFont="1" applyFill="1" applyBorder="1" applyAlignment="1" applyProtection="1">
      <alignment vertical="center"/>
    </xf>
    <xf numFmtId="205" fontId="26" fillId="4" borderId="0" xfId="17" applyNumberFormat="1" applyFont="1" applyFill="1" applyBorder="1" applyAlignment="1" applyProtection="1">
      <alignment vertical="center"/>
    </xf>
    <xf numFmtId="177" fontId="36" fillId="0" borderId="2" xfId="0" applyNumberFormat="1" applyFont="1" applyBorder="1" applyAlignment="1" applyProtection="1">
      <alignment horizontal="right" vertical="center"/>
    </xf>
    <xf numFmtId="177" fontId="36" fillId="0" borderId="75" xfId="0" applyNumberFormat="1" applyFont="1" applyBorder="1" applyAlignment="1" applyProtection="1">
      <alignment horizontal="right" vertical="center"/>
    </xf>
    <xf numFmtId="0" fontId="23" fillId="0" borderId="0" xfId="0" applyFont="1"/>
    <xf numFmtId="0" fontId="0" fillId="0" borderId="0" xfId="0" applyBorder="1" applyAlignment="1" applyProtection="1">
      <alignment horizontal="right" vertical="center"/>
    </xf>
    <xf numFmtId="9" fontId="34" fillId="0" borderId="0" xfId="0" applyNumberFormat="1" applyFont="1" applyAlignment="1" applyProtection="1">
      <alignment vertical="center"/>
    </xf>
    <xf numFmtId="0" fontId="20" fillId="0" borderId="0" xfId="0" applyFont="1" applyBorder="1" applyAlignment="1" applyProtection="1">
      <alignment horizontal="right" vertical="center"/>
    </xf>
    <xf numFmtId="0" fontId="117" fillId="0" borderId="0" xfId="0" applyFont="1" applyAlignment="1" applyProtection="1">
      <alignment vertical="center"/>
    </xf>
    <xf numFmtId="208" fontId="34" fillId="0" borderId="0" xfId="0" applyNumberFormat="1" applyFont="1" applyAlignment="1" applyProtection="1">
      <alignment vertical="center"/>
    </xf>
    <xf numFmtId="185" fontId="31" fillId="7" borderId="11" xfId="14" applyNumberFormat="1" applyFont="1" applyFill="1" applyBorder="1" applyAlignment="1">
      <alignment vertical="center"/>
    </xf>
    <xf numFmtId="185" fontId="31" fillId="6" borderId="11" xfId="14" applyNumberFormat="1" applyFont="1" applyFill="1" applyBorder="1" applyAlignment="1">
      <alignment vertical="center"/>
    </xf>
    <xf numFmtId="0" fontId="0" fillId="0" borderId="12" xfId="0" applyBorder="1" applyAlignment="1">
      <alignment horizontal="centerContinuous" vertical="center" wrapText="1"/>
    </xf>
    <xf numFmtId="0" fontId="38" fillId="0" borderId="32" xfId="0" applyFont="1" applyBorder="1" applyAlignment="1">
      <alignment horizontal="centerContinuous" vertical="center"/>
    </xf>
    <xf numFmtId="0" fontId="33" fillId="0" borderId="31" xfId="0" applyFont="1" applyBorder="1" applyAlignment="1">
      <alignment vertical="center"/>
    </xf>
    <xf numFmtId="0" fontId="38" fillId="0" borderId="31" xfId="0" applyFont="1" applyBorder="1" applyAlignment="1">
      <alignment vertical="center"/>
    </xf>
    <xf numFmtId="0" fontId="0" fillId="0" borderId="31" xfId="0" applyBorder="1"/>
    <xf numFmtId="0" fontId="24" fillId="0" borderId="31" xfId="0" applyFont="1" applyBorder="1" applyAlignment="1">
      <alignment horizontal="right" vertical="center"/>
    </xf>
    <xf numFmtId="177" fontId="35" fillId="7" borderId="32" xfId="0" applyNumberFormat="1" applyFont="1" applyFill="1" applyBorder="1" applyAlignment="1" applyProtection="1">
      <alignment horizontal="right" vertical="center"/>
    </xf>
    <xf numFmtId="177" fontId="35" fillId="6" borderId="32" xfId="0" applyNumberFormat="1" applyFont="1" applyFill="1" applyBorder="1" applyAlignment="1" applyProtection="1">
      <alignment horizontal="right" vertical="center"/>
    </xf>
    <xf numFmtId="49" fontId="26" fillId="0" borderId="0" xfId="0" applyNumberFormat="1" applyFont="1" applyBorder="1" applyAlignment="1"/>
    <xf numFmtId="2" fontId="26" fillId="0" borderId="0" xfId="0" applyNumberFormat="1" applyFont="1" applyBorder="1" applyAlignment="1">
      <alignment horizontal="center"/>
    </xf>
    <xf numFmtId="49" fontId="24" fillId="0" borderId="0" xfId="0" applyNumberFormat="1" applyFont="1" applyBorder="1" applyAlignment="1">
      <alignment horizontal="center"/>
    </xf>
    <xf numFmtId="209" fontId="0" fillId="0" borderId="0" xfId="0" applyNumberFormat="1"/>
    <xf numFmtId="0" fontId="33" fillId="0" borderId="52" xfId="17" applyFont="1" applyBorder="1" applyAlignment="1" applyProtection="1">
      <alignment horizontal="right" vertical="center"/>
    </xf>
    <xf numFmtId="0" fontId="33" fillId="0" borderId="14" xfId="0" applyFont="1" applyBorder="1" applyAlignment="1" applyProtection="1">
      <alignment horizontal="right" vertical="center"/>
    </xf>
    <xf numFmtId="0" fontId="19" fillId="0" borderId="2" xfId="0" applyFont="1" applyBorder="1" applyAlignment="1" applyProtection="1">
      <alignment vertical="center"/>
    </xf>
    <xf numFmtId="9" fontId="19" fillId="3" borderId="25" xfId="0" applyNumberFormat="1" applyFont="1" applyFill="1" applyBorder="1" applyAlignment="1" applyProtection="1">
      <alignment vertical="center"/>
      <protection locked="0"/>
    </xf>
    <xf numFmtId="9" fontId="0" fillId="6" borderId="12" xfId="0" applyNumberFormat="1" applyFill="1" applyBorder="1" applyAlignment="1">
      <alignment vertical="center"/>
    </xf>
    <xf numFmtId="9" fontId="0" fillId="0" borderId="12" xfId="0" applyNumberFormat="1" applyBorder="1" applyAlignment="1">
      <alignment vertical="center"/>
    </xf>
    <xf numFmtId="9" fontId="19" fillId="0" borderId="11" xfId="0" applyNumberFormat="1" applyFont="1" applyFill="1" applyBorder="1" applyAlignment="1" applyProtection="1">
      <alignment vertical="center"/>
    </xf>
    <xf numFmtId="185" fontId="35" fillId="0" borderId="75" xfId="14" applyNumberFormat="1" applyFont="1" applyBorder="1" applyAlignment="1">
      <alignment horizontal="right" vertical="center"/>
    </xf>
    <xf numFmtId="3" fontId="35" fillId="7" borderId="1" xfId="0" applyNumberFormat="1" applyFont="1" applyFill="1" applyBorder="1" applyAlignment="1" applyProtection="1">
      <alignment vertical="center"/>
    </xf>
    <xf numFmtId="0" fontId="110" fillId="4" borderId="35" xfId="0" applyFont="1" applyFill="1" applyBorder="1" applyAlignment="1">
      <alignment horizontal="centerContinuous"/>
    </xf>
    <xf numFmtId="0" fontId="37" fillId="0" borderId="126" xfId="17" applyFont="1" applyBorder="1" applyAlignment="1" applyProtection="1">
      <alignment horizontal="right" vertical="center"/>
    </xf>
    <xf numFmtId="0" fontId="33" fillId="0" borderId="57" xfId="17" applyFont="1" applyBorder="1" applyAlignment="1">
      <alignment horizontal="center" vertical="center"/>
    </xf>
    <xf numFmtId="0" fontId="33" fillId="0" borderId="39" xfId="17" applyFont="1" applyBorder="1" applyAlignment="1">
      <alignment horizontal="left" vertical="center"/>
    </xf>
    <xf numFmtId="0" fontId="37" fillId="0" borderId="29" xfId="17" applyFont="1" applyBorder="1" applyAlignment="1" applyProtection="1">
      <alignment horizontal="left" vertical="center"/>
    </xf>
    <xf numFmtId="179" fontId="33" fillId="7" borderId="28" xfId="0" applyNumberFormat="1" applyFont="1" applyFill="1" applyBorder="1" applyAlignment="1">
      <alignment horizontal="right" vertical="center"/>
    </xf>
    <xf numFmtId="0" fontId="0" fillId="4" borderId="28" xfId="0" applyFill="1" applyBorder="1"/>
    <xf numFmtId="185" fontId="31" fillId="4" borderId="35" xfId="14" applyNumberFormat="1" applyFont="1" applyFill="1" applyBorder="1" applyAlignment="1">
      <alignment vertical="center"/>
    </xf>
    <xf numFmtId="0" fontId="33" fillId="0" borderId="47" xfId="17" applyFont="1" applyBorder="1" applyAlignment="1" applyProtection="1">
      <alignment vertical="center"/>
    </xf>
    <xf numFmtId="0" fontId="33" fillId="3" borderId="48" xfId="0" applyFont="1" applyFill="1" applyBorder="1" applyAlignment="1" applyProtection="1">
      <alignment vertical="center"/>
      <protection locked="0"/>
    </xf>
    <xf numFmtId="170" fontId="33" fillId="3" borderId="141" xfId="0" applyNumberFormat="1" applyFont="1" applyFill="1" applyBorder="1" applyAlignment="1" applyProtection="1">
      <alignment horizontal="right" vertical="center"/>
      <protection locked="0"/>
    </xf>
    <xf numFmtId="170" fontId="33" fillId="7" borderId="141" xfId="0" applyNumberFormat="1" applyFont="1" applyFill="1" applyBorder="1" applyAlignment="1" applyProtection="1">
      <alignment horizontal="right" vertical="center"/>
    </xf>
    <xf numFmtId="181" fontId="33" fillId="7" borderId="52" xfId="0" applyNumberFormat="1" applyFont="1" applyFill="1" applyBorder="1" applyAlignment="1" applyProtection="1">
      <alignment horizontal="right" vertical="center"/>
    </xf>
    <xf numFmtId="0" fontId="0" fillId="4" borderId="47" xfId="0" applyFill="1" applyBorder="1"/>
    <xf numFmtId="170" fontId="33" fillId="4" borderId="60" xfId="0" applyNumberFormat="1" applyFont="1" applyFill="1" applyBorder="1" applyAlignment="1" applyProtection="1">
      <alignment horizontal="right" vertical="center"/>
    </xf>
    <xf numFmtId="176" fontId="33" fillId="3" borderId="52" xfId="0" applyNumberFormat="1" applyFont="1" applyFill="1" applyBorder="1" applyAlignment="1" applyProtection="1">
      <alignment horizontal="right" vertical="center"/>
      <protection locked="0"/>
    </xf>
    <xf numFmtId="166" fontId="33" fillId="7" borderId="76" xfId="0" applyNumberFormat="1" applyFont="1" applyFill="1" applyBorder="1" applyAlignment="1" applyProtection="1">
      <alignment horizontal="right" vertical="center"/>
    </xf>
    <xf numFmtId="0" fontId="0" fillId="0" borderId="29" xfId="0" applyBorder="1"/>
    <xf numFmtId="173" fontId="33" fillId="7" borderId="40" xfId="0" applyNumberFormat="1" applyFont="1" applyFill="1" applyBorder="1" applyAlignment="1">
      <alignment horizontal="center" vertical="center"/>
    </xf>
    <xf numFmtId="173" fontId="33" fillId="6" borderId="40" xfId="0" applyNumberFormat="1" applyFont="1" applyFill="1" applyBorder="1" applyAlignment="1">
      <alignment horizontal="center" vertical="center"/>
    </xf>
    <xf numFmtId="209" fontId="33" fillId="0" borderId="25" xfId="0" applyNumberFormat="1" applyFont="1" applyFill="1" applyBorder="1" applyAlignment="1" applyProtection="1">
      <alignment horizontal="center" vertical="center"/>
    </xf>
    <xf numFmtId="211" fontId="33" fillId="0" borderId="34" xfId="0" applyNumberFormat="1" applyFont="1" applyFill="1" applyBorder="1" applyAlignment="1" applyProtection="1">
      <alignment horizontal="right" vertical="center" shrinkToFit="1"/>
    </xf>
    <xf numFmtId="0" fontId="39" fillId="4" borderId="100" xfId="0" applyFont="1" applyFill="1" applyBorder="1" applyAlignment="1">
      <alignment horizontal="center" vertical="center"/>
    </xf>
    <xf numFmtId="3" fontId="23" fillId="0" borderId="64" xfId="0" applyNumberFormat="1" applyFont="1" applyFill="1" applyBorder="1" applyAlignment="1">
      <alignment horizontal="center" vertical="center"/>
    </xf>
    <xf numFmtId="0" fontId="0" fillId="0" borderId="0" xfId="0" applyFill="1"/>
    <xf numFmtId="0" fontId="33" fillId="8" borderId="2" xfId="17" applyFont="1" applyFill="1" applyBorder="1" applyAlignment="1" applyProtection="1">
      <alignment vertical="center"/>
      <protection locked="0"/>
    </xf>
    <xf numFmtId="0" fontId="0" fillId="0" borderId="2" xfId="0" applyBorder="1" applyProtection="1">
      <protection locked="0"/>
    </xf>
    <xf numFmtId="0" fontId="20" fillId="0" borderId="2" xfId="0" applyFont="1" applyBorder="1" applyProtection="1">
      <protection locked="0"/>
    </xf>
    <xf numFmtId="0" fontId="20" fillId="0" borderId="0" xfId="0" applyFont="1" applyProtection="1">
      <protection locked="0"/>
    </xf>
    <xf numFmtId="0" fontId="118" fillId="0" borderId="31" xfId="0" applyFont="1" applyBorder="1" applyAlignment="1">
      <alignment horizontal="right" vertical="center"/>
    </xf>
    <xf numFmtId="197" fontId="33" fillId="7" borderId="21" xfId="0" applyNumberFormat="1" applyFont="1" applyFill="1" applyBorder="1" applyAlignment="1" applyProtection="1">
      <alignment horizontal="right" vertical="center"/>
    </xf>
    <xf numFmtId="176" fontId="33" fillId="3" borderId="33" xfId="17" applyNumberFormat="1" applyFont="1" applyFill="1" applyBorder="1" applyAlignment="1" applyProtection="1">
      <alignment horizontal="right" vertical="center"/>
      <protection locked="0"/>
    </xf>
    <xf numFmtId="176" fontId="33" fillId="7" borderId="20" xfId="0" applyNumberFormat="1" applyFont="1" applyFill="1" applyBorder="1" applyAlignment="1">
      <alignment horizontal="right" vertical="center"/>
    </xf>
    <xf numFmtId="176" fontId="33" fillId="6" borderId="20" xfId="0" applyNumberFormat="1" applyFont="1" applyFill="1" applyBorder="1" applyAlignment="1">
      <alignment horizontal="right" vertical="center"/>
    </xf>
    <xf numFmtId="3" fontId="23" fillId="0" borderId="11" xfId="0" applyNumberFormat="1" applyFont="1" applyFill="1" applyBorder="1" applyAlignment="1">
      <alignment horizontal="center" vertical="center"/>
    </xf>
    <xf numFmtId="0" fontId="25" fillId="0" borderId="3" xfId="0" applyFont="1" applyBorder="1" applyAlignment="1" applyProtection="1">
      <alignment horizontal="center" vertical="center"/>
    </xf>
    <xf numFmtId="0" fontId="119" fillId="0" borderId="3" xfId="0" applyFont="1" applyBorder="1" applyAlignment="1" applyProtection="1">
      <alignment horizontal="center" vertical="center"/>
    </xf>
    <xf numFmtId="0" fontId="91" fillId="0" borderId="0" xfId="0" applyFont="1" applyAlignment="1" applyProtection="1">
      <alignment vertical="center"/>
    </xf>
    <xf numFmtId="179" fontId="33" fillId="7" borderId="20" xfId="0" applyNumberFormat="1" applyFont="1" applyFill="1" applyBorder="1" applyAlignment="1">
      <alignment horizontal="right" vertical="center"/>
    </xf>
    <xf numFmtId="179" fontId="33" fillId="6" borderId="20" xfId="0" applyNumberFormat="1" applyFont="1" applyFill="1" applyBorder="1" applyAlignment="1">
      <alignment horizontal="right" vertical="center"/>
    </xf>
    <xf numFmtId="0" fontId="24" fillId="0" borderId="63" xfId="17" applyFont="1" applyFill="1" applyBorder="1" applyAlignment="1" applyProtection="1">
      <alignment vertical="center"/>
    </xf>
    <xf numFmtId="0" fontId="44" fillId="0" borderId="65" xfId="0" applyFont="1" applyBorder="1" applyAlignment="1">
      <alignment vertical="center"/>
    </xf>
    <xf numFmtId="0" fontId="44" fillId="0" borderId="62" xfId="0" applyFont="1" applyBorder="1" applyAlignment="1">
      <alignment vertical="center"/>
    </xf>
    <xf numFmtId="0" fontId="44" fillId="0" borderId="62" xfId="0" applyFont="1" applyBorder="1" applyAlignment="1">
      <alignment horizontal="right" vertical="center"/>
    </xf>
    <xf numFmtId="0" fontId="72" fillId="3" borderId="63" xfId="0" applyFont="1" applyFill="1" applyBorder="1" applyAlignment="1" applyProtection="1">
      <alignment vertical="center"/>
      <protection locked="0"/>
    </xf>
    <xf numFmtId="0" fontId="65" fillId="3" borderId="48" xfId="0" applyFont="1" applyFill="1" applyBorder="1" applyAlignment="1" applyProtection="1">
      <alignment vertical="center"/>
      <protection locked="0"/>
    </xf>
    <xf numFmtId="0" fontId="72" fillId="0" borderId="5" xfId="0" applyFont="1" applyBorder="1" applyAlignment="1" applyProtection="1">
      <alignment vertical="center"/>
    </xf>
    <xf numFmtId="170" fontId="72" fillId="3" borderId="19" xfId="0" applyNumberFormat="1" applyFont="1" applyFill="1" applyBorder="1" applyAlignment="1" applyProtection="1">
      <alignment horizontal="right" vertical="center"/>
      <protection locked="0"/>
    </xf>
    <xf numFmtId="170" fontId="72" fillId="7" borderId="19" xfId="0" applyNumberFormat="1" applyFont="1" applyFill="1" applyBorder="1" applyAlignment="1" applyProtection="1">
      <alignment horizontal="right" vertical="center"/>
    </xf>
    <xf numFmtId="191" fontId="72" fillId="8" borderId="19" xfId="0" applyNumberFormat="1" applyFont="1" applyFill="1" applyBorder="1" applyAlignment="1" applyProtection="1">
      <alignment horizontal="right" vertical="center"/>
      <protection locked="0"/>
    </xf>
    <xf numFmtId="9" fontId="72" fillId="8" borderId="19" xfId="0" applyNumberFormat="1" applyFont="1" applyFill="1" applyBorder="1" applyAlignment="1" applyProtection="1">
      <alignment horizontal="center" vertical="center"/>
      <protection locked="0"/>
    </xf>
    <xf numFmtId="177" fontId="72" fillId="7" borderId="19" xfId="0" applyNumberFormat="1" applyFont="1" applyFill="1" applyBorder="1" applyAlignment="1" applyProtection="1">
      <alignment horizontal="right" vertical="center"/>
    </xf>
    <xf numFmtId="170" fontId="72" fillId="3" borderId="19" xfId="0" applyNumberFormat="1" applyFont="1" applyFill="1" applyBorder="1" applyAlignment="1" applyProtection="1">
      <alignment horizontal="center" vertical="center"/>
      <protection locked="0"/>
    </xf>
    <xf numFmtId="177" fontId="72" fillId="0" borderId="33" xfId="0" applyNumberFormat="1" applyFont="1" applyBorder="1" applyAlignment="1" applyProtection="1">
      <alignment horizontal="right" vertical="center"/>
    </xf>
    <xf numFmtId="177" fontId="72" fillId="0" borderId="0" xfId="0" applyNumberFormat="1" applyFont="1" applyBorder="1" applyAlignment="1" applyProtection="1">
      <alignment horizontal="right" vertical="center"/>
    </xf>
    <xf numFmtId="177" fontId="72" fillId="0" borderId="19" xfId="0" applyNumberFormat="1" applyFont="1" applyBorder="1" applyAlignment="1" applyProtection="1">
      <alignment horizontal="right" vertical="center"/>
    </xf>
    <xf numFmtId="177" fontId="72" fillId="0" borderId="20" xfId="0" applyNumberFormat="1" applyFont="1" applyBorder="1" applyAlignment="1" applyProtection="1">
      <alignment horizontal="right" vertical="center"/>
    </xf>
    <xf numFmtId="191" fontId="72" fillId="3" borderId="9" xfId="0" applyNumberFormat="1" applyFont="1" applyFill="1" applyBorder="1" applyAlignment="1" applyProtection="1">
      <alignment horizontal="right" vertical="center"/>
      <protection locked="0"/>
    </xf>
    <xf numFmtId="0" fontId="72" fillId="0" borderId="0" xfId="0" applyFont="1" applyBorder="1" applyAlignment="1" applyProtection="1">
      <alignment vertical="center"/>
    </xf>
    <xf numFmtId="0" fontId="72" fillId="0" borderId="0" xfId="0" applyFont="1" applyAlignment="1" applyProtection="1">
      <alignment vertical="center"/>
    </xf>
    <xf numFmtId="185" fontId="0" fillId="0" borderId="0" xfId="0" applyNumberFormat="1" applyBorder="1" applyAlignment="1">
      <alignment vertical="center"/>
    </xf>
    <xf numFmtId="212" fontId="0" fillId="0" borderId="0" xfId="0" applyNumberFormat="1" applyBorder="1" applyAlignment="1">
      <alignment vertical="center"/>
    </xf>
    <xf numFmtId="49" fontId="0" fillId="0" borderId="0" xfId="0" applyNumberFormat="1" applyBorder="1" applyAlignment="1">
      <alignment vertical="center"/>
    </xf>
    <xf numFmtId="0" fontId="26" fillId="7" borderId="8" xfId="0" applyFont="1" applyFill="1" applyBorder="1" applyAlignment="1">
      <alignment vertical="center"/>
    </xf>
    <xf numFmtId="166" fontId="26" fillId="7" borderId="0" xfId="0" applyNumberFormat="1" applyFont="1" applyFill="1" applyBorder="1" applyAlignment="1">
      <alignment vertical="center"/>
    </xf>
    <xf numFmtId="166" fontId="33" fillId="7" borderId="2" xfId="0" applyNumberFormat="1" applyFont="1" applyFill="1" applyBorder="1" applyAlignment="1">
      <alignment horizontal="center" vertical="center" wrapText="1"/>
    </xf>
    <xf numFmtId="0" fontId="26" fillId="7" borderId="107" xfId="0" applyFont="1" applyFill="1" applyBorder="1" applyAlignment="1">
      <alignment horizontal="center" vertical="center" wrapText="1"/>
    </xf>
    <xf numFmtId="217" fontId="44" fillId="7" borderId="114" xfId="0" applyNumberFormat="1" applyFont="1" applyFill="1" applyBorder="1" applyAlignment="1">
      <alignment vertical="center"/>
    </xf>
    <xf numFmtId="217" fontId="44" fillId="7" borderId="68" xfId="0" applyNumberFormat="1" applyFont="1" applyFill="1" applyBorder="1" applyAlignment="1">
      <alignment vertical="center"/>
    </xf>
    <xf numFmtId="0" fontId="26" fillId="7" borderId="110" xfId="0" applyFont="1" applyFill="1" applyBorder="1" applyAlignment="1">
      <alignment horizontal="center" vertical="center" wrapText="1"/>
    </xf>
    <xf numFmtId="0" fontId="26" fillId="0" borderId="63" xfId="0" applyFont="1" applyBorder="1" applyAlignment="1">
      <alignment vertical="center"/>
    </xf>
    <xf numFmtId="166" fontId="26" fillId="7" borderId="64" xfId="0" applyNumberFormat="1" applyFont="1" applyFill="1" applyBorder="1" applyAlignment="1">
      <alignment vertical="center"/>
    </xf>
    <xf numFmtId="0" fontId="33" fillId="0" borderId="63" xfId="0" applyFont="1" applyBorder="1" applyAlignment="1">
      <alignment vertical="center"/>
    </xf>
    <xf numFmtId="166" fontId="33" fillId="7" borderId="70" xfId="0" applyNumberFormat="1" applyFont="1" applyFill="1" applyBorder="1" applyAlignment="1">
      <alignment horizontal="center" vertical="center" wrapText="1"/>
    </xf>
    <xf numFmtId="0" fontId="26" fillId="7" borderId="142" xfId="0" applyFont="1" applyFill="1" applyBorder="1" applyAlignment="1">
      <alignment vertical="center"/>
    </xf>
    <xf numFmtId="214" fontId="44" fillId="7" borderId="115" xfId="0" applyNumberFormat="1" applyFont="1" applyFill="1" applyBorder="1" applyAlignment="1">
      <alignment vertical="center"/>
    </xf>
    <xf numFmtId="6" fontId="24" fillId="7" borderId="69" xfId="0" applyNumberFormat="1" applyFont="1" applyFill="1" applyBorder="1" applyAlignment="1">
      <alignment vertical="center"/>
    </xf>
    <xf numFmtId="6" fontId="24" fillId="7" borderId="71" xfId="0" applyNumberFormat="1" applyFont="1" applyFill="1" applyBorder="1" applyAlignment="1">
      <alignment vertical="center"/>
    </xf>
    <xf numFmtId="215" fontId="24" fillId="0" borderId="7" xfId="0" applyNumberFormat="1" applyFont="1" applyBorder="1" applyAlignment="1">
      <alignment vertical="center"/>
    </xf>
    <xf numFmtId="215" fontId="24" fillId="0" borderId="6" xfId="0" applyNumberFormat="1" applyFont="1" applyBorder="1" applyAlignment="1">
      <alignment vertical="center"/>
    </xf>
    <xf numFmtId="215" fontId="24" fillId="0" borderId="5" xfId="0" applyNumberFormat="1" applyFont="1" applyBorder="1" applyAlignment="1">
      <alignment vertical="center"/>
    </xf>
    <xf numFmtId="6" fontId="24" fillId="7" borderId="111" xfId="0" applyNumberFormat="1" applyFont="1" applyFill="1" applyBorder="1" applyAlignment="1">
      <alignment vertical="center"/>
    </xf>
    <xf numFmtId="6" fontId="24" fillId="7" borderId="127" xfId="0" applyNumberFormat="1" applyFont="1" applyFill="1" applyBorder="1" applyAlignment="1">
      <alignment vertical="center"/>
    </xf>
    <xf numFmtId="6" fontId="24" fillId="0" borderId="111" xfId="0" applyNumberFormat="1" applyFont="1" applyBorder="1" applyAlignment="1">
      <alignment vertical="center"/>
    </xf>
    <xf numFmtId="0" fontId="0" fillId="0" borderId="0" xfId="0" applyAlignment="1">
      <alignment wrapText="1"/>
    </xf>
    <xf numFmtId="177" fontId="26" fillId="7" borderId="0" xfId="0" applyNumberFormat="1" applyFont="1" applyFill="1" applyBorder="1" applyAlignment="1">
      <alignment vertical="center"/>
    </xf>
    <xf numFmtId="177" fontId="26" fillId="7" borderId="64" xfId="0" applyNumberFormat="1" applyFont="1" applyFill="1" applyBorder="1" applyAlignment="1">
      <alignment vertical="center"/>
    </xf>
    <xf numFmtId="0" fontId="69" fillId="0" borderId="0" xfId="0" applyFont="1" applyBorder="1" applyAlignment="1">
      <alignment horizontal="left" vertical="center"/>
    </xf>
    <xf numFmtId="0" fontId="69" fillId="7" borderId="0" xfId="0" applyFont="1" applyFill="1" applyBorder="1" applyAlignment="1">
      <alignment vertical="center"/>
    </xf>
    <xf numFmtId="0" fontId="69" fillId="0" borderId="0" xfId="0" applyFont="1" applyBorder="1" applyAlignment="1">
      <alignment vertical="center" wrapText="1"/>
    </xf>
    <xf numFmtId="0" fontId="69" fillId="0" borderId="0" xfId="0" applyFont="1" applyBorder="1" applyAlignment="1">
      <alignment horizontal="left" vertical="center" wrapText="1"/>
    </xf>
    <xf numFmtId="218" fontId="69" fillId="0" borderId="0" xfId="0" applyNumberFormat="1" applyFont="1" applyBorder="1" applyAlignment="1">
      <alignment horizontal="left" vertical="center" wrapText="1"/>
    </xf>
    <xf numFmtId="0" fontId="69" fillId="7" borderId="0" xfId="0" applyFont="1" applyFill="1" applyBorder="1" applyAlignment="1">
      <alignment vertical="center" wrapText="1"/>
    </xf>
    <xf numFmtId="8" fontId="69" fillId="0" borderId="0" xfId="0" applyNumberFormat="1" applyFont="1" applyBorder="1" applyAlignment="1">
      <alignment vertical="center"/>
    </xf>
    <xf numFmtId="6" fontId="69" fillId="0" borderId="0" xfId="0" applyNumberFormat="1" applyFont="1" applyBorder="1" applyAlignment="1">
      <alignment vertical="center"/>
    </xf>
    <xf numFmtId="0" fontId="69" fillId="0" borderId="2" xfId="0" applyFont="1" applyBorder="1" applyAlignment="1">
      <alignment vertical="center"/>
    </xf>
    <xf numFmtId="0" fontId="69" fillId="0" borderId="2" xfId="0" applyFont="1" applyBorder="1"/>
    <xf numFmtId="8" fontId="69" fillId="0" borderId="2" xfId="0" applyNumberFormat="1" applyFont="1" applyBorder="1" applyAlignment="1">
      <alignment vertical="center"/>
    </xf>
    <xf numFmtId="0" fontId="69" fillId="0" borderId="2" xfId="0" applyFont="1" applyBorder="1" applyAlignment="1">
      <alignment horizontal="left" vertical="center"/>
    </xf>
    <xf numFmtId="0" fontId="69" fillId="7" borderId="2" xfId="0" applyFont="1" applyFill="1" applyBorder="1" applyAlignment="1">
      <alignment vertical="center"/>
    </xf>
    <xf numFmtId="0" fontId="0" fillId="0" borderId="118" xfId="0" applyBorder="1"/>
    <xf numFmtId="0" fontId="0" fillId="0" borderId="63" xfId="0" applyBorder="1"/>
    <xf numFmtId="0" fontId="69" fillId="0" borderId="63" xfId="0" applyFont="1" applyBorder="1" applyAlignment="1">
      <alignment vertical="center"/>
    </xf>
    <xf numFmtId="0" fontId="69" fillId="7" borderId="64" xfId="0" applyFont="1" applyFill="1" applyBorder="1" applyAlignment="1">
      <alignment vertical="center"/>
    </xf>
    <xf numFmtId="0" fontId="69" fillId="0" borderId="63" xfId="0" applyFont="1" applyBorder="1" applyAlignment="1">
      <alignment vertical="center" wrapText="1"/>
    </xf>
    <xf numFmtId="0" fontId="69" fillId="7" borderId="64" xfId="0" applyFont="1" applyFill="1" applyBorder="1" applyAlignment="1">
      <alignment vertical="center" wrapText="1"/>
    </xf>
    <xf numFmtId="0" fontId="23" fillId="0" borderId="63" xfId="0" applyFont="1" applyBorder="1" applyAlignment="1">
      <alignment vertical="center"/>
    </xf>
    <xf numFmtId="0" fontId="69" fillId="0" borderId="0" xfId="0" applyFont="1" applyBorder="1"/>
    <xf numFmtId="0" fontId="69" fillId="0" borderId="72" xfId="0" applyFont="1" applyBorder="1" applyAlignment="1">
      <alignment vertical="center"/>
    </xf>
    <xf numFmtId="0" fontId="69" fillId="7" borderId="70" xfId="0" applyFont="1" applyFill="1" applyBorder="1" applyAlignment="1">
      <alignment vertical="center"/>
    </xf>
    <xf numFmtId="0" fontId="0" fillId="0" borderId="72" xfId="0" applyBorder="1"/>
    <xf numFmtId="0" fontId="41" fillId="5" borderId="65" xfId="0" applyFont="1" applyFill="1" applyBorder="1" applyAlignment="1">
      <alignment vertical="center"/>
    </xf>
    <xf numFmtId="0" fontId="41" fillId="5" borderId="62" xfId="0" applyFont="1" applyFill="1" applyBorder="1" applyAlignment="1">
      <alignment vertical="center"/>
    </xf>
    <xf numFmtId="8" fontId="41" fillId="5" borderId="62" xfId="0" applyNumberFormat="1" applyFont="1" applyFill="1" applyBorder="1" applyAlignment="1">
      <alignment vertical="center"/>
    </xf>
    <xf numFmtId="0" fontId="41" fillId="5" borderId="62" xfId="0" applyFont="1" applyFill="1" applyBorder="1" applyAlignment="1">
      <alignment horizontal="left" vertical="center"/>
    </xf>
    <xf numFmtId="0" fontId="41" fillId="5" borderId="66" xfId="0" applyFont="1" applyFill="1" applyBorder="1" applyAlignment="1">
      <alignment vertical="center"/>
    </xf>
    <xf numFmtId="0" fontId="59" fillId="0" borderId="0" xfId="0" applyFont="1"/>
    <xf numFmtId="0" fontId="33" fillId="0" borderId="0" xfId="0" applyFont="1" applyBorder="1"/>
    <xf numFmtId="177" fontId="33" fillId="7" borderId="0" xfId="0" applyNumberFormat="1" applyFont="1" applyFill="1" applyBorder="1" applyAlignment="1">
      <alignment vertical="center"/>
    </xf>
    <xf numFmtId="177" fontId="33" fillId="7" borderId="64" xfId="0" applyNumberFormat="1" applyFont="1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218" fontId="41" fillId="5" borderId="62" xfId="0" applyNumberFormat="1" applyFont="1" applyFill="1" applyBorder="1" applyAlignment="1">
      <alignment vertical="center"/>
    </xf>
    <xf numFmtId="218" fontId="26" fillId="0" borderId="2" xfId="0" applyNumberFormat="1" applyFont="1" applyBorder="1" applyAlignment="1">
      <alignment horizontal="left" vertical="center"/>
    </xf>
    <xf numFmtId="8" fontId="26" fillId="0" borderId="7" xfId="0" applyNumberFormat="1" applyFont="1" applyFill="1" applyBorder="1" applyAlignment="1">
      <alignment vertical="center"/>
    </xf>
    <xf numFmtId="166" fontId="23" fillId="0" borderId="73" xfId="0" applyNumberFormat="1" applyFont="1" applyBorder="1" applyAlignment="1">
      <alignment horizontal="center" vertical="center"/>
    </xf>
    <xf numFmtId="218" fontId="33" fillId="0" borderId="0" xfId="0" applyNumberFormat="1" applyFont="1" applyBorder="1" applyAlignment="1">
      <alignment vertical="center"/>
    </xf>
    <xf numFmtId="0" fontId="44" fillId="0" borderId="0" xfId="0" applyFont="1" applyProtection="1"/>
    <xf numFmtId="170" fontId="26" fillId="10" borderId="9" xfId="0" applyNumberFormat="1" applyFont="1" applyFill="1" applyBorder="1" applyAlignment="1" applyProtection="1">
      <alignment horizontal="right" vertical="center"/>
      <protection locked="0"/>
    </xf>
    <xf numFmtId="0" fontId="24" fillId="0" borderId="8" xfId="0" applyFont="1" applyBorder="1"/>
    <xf numFmtId="177" fontId="24" fillId="7" borderId="8" xfId="0" applyNumberFormat="1" applyFont="1" applyFill="1" applyBorder="1" applyAlignment="1">
      <alignment vertical="center"/>
    </xf>
    <xf numFmtId="177" fontId="24" fillId="7" borderId="142" xfId="0" applyNumberFormat="1" applyFont="1" applyFill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166" fontId="24" fillId="7" borderId="0" xfId="0" applyNumberFormat="1" applyFont="1" applyFill="1" applyBorder="1" applyAlignment="1">
      <alignment vertical="center"/>
    </xf>
    <xf numFmtId="166" fontId="24" fillId="7" borderId="64" xfId="0" applyNumberFormat="1" applyFont="1" applyFill="1" applyBorder="1" applyAlignment="1">
      <alignment vertical="center"/>
    </xf>
    <xf numFmtId="0" fontId="120" fillId="0" borderId="0" xfId="0" applyFont="1" applyBorder="1" applyAlignment="1">
      <alignment vertical="center"/>
    </xf>
    <xf numFmtId="0" fontId="121" fillId="0" borderId="0" xfId="0" applyFont="1" applyBorder="1" applyAlignment="1">
      <alignment vertical="center"/>
    </xf>
    <xf numFmtId="0" fontId="122" fillId="0" borderId="0" xfId="0" applyFont="1" applyBorder="1" applyAlignment="1">
      <alignment vertical="center"/>
    </xf>
    <xf numFmtId="0" fontId="123" fillId="0" borderId="83" xfId="0" applyFont="1" applyBorder="1"/>
    <xf numFmtId="0" fontId="123" fillId="0" borderId="94" xfId="0" applyFont="1" applyBorder="1"/>
    <xf numFmtId="0" fontId="120" fillId="0" borderId="2" xfId="0" applyFont="1" applyBorder="1" applyAlignment="1">
      <alignment vertical="center"/>
    </xf>
    <xf numFmtId="216" fontId="122" fillId="7" borderId="72" xfId="0" applyNumberFormat="1" applyFont="1" applyFill="1" applyBorder="1" applyAlignment="1">
      <alignment vertical="center"/>
    </xf>
    <xf numFmtId="216" fontId="122" fillId="7" borderId="71" xfId="0" applyNumberFormat="1" applyFont="1" applyFill="1" applyBorder="1" applyAlignment="1">
      <alignment vertical="center"/>
    </xf>
    <xf numFmtId="0" fontId="120" fillId="0" borderId="0" xfId="0" applyFont="1"/>
    <xf numFmtId="0" fontId="120" fillId="0" borderId="0" xfId="0" applyFont="1" applyBorder="1" applyAlignment="1">
      <alignment horizontal="left" vertical="center"/>
    </xf>
    <xf numFmtId="0" fontId="120" fillId="0" borderId="0" xfId="0" applyFont="1" applyBorder="1" applyAlignment="1">
      <alignment horizontal="right" vertical="center"/>
    </xf>
    <xf numFmtId="0" fontId="120" fillId="0" borderId="2" xfId="0" applyFont="1" applyBorder="1" applyAlignment="1">
      <alignment horizontal="right" vertical="center"/>
    </xf>
    <xf numFmtId="8" fontId="122" fillId="7" borderId="63" xfId="0" applyNumberFormat="1" applyFont="1" applyFill="1" applyBorder="1" applyAlignment="1">
      <alignment vertical="center"/>
    </xf>
    <xf numFmtId="8" fontId="122" fillId="7" borderId="67" xfId="0" applyNumberFormat="1" applyFont="1" applyFill="1" applyBorder="1" applyAlignment="1">
      <alignment vertical="center"/>
    </xf>
    <xf numFmtId="0" fontId="33" fillId="10" borderId="0" xfId="0" applyFont="1" applyFill="1" applyBorder="1" applyAlignment="1" applyProtection="1">
      <alignment vertical="center"/>
      <protection locked="0"/>
    </xf>
    <xf numFmtId="2" fontId="26" fillId="10" borderId="0" xfId="0" applyNumberFormat="1" applyFont="1" applyFill="1" applyBorder="1" applyAlignment="1" applyProtection="1">
      <alignment vertical="center"/>
      <protection locked="0"/>
    </xf>
    <xf numFmtId="218" fontId="69" fillId="10" borderId="0" xfId="0" applyNumberFormat="1" applyFont="1" applyFill="1" applyBorder="1" applyAlignment="1" applyProtection="1">
      <alignment vertical="center"/>
      <protection locked="0"/>
    </xf>
    <xf numFmtId="1" fontId="23" fillId="0" borderId="63" xfId="0" applyNumberFormat="1" applyFont="1" applyFill="1" applyBorder="1" applyAlignment="1">
      <alignment horizontal="center" vertical="center"/>
    </xf>
    <xf numFmtId="2" fontId="40" fillId="0" borderId="63" xfId="0" applyNumberFormat="1" applyFont="1" applyFill="1" applyBorder="1" applyAlignment="1">
      <alignment horizontal="center" vertical="center"/>
    </xf>
    <xf numFmtId="3" fontId="23" fillId="0" borderId="63" xfId="0" applyNumberFormat="1" applyFont="1" applyFill="1" applyBorder="1" applyAlignment="1">
      <alignment horizontal="center" vertical="center"/>
    </xf>
    <xf numFmtId="1" fontId="69" fillId="4" borderId="114" xfId="0" applyNumberFormat="1" applyFont="1" applyFill="1" applyBorder="1" applyAlignment="1">
      <alignment horizontal="center" vertical="center"/>
    </xf>
    <xf numFmtId="1" fontId="69" fillId="4" borderId="10" xfId="0" applyNumberFormat="1" applyFont="1" applyFill="1" applyBorder="1" applyAlignment="1">
      <alignment horizontal="center" vertical="center"/>
    </xf>
    <xf numFmtId="1" fontId="69" fillId="4" borderId="115" xfId="0" applyNumberFormat="1" applyFont="1" applyFill="1" applyBorder="1" applyAlignment="1">
      <alignment horizontal="center" vertical="center"/>
    </xf>
    <xf numFmtId="1" fontId="69" fillId="4" borderId="14" xfId="0" applyNumberFormat="1" applyFont="1" applyFill="1" applyBorder="1" applyAlignment="1">
      <alignment horizontal="center" vertical="center"/>
    </xf>
    <xf numFmtId="0" fontId="26" fillId="0" borderId="7" xfId="0" applyFont="1" applyBorder="1" applyAlignment="1">
      <alignment vertical="center"/>
    </xf>
    <xf numFmtId="0" fontId="26" fillId="0" borderId="8" xfId="0" applyFont="1" applyBorder="1" applyAlignment="1"/>
    <xf numFmtId="0" fontId="26" fillId="0" borderId="142" xfId="0" applyFont="1" applyBorder="1" applyAlignment="1"/>
    <xf numFmtId="1" fontId="69" fillId="4" borderId="8" xfId="0" applyNumberFormat="1" applyFont="1" applyFill="1" applyBorder="1" applyAlignment="1">
      <alignment horizontal="center" vertical="center"/>
    </xf>
    <xf numFmtId="1" fontId="69" fillId="4" borderId="143" xfId="0" applyNumberFormat="1" applyFont="1" applyFill="1" applyBorder="1" applyAlignment="1">
      <alignment horizontal="center" vertical="center"/>
    </xf>
    <xf numFmtId="2" fontId="26" fillId="0" borderId="8" xfId="0" applyNumberFormat="1" applyFont="1" applyBorder="1" applyAlignment="1">
      <alignment horizontal="center" vertical="center"/>
    </xf>
    <xf numFmtId="1" fontId="69" fillId="4" borderId="7" xfId="0" applyNumberFormat="1" applyFont="1" applyFill="1" applyBorder="1" applyAlignment="1">
      <alignment horizontal="center" vertical="center"/>
    </xf>
    <xf numFmtId="1" fontId="69" fillId="4" borderId="118" xfId="0" applyNumberFormat="1" applyFont="1" applyFill="1" applyBorder="1" applyAlignment="1">
      <alignment horizontal="center" vertical="center"/>
    </xf>
    <xf numFmtId="1" fontId="69" fillId="4" borderId="142" xfId="0" applyNumberFormat="1" applyFont="1" applyFill="1" applyBorder="1" applyAlignment="1">
      <alignment horizontal="center" vertical="center"/>
    </xf>
    <xf numFmtId="0" fontId="51" fillId="0" borderId="0" xfId="0" applyFont="1" applyBorder="1"/>
    <xf numFmtId="213" fontId="51" fillId="8" borderId="3" xfId="0" applyNumberFormat="1" applyFont="1" applyFill="1" applyBorder="1" applyAlignment="1" applyProtection="1">
      <alignment horizontal="center" vertical="center"/>
      <protection locked="0"/>
    </xf>
    <xf numFmtId="0" fontId="35" fillId="0" borderId="0" xfId="17" applyFont="1" applyFill="1" applyBorder="1" applyAlignment="1" applyProtection="1">
      <alignment horizontal="right" vertical="center"/>
    </xf>
    <xf numFmtId="2" fontId="46" fillId="0" borderId="106" xfId="0" applyNumberFormat="1" applyFont="1" applyFill="1" applyBorder="1" applyAlignment="1">
      <alignment horizontal="center" vertical="center"/>
    </xf>
    <xf numFmtId="2" fontId="39" fillId="0" borderId="136" xfId="0" applyNumberFormat="1" applyFont="1" applyFill="1" applyBorder="1" applyAlignment="1">
      <alignment horizontal="center" vertical="center"/>
    </xf>
    <xf numFmtId="1" fontId="69" fillId="0" borderId="136" xfId="0" applyNumberFormat="1" applyFont="1" applyFill="1" applyBorder="1" applyAlignment="1">
      <alignment horizontal="center" vertical="center"/>
    </xf>
    <xf numFmtId="3" fontId="23" fillId="0" borderId="136" xfId="0" applyNumberFormat="1" applyFont="1" applyFill="1" applyBorder="1" applyAlignment="1">
      <alignment horizontal="center" vertical="center"/>
    </xf>
    <xf numFmtId="3" fontId="69" fillId="0" borderId="136" xfId="0" applyNumberFormat="1" applyFont="1" applyFill="1" applyBorder="1" applyAlignment="1">
      <alignment horizontal="center" vertical="center"/>
    </xf>
    <xf numFmtId="3" fontId="39" fillId="0" borderId="136" xfId="0" applyNumberFormat="1" applyFont="1" applyFill="1" applyBorder="1" applyAlignment="1">
      <alignment horizontal="center" vertical="center"/>
    </xf>
    <xf numFmtId="2" fontId="23" fillId="0" borderId="136" xfId="0" applyNumberFormat="1" applyFont="1" applyFill="1" applyBorder="1" applyAlignment="1">
      <alignment horizontal="center" vertical="center"/>
    </xf>
    <xf numFmtId="166" fontId="23" fillId="0" borderId="136" xfId="0" applyNumberFormat="1" applyFont="1" applyFill="1" applyBorder="1" applyAlignment="1">
      <alignment horizontal="center" vertical="center"/>
    </xf>
    <xf numFmtId="3" fontId="24" fillId="0" borderId="136" xfId="0" applyNumberFormat="1" applyFont="1" applyFill="1" applyBorder="1" applyAlignment="1">
      <alignment horizontal="center" vertical="center"/>
    </xf>
    <xf numFmtId="2" fontId="69" fillId="0" borderId="136" xfId="0" applyNumberFormat="1" applyFont="1" applyFill="1" applyBorder="1" applyAlignment="1">
      <alignment horizontal="center" vertical="center"/>
    </xf>
    <xf numFmtId="1" fontId="69" fillId="0" borderId="139" xfId="0" applyNumberFormat="1" applyFont="1" applyFill="1" applyBorder="1" applyAlignment="1">
      <alignment horizontal="center" vertical="center"/>
    </xf>
    <xf numFmtId="0" fontId="68" fillId="4" borderId="83" xfId="0" applyFont="1" applyFill="1" applyBorder="1" applyAlignment="1">
      <alignment horizontal="left" vertical="center"/>
    </xf>
    <xf numFmtId="0" fontId="68" fillId="4" borderId="85" xfId="0" applyFont="1" applyFill="1" applyBorder="1" applyAlignment="1">
      <alignment horizontal="right" vertical="center"/>
    </xf>
    <xf numFmtId="2" fontId="46" fillId="4" borderId="85" xfId="0" applyNumberFormat="1" applyFont="1" applyFill="1" applyBorder="1" applyAlignment="1">
      <alignment horizontal="centerContinuous" vertical="center"/>
    </xf>
    <xf numFmtId="2" fontId="46" fillId="4" borderId="86" xfId="0" applyNumberFormat="1" applyFont="1" applyFill="1" applyBorder="1" applyAlignment="1">
      <alignment horizontal="centerContinuous" vertical="center"/>
    </xf>
    <xf numFmtId="0" fontId="46" fillId="4" borderId="83" xfId="0" applyFont="1" applyFill="1" applyBorder="1" applyAlignment="1">
      <alignment vertical="center" wrapText="1"/>
    </xf>
    <xf numFmtId="0" fontId="46" fillId="4" borderId="85" xfId="0" applyFont="1" applyFill="1" applyBorder="1" applyAlignment="1">
      <alignment vertical="center" wrapText="1"/>
    </xf>
    <xf numFmtId="0" fontId="24" fillId="4" borderId="86" xfId="0" applyFont="1" applyFill="1" applyBorder="1" applyAlignment="1">
      <alignment horizontal="right" vertical="center" wrapText="1"/>
    </xf>
    <xf numFmtId="2" fontId="26" fillId="0" borderId="102" xfId="0" applyNumberFormat="1" applyFont="1" applyBorder="1" applyAlignment="1">
      <alignment horizontal="left" vertical="center"/>
    </xf>
    <xf numFmtId="2" fontId="44" fillId="0" borderId="62" xfId="0" applyNumberFormat="1" applyFont="1" applyBorder="1" applyAlignment="1">
      <alignment horizontal="center" vertical="center"/>
    </xf>
    <xf numFmtId="2" fontId="44" fillId="0" borderId="62" xfId="0" applyNumberFormat="1" applyFont="1" applyBorder="1" applyAlignment="1">
      <alignment vertical="center"/>
    </xf>
    <xf numFmtId="2" fontId="44" fillId="0" borderId="66" xfId="0" applyNumberFormat="1" applyFont="1" applyBorder="1" applyAlignment="1">
      <alignment vertical="center"/>
    </xf>
    <xf numFmtId="0" fontId="26" fillId="0" borderId="118" xfId="0" applyFont="1" applyBorder="1" applyAlignment="1">
      <alignment vertical="center"/>
    </xf>
    <xf numFmtId="0" fontId="26" fillId="0" borderId="64" xfId="0" applyFont="1" applyBorder="1" applyAlignment="1"/>
    <xf numFmtId="2" fontId="26" fillId="0" borderId="65" xfId="0" applyNumberFormat="1" applyFont="1" applyBorder="1" applyAlignment="1">
      <alignment horizontal="left" vertical="center"/>
    </xf>
    <xf numFmtId="2" fontId="44" fillId="0" borderId="66" xfId="0" applyNumberFormat="1" applyFont="1" applyBorder="1" applyAlignment="1">
      <alignment horizontal="center" vertical="center"/>
    </xf>
    <xf numFmtId="0" fontId="24" fillId="4" borderId="86" xfId="0" applyFont="1" applyFill="1" applyBorder="1" applyAlignment="1">
      <alignment horizontal="right"/>
    </xf>
    <xf numFmtId="176" fontId="33" fillId="3" borderId="44" xfId="17" applyNumberFormat="1" applyFont="1" applyFill="1" applyBorder="1" applyAlignment="1" applyProtection="1">
      <alignment vertical="center"/>
      <protection locked="0"/>
    </xf>
    <xf numFmtId="176" fontId="33" fillId="3" borderId="5" xfId="17" applyNumberFormat="1" applyFont="1" applyFill="1" applyBorder="1" applyAlignment="1" applyProtection="1">
      <alignment horizontal="right" vertical="center"/>
      <protection locked="0"/>
    </xf>
    <xf numFmtId="176" fontId="33" fillId="3" borderId="22" xfId="17" applyNumberFormat="1" applyFont="1" applyFill="1" applyBorder="1" applyAlignment="1" applyProtection="1">
      <alignment vertical="center"/>
      <protection locked="0"/>
    </xf>
    <xf numFmtId="166" fontId="23" fillId="0" borderId="122" xfId="0" applyNumberFormat="1" applyFont="1" applyBorder="1" applyAlignment="1">
      <alignment horizontal="center" vertical="center"/>
    </xf>
    <xf numFmtId="166" fontId="23" fillId="0" borderId="109" xfId="0" applyNumberFormat="1" applyFont="1" applyBorder="1" applyAlignment="1">
      <alignment horizontal="center" vertical="center"/>
    </xf>
    <xf numFmtId="166" fontId="23" fillId="0" borderId="110" xfId="0" applyNumberFormat="1" applyFont="1" applyBorder="1" applyAlignment="1">
      <alignment horizontal="center" vertical="center"/>
    </xf>
    <xf numFmtId="166" fontId="23" fillId="0" borderId="107" xfId="0" applyNumberFormat="1" applyFont="1" applyBorder="1" applyAlignment="1">
      <alignment horizontal="center" vertical="center"/>
    </xf>
    <xf numFmtId="166" fontId="23" fillId="0" borderId="98" xfId="0" applyNumberFormat="1" applyFont="1" applyBorder="1" applyAlignment="1">
      <alignment horizontal="center" vertical="center"/>
    </xf>
    <xf numFmtId="166" fontId="23" fillId="0" borderId="108" xfId="0" applyNumberFormat="1" applyFont="1" applyBorder="1" applyAlignment="1">
      <alignment horizontal="center" vertical="center"/>
    </xf>
    <xf numFmtId="166" fontId="23" fillId="0" borderId="99" xfId="0" applyNumberFormat="1" applyFont="1" applyBorder="1" applyAlignment="1">
      <alignment horizontal="center" vertical="center"/>
    </xf>
    <xf numFmtId="166" fontId="23" fillId="0" borderId="97" xfId="0" applyNumberFormat="1" applyFont="1" applyBorder="1" applyAlignment="1">
      <alignment horizontal="center" vertical="center"/>
    </xf>
    <xf numFmtId="166" fontId="23" fillId="0" borderId="100" xfId="0" applyNumberFormat="1" applyFont="1" applyBorder="1" applyAlignment="1">
      <alignment horizontal="center" vertical="center"/>
    </xf>
    <xf numFmtId="1" fontId="23" fillId="0" borderId="31" xfId="0" applyNumberFormat="1" applyFont="1" applyBorder="1" applyAlignment="1">
      <alignment horizontal="center" vertical="center"/>
    </xf>
    <xf numFmtId="1" fontId="23" fillId="0" borderId="32" xfId="0" applyNumberFormat="1" applyFont="1" applyBorder="1" applyAlignment="1">
      <alignment horizontal="center" vertical="center"/>
    </xf>
    <xf numFmtId="1" fontId="23" fillId="0" borderId="138" xfId="0" applyNumberFormat="1" applyFont="1" applyBorder="1" applyAlignment="1">
      <alignment horizontal="center" vertical="center"/>
    </xf>
    <xf numFmtId="1" fontId="23" fillId="0" borderId="12" xfId="0" applyNumberFormat="1" applyFont="1" applyBorder="1" applyAlignment="1">
      <alignment horizontal="center" vertical="center"/>
    </xf>
    <xf numFmtId="1" fontId="23" fillId="0" borderId="135" xfId="0" applyNumberFormat="1" applyFont="1" applyBorder="1" applyAlignment="1">
      <alignment horizontal="center" vertical="center"/>
    </xf>
    <xf numFmtId="1" fontId="23" fillId="0" borderId="134" xfId="0" applyNumberFormat="1" applyFont="1" applyBorder="1" applyAlignment="1">
      <alignment horizontal="center" vertical="center"/>
    </xf>
    <xf numFmtId="0" fontId="26" fillId="7" borderId="83" xfId="0" applyFont="1" applyFill="1" applyBorder="1" applyAlignment="1">
      <alignment horizontal="left" vertical="center"/>
    </xf>
    <xf numFmtId="0" fontId="26" fillId="7" borderId="85" xfId="0" applyFont="1" applyFill="1" applyBorder="1" applyAlignment="1">
      <alignment horizontal="left" vertical="center"/>
    </xf>
    <xf numFmtId="0" fontId="26" fillId="0" borderId="128" xfId="0" applyFont="1" applyBorder="1" applyAlignment="1">
      <alignment horizontal="right"/>
    </xf>
    <xf numFmtId="0" fontId="113" fillId="0" borderId="0" xfId="0" applyFont="1" applyBorder="1" applyAlignment="1">
      <alignment vertical="center"/>
    </xf>
    <xf numFmtId="0" fontId="113" fillId="4" borderId="135" xfId="17" applyFont="1" applyFill="1" applyBorder="1" applyAlignment="1" applyProtection="1">
      <alignment vertical="center"/>
    </xf>
    <xf numFmtId="0" fontId="113" fillId="4" borderId="31" xfId="17" applyFont="1" applyFill="1" applyBorder="1" applyAlignment="1" applyProtection="1">
      <alignment vertical="center"/>
    </xf>
    <xf numFmtId="0" fontId="113" fillId="4" borderId="134" xfId="17" applyFont="1" applyFill="1" applyBorder="1" applyAlignment="1" applyProtection="1">
      <alignment horizontal="right" vertical="center"/>
    </xf>
    <xf numFmtId="3" fontId="113" fillId="0" borderId="31" xfId="0" applyNumberFormat="1" applyFont="1" applyBorder="1" applyAlignment="1">
      <alignment horizontal="center" vertical="center"/>
    </xf>
    <xf numFmtId="3" fontId="113" fillId="0" borderId="3" xfId="0" applyNumberFormat="1" applyFont="1" applyBorder="1" applyAlignment="1">
      <alignment horizontal="center" vertical="center"/>
    </xf>
    <xf numFmtId="3" fontId="113" fillId="0" borderId="73" xfId="0" applyNumberFormat="1" applyFont="1" applyBorder="1" applyAlignment="1">
      <alignment horizontal="center" vertical="center"/>
    </xf>
    <xf numFmtId="3" fontId="113" fillId="0" borderId="74" xfId="0" applyNumberFormat="1" applyFont="1" applyBorder="1" applyAlignment="1">
      <alignment horizontal="center" vertical="center"/>
    </xf>
    <xf numFmtId="3" fontId="113" fillId="0" borderId="32" xfId="0" applyNumberFormat="1" applyFont="1" applyBorder="1" applyAlignment="1">
      <alignment horizontal="center" vertical="center"/>
    </xf>
    <xf numFmtId="3" fontId="113" fillId="0" borderId="138" xfId="0" applyNumberFormat="1" applyFont="1" applyBorder="1" applyAlignment="1">
      <alignment horizontal="center" vertical="center"/>
    </xf>
    <xf numFmtId="3" fontId="113" fillId="0" borderId="136" xfId="0" applyNumberFormat="1" applyFont="1" applyFill="1" applyBorder="1" applyAlignment="1">
      <alignment horizontal="center" vertical="center"/>
    </xf>
    <xf numFmtId="3" fontId="113" fillId="0" borderId="12" xfId="0" applyNumberFormat="1" applyFont="1" applyBorder="1" applyAlignment="1">
      <alignment horizontal="center" vertical="center"/>
    </xf>
    <xf numFmtId="3" fontId="113" fillId="0" borderId="135" xfId="0" applyNumberFormat="1" applyFont="1" applyBorder="1" applyAlignment="1">
      <alignment horizontal="center" vertical="center"/>
    </xf>
    <xf numFmtId="3" fontId="113" fillId="0" borderId="134" xfId="0" applyNumberFormat="1" applyFont="1" applyBorder="1" applyAlignment="1">
      <alignment horizontal="center" vertical="center"/>
    </xf>
    <xf numFmtId="0" fontId="124" fillId="0" borderId="0" xfId="0" applyFont="1"/>
    <xf numFmtId="0" fontId="113" fillId="4" borderId="101" xfId="17" applyFont="1" applyFill="1" applyBorder="1" applyAlignment="1" applyProtection="1">
      <alignment vertical="center"/>
    </xf>
    <xf numFmtId="0" fontId="113" fillId="4" borderId="124" xfId="17" applyFont="1" applyFill="1" applyBorder="1" applyAlignment="1" applyProtection="1">
      <alignment vertical="center"/>
    </xf>
    <xf numFmtId="0" fontId="113" fillId="4" borderId="140" xfId="17" applyFont="1" applyFill="1" applyBorder="1" applyAlignment="1" applyProtection="1">
      <alignment horizontal="right" vertical="center"/>
    </xf>
    <xf numFmtId="3" fontId="113" fillId="0" borderId="124" xfId="0" applyNumberFormat="1" applyFont="1" applyBorder="1" applyAlignment="1">
      <alignment horizontal="center" vertical="center"/>
    </xf>
    <xf numFmtId="3" fontId="113" fillId="0" borderId="120" xfId="0" applyNumberFormat="1" applyFont="1" applyBorder="1" applyAlignment="1">
      <alignment horizontal="center" vertical="center"/>
    </xf>
    <xf numFmtId="3" fontId="113" fillId="0" borderId="121" xfId="0" applyNumberFormat="1" applyFont="1" applyBorder="1" applyAlignment="1">
      <alignment horizontal="center" vertical="center"/>
    </xf>
    <xf numFmtId="3" fontId="113" fillId="0" borderId="144" xfId="0" applyNumberFormat="1" applyFont="1" applyBorder="1" applyAlignment="1">
      <alignment horizontal="center" vertical="center"/>
    </xf>
    <xf numFmtId="3" fontId="113" fillId="0" borderId="145" xfId="0" applyNumberFormat="1" applyFont="1" applyBorder="1" applyAlignment="1">
      <alignment horizontal="center" vertical="center"/>
    </xf>
    <xf numFmtId="3" fontId="113" fillId="0" borderId="146" xfId="0" applyNumberFormat="1" applyFont="1" applyBorder="1" applyAlignment="1">
      <alignment horizontal="center" vertical="center"/>
    </xf>
    <xf numFmtId="3" fontId="113" fillId="0" borderId="123" xfId="0" applyNumberFormat="1" applyFont="1" applyBorder="1" applyAlignment="1">
      <alignment horizontal="center" vertical="center"/>
    </xf>
    <xf numFmtId="3" fontId="113" fillId="0" borderId="101" xfId="0" applyNumberFormat="1" applyFont="1" applyBorder="1" applyAlignment="1">
      <alignment horizontal="center" vertical="center"/>
    </xf>
    <xf numFmtId="3" fontId="113" fillId="0" borderId="140" xfId="0" applyNumberFormat="1" applyFont="1" applyBorder="1" applyAlignment="1">
      <alignment horizontal="center" vertical="center"/>
    </xf>
    <xf numFmtId="0" fontId="113" fillId="0" borderId="0" xfId="0" applyFont="1" applyAlignment="1">
      <alignment vertical="center"/>
    </xf>
    <xf numFmtId="0" fontId="113" fillId="4" borderId="63" xfId="17" applyFont="1" applyFill="1" applyBorder="1" applyAlignment="1" applyProtection="1">
      <alignment vertical="center"/>
    </xf>
    <xf numFmtId="0" fontId="113" fillId="4" borderId="0" xfId="17" applyFont="1" applyFill="1" applyBorder="1" applyAlignment="1" applyProtection="1">
      <alignment vertical="center"/>
    </xf>
    <xf numFmtId="0" fontId="113" fillId="4" borderId="64" xfId="0" applyFont="1" applyFill="1" applyBorder="1" applyAlignment="1">
      <alignment horizontal="right" vertical="center"/>
    </xf>
    <xf numFmtId="3" fontId="113" fillId="4" borderId="0" xfId="0" applyNumberFormat="1" applyFont="1" applyFill="1" applyBorder="1" applyAlignment="1">
      <alignment horizontal="center" vertical="center"/>
    </xf>
    <xf numFmtId="3" fontId="113" fillId="4" borderId="9" xfId="0" applyNumberFormat="1" applyFont="1" applyFill="1" applyBorder="1" applyAlignment="1">
      <alignment horizontal="center" vertical="center"/>
    </xf>
    <xf numFmtId="3" fontId="113" fillId="4" borderId="67" xfId="0" applyNumberFormat="1" applyFont="1" applyFill="1" applyBorder="1" applyAlignment="1">
      <alignment horizontal="center" vertical="center"/>
    </xf>
    <xf numFmtId="3" fontId="113" fillId="4" borderId="68" xfId="0" applyNumberFormat="1" applyFont="1" applyFill="1" applyBorder="1" applyAlignment="1">
      <alignment horizontal="center" vertical="center"/>
    </xf>
    <xf numFmtId="3" fontId="113" fillId="4" borderId="11" xfId="0" applyNumberFormat="1" applyFont="1" applyFill="1" applyBorder="1" applyAlignment="1">
      <alignment horizontal="center" vertical="center"/>
    </xf>
    <xf numFmtId="3" fontId="113" fillId="4" borderId="136" xfId="0" applyNumberFormat="1" applyFont="1" applyFill="1" applyBorder="1" applyAlignment="1">
      <alignment horizontal="center" vertical="center"/>
    </xf>
    <xf numFmtId="3" fontId="113" fillId="4" borderId="5" xfId="0" applyNumberFormat="1" applyFont="1" applyFill="1" applyBorder="1" applyAlignment="1">
      <alignment horizontal="center" vertical="center"/>
    </xf>
    <xf numFmtId="3" fontId="113" fillId="4" borderId="63" xfId="0" applyNumberFormat="1" applyFont="1" applyFill="1" applyBorder="1" applyAlignment="1">
      <alignment horizontal="center" vertical="center"/>
    </xf>
    <xf numFmtId="3" fontId="113" fillId="4" borderId="64" xfId="0" applyNumberFormat="1" applyFont="1" applyFill="1" applyBorder="1" applyAlignment="1">
      <alignment horizontal="center" vertical="center"/>
    </xf>
    <xf numFmtId="0" fontId="40" fillId="4" borderId="64" xfId="17" applyFont="1" applyFill="1" applyBorder="1" applyAlignment="1" applyProtection="1">
      <alignment horizontal="right" vertical="center"/>
    </xf>
    <xf numFmtId="49" fontId="39" fillId="4" borderId="63" xfId="17" applyNumberFormat="1" applyFont="1" applyFill="1" applyBorder="1" applyAlignment="1" applyProtection="1">
      <alignment vertical="center"/>
    </xf>
    <xf numFmtId="49" fontId="39" fillId="4" borderId="0" xfId="17" applyNumberFormat="1" applyFont="1" applyFill="1" applyBorder="1" applyAlignment="1" applyProtection="1">
      <alignment vertical="center"/>
    </xf>
    <xf numFmtId="166" fontId="40" fillId="0" borderId="9" xfId="0" applyNumberFormat="1" applyFont="1" applyBorder="1" applyAlignment="1">
      <alignment horizontal="center" vertical="center"/>
    </xf>
    <xf numFmtId="166" fontId="40" fillId="0" borderId="67" xfId="0" applyNumberFormat="1" applyFont="1" applyBorder="1" applyAlignment="1">
      <alignment horizontal="center" vertical="center"/>
    </xf>
    <xf numFmtId="166" fontId="40" fillId="0" borderId="68" xfId="0" applyNumberFormat="1" applyFont="1" applyBorder="1" applyAlignment="1">
      <alignment horizontal="center" vertical="center"/>
    </xf>
    <xf numFmtId="166" fontId="40" fillId="0" borderId="11" xfId="0" applyNumberFormat="1" applyFont="1" applyBorder="1" applyAlignment="1">
      <alignment horizontal="center" vertical="center"/>
    </xf>
    <xf numFmtId="166" fontId="40" fillId="0" borderId="0" xfId="0" applyNumberFormat="1" applyFont="1" applyBorder="1" applyAlignment="1">
      <alignment horizontal="center" vertical="center"/>
    </xf>
    <xf numFmtId="166" fontId="40" fillId="0" borderId="136" xfId="0" applyNumberFormat="1" applyFont="1" applyBorder="1" applyAlignment="1">
      <alignment horizontal="center" vertical="center"/>
    </xf>
    <xf numFmtId="166" fontId="40" fillId="0" borderId="136" xfId="0" applyNumberFormat="1" applyFont="1" applyFill="1" applyBorder="1" applyAlignment="1">
      <alignment horizontal="center" vertical="center"/>
    </xf>
    <xf numFmtId="166" fontId="40" fillId="0" borderId="5" xfId="0" applyNumberFormat="1" applyFont="1" applyBorder="1" applyAlignment="1">
      <alignment horizontal="center" vertical="center"/>
    </xf>
    <xf numFmtId="166" fontId="40" fillId="0" borderId="63" xfId="0" applyNumberFormat="1" applyFont="1" applyBorder="1" applyAlignment="1">
      <alignment horizontal="center" vertical="center"/>
    </xf>
    <xf numFmtId="166" fontId="40" fillId="0" borderId="64" xfId="0" applyNumberFormat="1" applyFont="1" applyBorder="1" applyAlignment="1">
      <alignment horizontal="center" vertical="center"/>
    </xf>
    <xf numFmtId="0" fontId="0" fillId="8" borderId="2" xfId="0" applyFill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53" fillId="7" borderId="0" xfId="0" applyFont="1" applyFill="1" applyBorder="1" applyAlignment="1" applyProtection="1">
      <alignment horizontal="left" vertical="top"/>
    </xf>
    <xf numFmtId="0" fontId="56" fillId="7" borderId="0" xfId="0" applyFont="1" applyFill="1" applyBorder="1" applyAlignment="1" applyProtection="1">
      <alignment horizontal="left" vertical="top"/>
    </xf>
    <xf numFmtId="0" fontId="24" fillId="7" borderId="62" xfId="0" applyFont="1" applyFill="1" applyBorder="1" applyAlignment="1">
      <alignment horizontal="center" vertical="center"/>
    </xf>
    <xf numFmtId="0" fontId="33" fillId="0" borderId="85" xfId="17" applyFont="1" applyBorder="1" applyAlignment="1" applyProtection="1">
      <alignment vertical="center"/>
    </xf>
    <xf numFmtId="0" fontId="33" fillId="0" borderId="116" xfId="0" applyFont="1" applyBorder="1" applyAlignment="1">
      <alignment horizontal="right" vertical="center"/>
    </xf>
    <xf numFmtId="0" fontId="33" fillId="4" borderId="116" xfId="0" applyFont="1" applyFill="1" applyBorder="1" applyAlignment="1">
      <alignment horizontal="right" vertical="center"/>
    </xf>
    <xf numFmtId="0" fontId="33" fillId="4" borderId="11" xfId="0" applyFont="1" applyFill="1" applyBorder="1" applyAlignment="1">
      <alignment horizontal="right" vertical="center"/>
    </xf>
    <xf numFmtId="0" fontId="33" fillId="4" borderId="0" xfId="0" applyFont="1" applyFill="1" applyBorder="1" applyAlignment="1">
      <alignment horizontal="right" vertical="center"/>
    </xf>
    <xf numFmtId="0" fontId="33" fillId="7" borderId="25" xfId="17" applyFont="1" applyFill="1" applyBorder="1" applyAlignment="1" applyProtection="1">
      <alignment horizontal="right" vertical="center"/>
    </xf>
    <xf numFmtId="0" fontId="33" fillId="0" borderId="0" xfId="0" applyFont="1" applyProtection="1">
      <protection locked="0"/>
    </xf>
    <xf numFmtId="170" fontId="30" fillId="0" borderId="93" xfId="0" applyNumberFormat="1" applyFont="1" applyFill="1" applyBorder="1" applyAlignment="1">
      <alignment horizontal="right" vertical="center"/>
    </xf>
    <xf numFmtId="219" fontId="33" fillId="3" borderId="4" xfId="0" applyNumberFormat="1" applyFont="1" applyFill="1" applyBorder="1" applyAlignment="1" applyProtection="1">
      <alignment horizontal="right" vertical="center"/>
      <protection locked="0"/>
    </xf>
    <xf numFmtId="0" fontId="26" fillId="4" borderId="66" xfId="0" applyFont="1" applyFill="1" applyBorder="1" applyAlignment="1">
      <alignment horizontal="right" vertical="center"/>
    </xf>
    <xf numFmtId="0" fontId="24" fillId="4" borderId="70" xfId="0" applyFont="1" applyFill="1" applyBorder="1" applyAlignment="1">
      <alignment horizontal="right" vertical="center"/>
    </xf>
    <xf numFmtId="166" fontId="39" fillId="0" borderId="69" xfId="0" applyNumberFormat="1" applyFont="1" applyBorder="1" applyAlignment="1">
      <alignment horizontal="center" vertical="center"/>
    </xf>
    <xf numFmtId="166" fontId="39" fillId="0" borderId="53" xfId="0" applyNumberFormat="1" applyFont="1" applyBorder="1" applyAlignment="1">
      <alignment horizontal="center" vertical="center"/>
    </xf>
    <xf numFmtId="166" fontId="39" fillId="0" borderId="71" xfId="0" applyNumberFormat="1" applyFont="1" applyBorder="1" applyAlignment="1">
      <alignment horizontal="center" vertical="center"/>
    </xf>
    <xf numFmtId="166" fontId="39" fillId="0" borderId="25" xfId="0" applyNumberFormat="1" applyFont="1" applyBorder="1" applyAlignment="1">
      <alignment horizontal="center" vertical="center"/>
    </xf>
    <xf numFmtId="166" fontId="39" fillId="0" borderId="70" xfId="0" applyNumberFormat="1" applyFont="1" applyBorder="1" applyAlignment="1">
      <alignment horizontal="center" vertical="center"/>
    </xf>
    <xf numFmtId="166" fontId="39" fillId="0" borderId="137" xfId="0" applyNumberFormat="1" applyFont="1" applyBorder="1" applyAlignment="1">
      <alignment horizontal="center" vertical="center"/>
    </xf>
    <xf numFmtId="1" fontId="23" fillId="4" borderId="65" xfId="0" applyNumberFormat="1" applyFont="1" applyFill="1" applyBorder="1" applyAlignment="1">
      <alignment vertical="center"/>
    </xf>
    <xf numFmtId="1" fontId="23" fillId="4" borderId="63" xfId="0" applyNumberFormat="1" applyFont="1" applyFill="1" applyBorder="1" applyAlignment="1">
      <alignment vertical="center"/>
    </xf>
    <xf numFmtId="0" fontId="26" fillId="0" borderId="68" xfId="0" applyFont="1" applyBorder="1"/>
    <xf numFmtId="0" fontId="26" fillId="0" borderId="9" xfId="0" applyFont="1" applyBorder="1"/>
    <xf numFmtId="3" fontId="26" fillId="0" borderId="9" xfId="0" applyNumberFormat="1" applyFont="1" applyBorder="1"/>
    <xf numFmtId="3" fontId="26" fillId="0" borderId="67" xfId="0" applyNumberFormat="1" applyFont="1" applyBorder="1"/>
    <xf numFmtId="220" fontId="26" fillId="0" borderId="9" xfId="0" applyNumberFormat="1" applyFont="1" applyBorder="1"/>
    <xf numFmtId="220" fontId="26" fillId="0" borderId="67" xfId="0" applyNumberFormat="1" applyFont="1" applyBorder="1"/>
    <xf numFmtId="166" fontId="26" fillId="0" borderId="9" xfId="0" applyNumberFormat="1" applyFont="1" applyBorder="1"/>
    <xf numFmtId="166" fontId="26" fillId="0" borderId="67" xfId="0" applyNumberFormat="1" applyFont="1" applyBorder="1"/>
    <xf numFmtId="0" fontId="24" fillId="5" borderId="96" xfId="0" applyFont="1" applyFill="1" applyBorder="1"/>
    <xf numFmtId="0" fontId="24" fillId="5" borderId="93" xfId="0" applyFont="1" applyFill="1" applyBorder="1"/>
    <xf numFmtId="0" fontId="24" fillId="5" borderId="93" xfId="0" applyFont="1" applyFill="1" applyBorder="1" applyAlignment="1">
      <alignment horizontal="center"/>
    </xf>
    <xf numFmtId="1" fontId="24" fillId="5" borderId="93" xfId="0" applyNumberFormat="1" applyFont="1" applyFill="1" applyBorder="1" applyAlignment="1">
      <alignment horizontal="center"/>
    </xf>
    <xf numFmtId="0" fontId="24" fillId="5" borderId="94" xfId="0" applyFont="1" applyFill="1" applyBorder="1" applyAlignment="1">
      <alignment horizontal="center"/>
    </xf>
    <xf numFmtId="0" fontId="24" fillId="0" borderId="68" xfId="0" applyFont="1" applyBorder="1"/>
    <xf numFmtId="0" fontId="24" fillId="0" borderId="9" xfId="0" applyFont="1" applyBorder="1"/>
    <xf numFmtId="3" fontId="24" fillId="0" borderId="9" xfId="0" applyNumberFormat="1" applyFont="1" applyBorder="1"/>
    <xf numFmtId="3" fontId="24" fillId="0" borderId="67" xfId="0" applyNumberFormat="1" applyFont="1" applyBorder="1"/>
    <xf numFmtId="0" fontId="24" fillId="5" borderId="68" xfId="0" applyFont="1" applyFill="1" applyBorder="1"/>
    <xf numFmtId="0" fontId="24" fillId="5" borderId="9" xfId="0" applyFont="1" applyFill="1" applyBorder="1"/>
    <xf numFmtId="3" fontId="24" fillId="5" borderId="9" xfId="0" applyNumberFormat="1" applyFont="1" applyFill="1" applyBorder="1"/>
    <xf numFmtId="3" fontId="24" fillId="5" borderId="67" xfId="0" applyNumberFormat="1" applyFont="1" applyFill="1" applyBorder="1"/>
    <xf numFmtId="0" fontId="24" fillId="5" borderId="111" xfId="0" applyFont="1" applyFill="1" applyBorder="1"/>
    <xf numFmtId="0" fontId="24" fillId="5" borderId="95" xfId="0" applyFont="1" applyFill="1" applyBorder="1"/>
    <xf numFmtId="2" fontId="24" fillId="5" borderId="95" xfId="0" applyNumberFormat="1" applyFont="1" applyFill="1" applyBorder="1"/>
    <xf numFmtId="2" fontId="24" fillId="5" borderId="127" xfId="0" applyNumberFormat="1" applyFont="1" applyFill="1" applyBorder="1"/>
    <xf numFmtId="0" fontId="24" fillId="0" borderId="69" xfId="0" applyFont="1" applyBorder="1"/>
    <xf numFmtId="0" fontId="24" fillId="0" borderId="53" xfId="0" applyFont="1" applyBorder="1"/>
    <xf numFmtId="3" fontId="24" fillId="0" borderId="53" xfId="0" applyNumberFormat="1" applyFont="1" applyBorder="1"/>
    <xf numFmtId="3" fontId="24" fillId="0" borderId="71" xfId="0" applyNumberFormat="1" applyFont="1" applyBorder="1"/>
    <xf numFmtId="0" fontId="24" fillId="0" borderId="74" xfId="0" applyFont="1" applyBorder="1"/>
    <xf numFmtId="0" fontId="24" fillId="0" borderId="3" xfId="0" applyFont="1" applyBorder="1"/>
    <xf numFmtId="3" fontId="24" fillId="0" borderId="3" xfId="0" applyNumberFormat="1" applyFont="1" applyBorder="1"/>
    <xf numFmtId="3" fontId="24" fillId="0" borderId="73" xfId="0" applyNumberFormat="1" applyFont="1" applyBorder="1"/>
    <xf numFmtId="0" fontId="26" fillId="0" borderId="144" xfId="0" applyFont="1" applyBorder="1"/>
    <xf numFmtId="0" fontId="26" fillId="0" borderId="120" xfId="0" applyFont="1" applyBorder="1"/>
    <xf numFmtId="3" fontId="26" fillId="0" borderId="120" xfId="0" applyNumberFormat="1" applyFont="1" applyBorder="1"/>
    <xf numFmtId="3" fontId="26" fillId="0" borderId="121" xfId="0" applyNumberFormat="1" applyFont="1" applyBorder="1"/>
    <xf numFmtId="2" fontId="24" fillId="0" borderId="9" xfId="0" applyNumberFormat="1" applyFont="1" applyBorder="1"/>
    <xf numFmtId="2" fontId="24" fillId="0" borderId="67" xfId="0" applyNumberFormat="1" applyFont="1" applyBorder="1"/>
    <xf numFmtId="0" fontId="0" fillId="4" borderId="103" xfId="0" applyFill="1" applyBorder="1"/>
    <xf numFmtId="0" fontId="0" fillId="4" borderId="86" xfId="0" applyFill="1" applyBorder="1"/>
    <xf numFmtId="190" fontId="0" fillId="0" borderId="0" xfId="0" applyNumberFormat="1" applyBorder="1" applyAlignment="1">
      <alignment vertical="center"/>
    </xf>
    <xf numFmtId="0" fontId="40" fillId="7" borderId="0" xfId="0" applyFont="1" applyFill="1" applyAlignment="1">
      <alignment vertical="center"/>
    </xf>
    <xf numFmtId="0" fontId="39" fillId="4" borderId="0" xfId="0" applyFont="1" applyFill="1" applyBorder="1" applyAlignment="1">
      <alignment horizontal="left" vertical="center"/>
    </xf>
    <xf numFmtId="0" fontId="26" fillId="7" borderId="0" xfId="0" applyFont="1" applyFill="1" applyAlignment="1"/>
    <xf numFmtId="0" fontId="24" fillId="7" borderId="0" xfId="0" applyFont="1" applyFill="1" applyAlignment="1"/>
    <xf numFmtId="0" fontId="0" fillId="7" borderId="0" xfId="0" applyFill="1" applyAlignment="1"/>
    <xf numFmtId="49" fontId="127" fillId="7" borderId="0" xfId="9" applyNumberFormat="1" applyFont="1" applyFill="1" applyAlignment="1" applyProtection="1">
      <alignment horizontal="center" vertical="center"/>
    </xf>
    <xf numFmtId="49" fontId="127" fillId="7" borderId="0" xfId="9" applyNumberFormat="1" applyFont="1" applyFill="1" applyBorder="1" applyAlignment="1" applyProtection="1">
      <alignment horizontal="center" vertical="top"/>
    </xf>
    <xf numFmtId="49" fontId="127" fillId="7" borderId="0" xfId="9" applyNumberFormat="1" applyFont="1" applyFill="1" applyBorder="1" applyAlignment="1" applyProtection="1">
      <alignment horizontal="center" vertical="center"/>
    </xf>
    <xf numFmtId="49" fontId="127" fillId="7" borderId="0" xfId="9" applyNumberFormat="1" applyFont="1" applyFill="1" applyAlignment="1" applyProtection="1">
      <alignment horizontal="center" vertical="top"/>
    </xf>
    <xf numFmtId="0" fontId="49" fillId="8" borderId="0" xfId="0" applyFont="1" applyFill="1" applyBorder="1" applyAlignment="1" applyProtection="1">
      <alignment horizontal="centerContinuous" vertical="top"/>
    </xf>
    <xf numFmtId="0" fontId="48" fillId="8" borderId="0" xfId="0" applyFont="1" applyFill="1" applyBorder="1" applyAlignment="1" applyProtection="1">
      <alignment horizontal="centerContinuous" vertical="top"/>
    </xf>
    <xf numFmtId="0" fontId="46" fillId="8" borderId="0" xfId="0" applyFont="1" applyFill="1" applyBorder="1" applyAlignment="1" applyProtection="1">
      <alignment horizontal="centerContinuous" vertical="top"/>
    </xf>
    <xf numFmtId="17" fontId="47" fillId="8" borderId="0" xfId="0" applyNumberFormat="1" applyFont="1" applyFill="1" applyBorder="1" applyAlignment="1" applyProtection="1">
      <alignment horizontal="centerContinuous" vertical="top"/>
    </xf>
    <xf numFmtId="49" fontId="39" fillId="8" borderId="0" xfId="0" applyNumberFormat="1" applyFont="1" applyFill="1" applyBorder="1" applyAlignment="1" applyProtection="1">
      <alignment horizontal="centerContinuous" vertical="top"/>
    </xf>
    <xf numFmtId="0" fontId="53" fillId="8" borderId="0" xfId="0" applyFont="1" applyFill="1" applyBorder="1" applyAlignment="1" applyProtection="1">
      <alignment horizontal="centerContinuous" vertical="top"/>
    </xf>
    <xf numFmtId="0" fontId="0" fillId="8" borderId="5" xfId="0" applyFill="1" applyBorder="1" applyAlignment="1">
      <alignment vertical="top"/>
    </xf>
    <xf numFmtId="0" fontId="0" fillId="8" borderId="6" xfId="0" applyFill="1" applyBorder="1" applyAlignment="1">
      <alignment vertical="top"/>
    </xf>
    <xf numFmtId="0" fontId="49" fillId="8" borderId="2" xfId="0" applyFont="1" applyFill="1" applyBorder="1" applyAlignment="1" applyProtection="1">
      <alignment horizontal="centerContinuous" vertical="top"/>
    </xf>
    <xf numFmtId="0" fontId="48" fillId="8" borderId="2" xfId="0" applyFont="1" applyFill="1" applyBorder="1" applyAlignment="1" applyProtection="1">
      <alignment horizontal="centerContinuous" vertical="top"/>
    </xf>
    <xf numFmtId="0" fontId="46" fillId="8" borderId="2" xfId="0" applyFont="1" applyFill="1" applyBorder="1" applyAlignment="1" applyProtection="1">
      <alignment horizontal="centerContinuous" vertical="top"/>
    </xf>
    <xf numFmtId="17" fontId="47" fillId="8" borderId="2" xfId="0" applyNumberFormat="1" applyFont="1" applyFill="1" applyBorder="1" applyAlignment="1" applyProtection="1">
      <alignment horizontal="centerContinuous" vertical="top"/>
    </xf>
    <xf numFmtId="49" fontId="39" fillId="8" borderId="2" xfId="0" applyNumberFormat="1" applyFont="1" applyFill="1" applyBorder="1" applyAlignment="1" applyProtection="1">
      <alignment horizontal="centerContinuous" vertical="top"/>
    </xf>
    <xf numFmtId="0" fontId="0" fillId="8" borderId="7" xfId="0" applyFill="1" applyBorder="1" applyAlignment="1">
      <alignment vertical="top"/>
    </xf>
    <xf numFmtId="0" fontId="61" fillId="8" borderId="8" xfId="0" applyFont="1" applyFill="1" applyBorder="1" applyAlignment="1" applyProtection="1">
      <alignment horizontal="centerContinuous" vertical="top"/>
    </xf>
    <xf numFmtId="0" fontId="49" fillId="8" borderId="8" xfId="0" applyFont="1" applyFill="1" applyBorder="1" applyAlignment="1" applyProtection="1">
      <alignment horizontal="centerContinuous" vertical="top"/>
    </xf>
    <xf numFmtId="0" fontId="48" fillId="8" borderId="8" xfId="0" applyFont="1" applyFill="1" applyBorder="1" applyAlignment="1" applyProtection="1">
      <alignment horizontal="centerContinuous" vertical="top"/>
    </xf>
    <xf numFmtId="0" fontId="46" fillId="8" borderId="8" xfId="0" applyFont="1" applyFill="1" applyBorder="1" applyAlignment="1" applyProtection="1">
      <alignment horizontal="centerContinuous" vertical="top"/>
    </xf>
    <xf numFmtId="17" fontId="47" fillId="8" borderId="8" xfId="0" applyNumberFormat="1" applyFont="1" applyFill="1" applyBorder="1" applyAlignment="1" applyProtection="1">
      <alignment horizontal="centerContinuous" vertical="top"/>
    </xf>
    <xf numFmtId="49" fontId="39" fillId="8" borderId="8" xfId="0" applyNumberFormat="1" applyFont="1" applyFill="1" applyBorder="1" applyAlignment="1" applyProtection="1">
      <alignment horizontal="centerContinuous" vertical="top"/>
    </xf>
    <xf numFmtId="0" fontId="0" fillId="8" borderId="14" xfId="0" applyFill="1" applyBorder="1" applyAlignment="1">
      <alignment vertical="top"/>
    </xf>
    <xf numFmtId="0" fontId="0" fillId="8" borderId="11" xfId="0" applyFill="1" applyBorder="1" applyAlignment="1">
      <alignment horizontal="center" vertical="top"/>
    </xf>
    <xf numFmtId="0" fontId="53" fillId="8" borderId="2" xfId="0" applyFont="1" applyFill="1" applyBorder="1" applyAlignment="1" applyProtection="1">
      <alignment horizontal="centerContinuous" vertical="top"/>
    </xf>
    <xf numFmtId="0" fontId="0" fillId="8" borderId="25" xfId="0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61" fillId="0" borderId="0" xfId="0" applyFont="1" applyFill="1" applyBorder="1" applyAlignment="1" applyProtection="1">
      <alignment horizontal="centerContinuous" vertical="top"/>
    </xf>
    <xf numFmtId="0" fontId="49" fillId="0" borderId="0" xfId="0" applyFont="1" applyFill="1" applyBorder="1" applyAlignment="1" applyProtection="1">
      <alignment horizontal="centerContinuous" vertical="top"/>
    </xf>
    <xf numFmtId="0" fontId="48" fillId="0" borderId="0" xfId="0" applyFont="1" applyFill="1" applyBorder="1" applyAlignment="1" applyProtection="1">
      <alignment horizontal="centerContinuous" vertical="top"/>
    </xf>
    <xf numFmtId="0" fontId="46" fillId="0" borderId="0" xfId="0" applyFont="1" applyFill="1" applyBorder="1" applyAlignment="1" applyProtection="1">
      <alignment horizontal="centerContinuous" vertical="top"/>
    </xf>
    <xf numFmtId="17" fontId="47" fillId="0" borderId="0" xfId="0" applyNumberFormat="1" applyFont="1" applyFill="1" applyBorder="1" applyAlignment="1" applyProtection="1">
      <alignment horizontal="centerContinuous" vertical="top"/>
    </xf>
    <xf numFmtId="49" fontId="39" fillId="0" borderId="0" xfId="0" applyNumberFormat="1" applyFont="1" applyFill="1" applyBorder="1" applyAlignment="1" applyProtection="1">
      <alignment horizontal="centerContinuous" vertical="top"/>
    </xf>
    <xf numFmtId="0" fontId="0" fillId="0" borderId="0" xfId="0" applyFill="1" applyAlignment="1">
      <alignment vertical="top"/>
    </xf>
    <xf numFmtId="0" fontId="0" fillId="0" borderId="0" xfId="0" applyFill="1" applyBorder="1" applyAlignment="1" applyProtection="1">
      <alignment horizontal="center"/>
    </xf>
    <xf numFmtId="0" fontId="44" fillId="0" borderId="0" xfId="0" applyFont="1" applyAlignment="1" applyProtection="1">
      <alignment horizontal="center"/>
    </xf>
    <xf numFmtId="0" fontId="110" fillId="0" borderId="0" xfId="0" applyFont="1" applyAlignment="1" applyProtection="1">
      <alignment horizontal="center"/>
    </xf>
    <xf numFmtId="0" fontId="26" fillId="0" borderId="50" xfId="0" applyFont="1" applyBorder="1" applyAlignment="1" applyProtection="1">
      <alignment horizontal="center" vertical="center"/>
    </xf>
    <xf numFmtId="0" fontId="26" fillId="7" borderId="0" xfId="0" applyFont="1" applyFill="1" applyBorder="1" applyAlignment="1" applyProtection="1">
      <alignment horizontal="centerContinuous" vertical="center"/>
    </xf>
    <xf numFmtId="0" fontId="26" fillId="7" borderId="29" xfId="0" applyFont="1" applyFill="1" applyBorder="1" applyAlignment="1" applyProtection="1">
      <alignment horizontal="left" vertical="center"/>
    </xf>
    <xf numFmtId="2" fontId="24" fillId="0" borderId="0" xfId="0" applyNumberFormat="1" applyFont="1" applyFill="1" applyBorder="1" applyAlignment="1" applyProtection="1">
      <alignment horizontal="right" vertical="center"/>
    </xf>
    <xf numFmtId="0" fontId="24" fillId="7" borderId="0" xfId="0" applyFont="1" applyFill="1" applyBorder="1" applyAlignment="1" applyProtection="1">
      <alignment horizontal="left" vertical="center"/>
    </xf>
    <xf numFmtId="2" fontId="24" fillId="7" borderId="0" xfId="0" applyNumberFormat="1" applyFont="1" applyFill="1" applyBorder="1" applyAlignment="1" applyProtection="1">
      <alignment horizontal="right" vertical="center"/>
    </xf>
    <xf numFmtId="0" fontId="0" fillId="0" borderId="28" xfId="0" applyBorder="1" applyAlignment="1" applyProtection="1">
      <alignment vertical="center"/>
    </xf>
    <xf numFmtId="0" fontId="26" fillId="0" borderId="6" xfId="0" applyFont="1" applyBorder="1" applyAlignment="1" applyProtection="1">
      <alignment horizontal="left" vertical="center"/>
    </xf>
    <xf numFmtId="9" fontId="34" fillId="0" borderId="0" xfId="0" applyNumberFormat="1" applyFont="1" applyFill="1" applyAlignment="1" applyProtection="1">
      <alignment vertical="center"/>
    </xf>
    <xf numFmtId="0" fontId="35" fillId="0" borderId="31" xfId="0" applyFont="1" applyBorder="1" applyAlignment="1">
      <alignment vertical="center"/>
    </xf>
    <xf numFmtId="0" fontId="26" fillId="7" borderId="31" xfId="0" applyFont="1" applyFill="1" applyBorder="1" applyAlignment="1" applyProtection="1">
      <alignment horizontal="left" vertical="center"/>
    </xf>
    <xf numFmtId="0" fontId="33" fillId="7" borderId="31" xfId="0" applyFont="1" applyFill="1" applyBorder="1" applyAlignment="1" applyProtection="1">
      <alignment horizontal="left" vertical="center"/>
    </xf>
    <xf numFmtId="9" fontId="24" fillId="6" borderId="12" xfId="0" applyNumberFormat="1" applyFont="1" applyFill="1" applyBorder="1" applyAlignment="1" applyProtection="1">
      <alignment horizontal="centerContinuous" vertical="center"/>
    </xf>
    <xf numFmtId="9" fontId="24" fillId="7" borderId="12" xfId="0" applyNumberFormat="1" applyFont="1" applyFill="1" applyBorder="1" applyAlignment="1" applyProtection="1">
      <alignment horizontal="centerContinuous" vertical="center"/>
    </xf>
    <xf numFmtId="1" fontId="31" fillId="7" borderId="14" xfId="14" applyNumberFormat="1" applyFont="1" applyFill="1" applyBorder="1" applyAlignment="1">
      <alignment vertical="center"/>
    </xf>
    <xf numFmtId="173" fontId="35" fillId="7" borderId="32" xfId="14" applyNumberFormat="1" applyFont="1" applyFill="1" applyBorder="1" applyAlignment="1">
      <alignment horizontal="right" vertical="center"/>
    </xf>
    <xf numFmtId="173" fontId="35" fillId="6" borderId="32" xfId="14" applyNumberFormat="1" applyFont="1" applyFill="1" applyBorder="1" applyAlignment="1">
      <alignment horizontal="right" vertical="center"/>
    </xf>
    <xf numFmtId="0" fontId="33" fillId="3" borderId="0" xfId="17" applyFont="1" applyFill="1" applyBorder="1" applyAlignment="1" applyProtection="1">
      <alignment vertical="center"/>
    </xf>
    <xf numFmtId="0" fontId="33" fillId="0" borderId="46" xfId="0" applyFont="1" applyBorder="1" applyAlignment="1">
      <alignment vertical="center"/>
    </xf>
    <xf numFmtId="0" fontId="0" fillId="3" borderId="0" xfId="0" applyFill="1" applyBorder="1" applyAlignment="1">
      <alignment vertical="center"/>
    </xf>
    <xf numFmtId="170" fontId="33" fillId="7" borderId="46" xfId="0" applyNumberFormat="1" applyFont="1" applyFill="1" applyBorder="1" applyAlignment="1" applyProtection="1">
      <alignment horizontal="right" vertical="center"/>
    </xf>
    <xf numFmtId="9" fontId="19" fillId="0" borderId="11" xfId="0" applyNumberFormat="1" applyFont="1" applyFill="1" applyBorder="1" applyAlignment="1" applyProtection="1">
      <alignment horizontal="right" vertical="center"/>
    </xf>
    <xf numFmtId="9" fontId="19" fillId="3" borderId="25" xfId="0" applyNumberFormat="1" applyFont="1" applyFill="1" applyBorder="1" applyAlignment="1" applyProtection="1">
      <alignment horizontal="right" vertical="center"/>
      <protection locked="0"/>
    </xf>
    <xf numFmtId="221" fontId="33" fillId="0" borderId="34" xfId="0" applyNumberFormat="1" applyFont="1" applyFill="1" applyBorder="1" applyAlignment="1" applyProtection="1">
      <alignment horizontal="right" vertical="center" shrinkToFit="1"/>
    </xf>
    <xf numFmtId="221" fontId="33" fillId="0" borderId="34" xfId="0" applyNumberFormat="1" applyFont="1" applyFill="1" applyBorder="1" applyAlignment="1" applyProtection="1">
      <alignment horizontal="right" vertical="center"/>
    </xf>
    <xf numFmtId="0" fontId="33" fillId="3" borderId="8" xfId="17" applyFont="1" applyFill="1" applyBorder="1" applyAlignment="1" applyProtection="1">
      <alignment vertical="center"/>
      <protection locked="0"/>
    </xf>
    <xf numFmtId="170" fontId="33" fillId="3" borderId="58" xfId="0" applyNumberFormat="1" applyFont="1" applyFill="1" applyBorder="1" applyAlignment="1" applyProtection="1">
      <alignment horizontal="right" vertical="center"/>
      <protection locked="0"/>
    </xf>
    <xf numFmtId="170" fontId="33" fillId="7" borderId="58" xfId="0" applyNumberFormat="1" applyFont="1" applyFill="1" applyBorder="1" applyAlignment="1" applyProtection="1">
      <alignment horizontal="right" vertical="center"/>
    </xf>
    <xf numFmtId="179" fontId="33" fillId="3" borderId="76" xfId="0" applyNumberFormat="1" applyFont="1" applyFill="1" applyBorder="1" applyAlignment="1" applyProtection="1">
      <alignment horizontal="right" vertical="center"/>
      <protection locked="0"/>
    </xf>
    <xf numFmtId="170" fontId="33" fillId="7" borderId="18" xfId="0" applyNumberFormat="1" applyFont="1" applyFill="1" applyBorder="1" applyAlignment="1" applyProtection="1">
      <alignment horizontal="right" vertical="center"/>
    </xf>
    <xf numFmtId="170" fontId="33" fillId="6" borderId="18" xfId="0" applyNumberFormat="1" applyFont="1" applyFill="1" applyBorder="1" applyAlignment="1" applyProtection="1">
      <alignment horizontal="right" vertical="center"/>
    </xf>
    <xf numFmtId="0" fontId="0" fillId="3" borderId="8" xfId="0" applyFill="1" applyBorder="1" applyAlignment="1">
      <alignment vertical="center"/>
    </xf>
    <xf numFmtId="197" fontId="44" fillId="0" borderId="21" xfId="3" applyNumberFormat="1" applyFont="1" applyBorder="1">
      <alignment horizontal="center" vertical="center"/>
    </xf>
    <xf numFmtId="0" fontId="33" fillId="3" borderId="8" xfId="0" applyFont="1" applyFill="1" applyBorder="1" applyAlignment="1" applyProtection="1">
      <alignment vertical="center"/>
      <protection locked="0"/>
    </xf>
    <xf numFmtId="0" fontId="33" fillId="3" borderId="8" xfId="17" applyFont="1" applyFill="1" applyBorder="1" applyAlignment="1" applyProtection="1">
      <alignment vertical="center"/>
    </xf>
    <xf numFmtId="0" fontId="33" fillId="0" borderId="8" xfId="17" applyFont="1" applyBorder="1" applyAlignment="1" applyProtection="1">
      <alignment vertical="center"/>
    </xf>
    <xf numFmtId="0" fontId="33" fillId="0" borderId="58" xfId="0" applyFont="1" applyBorder="1" applyAlignment="1">
      <alignment vertical="center"/>
    </xf>
    <xf numFmtId="176" fontId="33" fillId="3" borderId="76" xfId="0" applyNumberFormat="1" applyFont="1" applyFill="1" applyBorder="1" applyAlignment="1" applyProtection="1">
      <alignment horizontal="right" vertical="center"/>
      <protection locked="0"/>
    </xf>
    <xf numFmtId="197" fontId="33" fillId="0" borderId="21" xfId="3" applyNumberFormat="1" applyBorder="1">
      <alignment horizontal="center" vertical="center"/>
    </xf>
    <xf numFmtId="0" fontId="34" fillId="0" borderId="0" xfId="0" applyFont="1" applyAlignment="1" applyProtection="1">
      <alignment horizontal="right" vertical="center"/>
    </xf>
    <xf numFmtId="9" fontId="34" fillId="0" borderId="0" xfId="0" applyNumberFormat="1" applyFont="1" applyAlignment="1" applyProtection="1">
      <alignment horizontal="right" vertical="center"/>
    </xf>
    <xf numFmtId="0" fontId="117" fillId="0" borderId="0" xfId="0" applyFont="1" applyAlignment="1" applyProtection="1">
      <alignment horizontal="right" vertical="center"/>
    </xf>
    <xf numFmtId="208" fontId="34" fillId="0" borderId="0" xfId="0" applyNumberFormat="1" applyFont="1" applyAlignment="1" applyProtection="1">
      <alignment horizontal="right" vertical="center"/>
    </xf>
    <xf numFmtId="197" fontId="33" fillId="3" borderId="46" xfId="0" applyNumberFormat="1" applyFont="1" applyFill="1" applyBorder="1" applyAlignment="1" applyProtection="1">
      <alignment horizontal="right" vertical="center"/>
      <protection locked="0"/>
    </xf>
    <xf numFmtId="197" fontId="33" fillId="7" borderId="46" xfId="0" applyNumberFormat="1" applyFont="1" applyFill="1" applyBorder="1" applyAlignment="1" applyProtection="1">
      <alignment horizontal="right" vertical="center"/>
    </xf>
    <xf numFmtId="3" fontId="24" fillId="7" borderId="38" xfId="0" applyNumberFormat="1" applyFont="1" applyFill="1" applyBorder="1" applyAlignment="1" applyProtection="1">
      <alignment vertical="center"/>
    </xf>
    <xf numFmtId="3" fontId="24" fillId="7" borderId="31" xfId="0" applyNumberFormat="1" applyFont="1" applyFill="1" applyBorder="1" applyAlignment="1" applyProtection="1">
      <alignment vertical="center"/>
    </xf>
    <xf numFmtId="3" fontId="24" fillId="7" borderId="1" xfId="0" applyNumberFormat="1" applyFont="1" applyFill="1" applyBorder="1" applyAlignment="1" applyProtection="1">
      <alignment vertical="center"/>
    </xf>
    <xf numFmtId="0" fontId="38" fillId="7" borderId="32" xfId="0" applyFont="1" applyFill="1" applyBorder="1" applyAlignment="1">
      <alignment horizontal="centerContinuous" vertical="center"/>
    </xf>
    <xf numFmtId="0" fontId="38" fillId="0" borderId="32" xfId="0" applyFont="1" applyBorder="1" applyAlignment="1" applyProtection="1">
      <alignment horizontal="centerContinuous" vertical="center"/>
    </xf>
    <xf numFmtId="0" fontId="39" fillId="0" borderId="12" xfId="0" applyFont="1" applyBorder="1" applyAlignment="1" applyProtection="1">
      <alignment vertical="center"/>
    </xf>
    <xf numFmtId="0" fontId="24" fillId="0" borderId="31" xfId="0" applyFont="1" applyBorder="1" applyAlignment="1" applyProtection="1">
      <alignment vertical="center"/>
    </xf>
    <xf numFmtId="0" fontId="39" fillId="0" borderId="31" xfId="0" applyFont="1" applyBorder="1" applyAlignment="1" applyProtection="1">
      <alignment vertical="center"/>
    </xf>
    <xf numFmtId="0" fontId="0" fillId="0" borderId="31" xfId="0" applyBorder="1" applyProtection="1"/>
    <xf numFmtId="0" fontId="38" fillId="0" borderId="31" xfId="0" applyFont="1" applyBorder="1" applyAlignment="1" applyProtection="1">
      <alignment vertical="center"/>
    </xf>
    <xf numFmtId="9" fontId="0" fillId="0" borderId="0" xfId="0" applyNumberFormat="1" applyProtection="1"/>
    <xf numFmtId="9" fontId="20" fillId="0" borderId="0" xfId="0" applyNumberFormat="1" applyFont="1" applyProtection="1"/>
    <xf numFmtId="9" fontId="67" fillId="0" borderId="0" xfId="0" applyNumberFormat="1" applyFont="1" applyProtection="1"/>
    <xf numFmtId="9" fontId="38" fillId="0" borderId="0" xfId="0" applyNumberFormat="1" applyFont="1" applyAlignment="1" applyProtection="1">
      <alignment vertical="center"/>
    </xf>
    <xf numFmtId="0" fontId="85" fillId="0" borderId="0" xfId="0" applyFont="1" applyAlignment="1" applyProtection="1">
      <alignment vertical="center"/>
    </xf>
    <xf numFmtId="0" fontId="44" fillId="0" borderId="0" xfId="0" applyFont="1" applyBorder="1" applyAlignment="1" applyProtection="1">
      <alignment horizontal="right" vertical="center"/>
    </xf>
    <xf numFmtId="0" fontId="84" fillId="0" borderId="0" xfId="0" applyFont="1" applyAlignment="1" applyProtection="1">
      <alignment vertical="center"/>
    </xf>
    <xf numFmtId="0" fontId="44" fillId="0" borderId="0" xfId="0" applyFont="1" applyAlignment="1" applyProtection="1">
      <alignment vertical="center"/>
    </xf>
    <xf numFmtId="173" fontId="51" fillId="4" borderId="32" xfId="14" applyNumberFormat="1" applyFont="1" applyFill="1" applyBorder="1" applyAlignment="1" applyProtection="1">
      <alignment horizontal="right" vertical="center"/>
    </xf>
    <xf numFmtId="185" fontId="51" fillId="4" borderId="32" xfId="14" applyNumberFormat="1" applyFont="1" applyFill="1" applyBorder="1" applyAlignment="1">
      <alignment horizontal="right" vertical="center"/>
    </xf>
    <xf numFmtId="173" fontId="51" fillId="4" borderId="32" xfId="14" applyNumberFormat="1" applyFont="1" applyFill="1" applyBorder="1" applyAlignment="1">
      <alignment horizontal="right" vertical="center"/>
    </xf>
    <xf numFmtId="0" fontId="129" fillId="0" borderId="31" xfId="0" applyFont="1" applyBorder="1" applyAlignment="1">
      <alignment horizontal="right" vertical="center"/>
    </xf>
    <xf numFmtId="0" fontId="51" fillId="7" borderId="31" xfId="0" applyFont="1" applyFill="1" applyBorder="1" applyAlignment="1" applyProtection="1">
      <alignment horizontal="right" vertical="center"/>
    </xf>
    <xf numFmtId="0" fontId="51" fillId="0" borderId="31" xfId="0" applyFont="1" applyBorder="1" applyAlignment="1">
      <alignment horizontal="right" vertical="center"/>
    </xf>
    <xf numFmtId="9" fontId="0" fillId="0" borderId="0" xfId="0" applyNumberFormat="1" applyAlignment="1" applyProtection="1">
      <alignment vertical="center"/>
    </xf>
    <xf numFmtId="9" fontId="19" fillId="8" borderId="25" xfId="0" applyNumberFormat="1" applyFont="1" applyFill="1" applyBorder="1" applyAlignment="1" applyProtection="1">
      <alignment vertical="center"/>
      <protection locked="0"/>
    </xf>
    <xf numFmtId="9" fontId="0" fillId="0" borderId="0" xfId="0" applyNumberFormat="1"/>
    <xf numFmtId="178" fontId="33" fillId="7" borderId="19" xfId="0" applyNumberFormat="1" applyFont="1" applyFill="1" applyBorder="1" applyAlignment="1" applyProtection="1">
      <alignment horizontal="right" vertical="center"/>
    </xf>
    <xf numFmtId="178" fontId="33" fillId="7" borderId="20" xfId="0" applyNumberFormat="1" applyFont="1" applyFill="1" applyBorder="1" applyAlignment="1" applyProtection="1">
      <alignment horizontal="right" vertical="center"/>
    </xf>
    <xf numFmtId="170" fontId="33" fillId="3" borderId="51" xfId="0" applyNumberFormat="1" applyFont="1" applyFill="1" applyBorder="1" applyAlignment="1" applyProtection="1">
      <alignment horizontal="right" vertical="center"/>
      <protection locked="0"/>
    </xf>
    <xf numFmtId="0" fontId="33" fillId="0" borderId="39" xfId="17" applyFont="1" applyBorder="1" applyAlignment="1" applyProtection="1">
      <alignment horizontal="left" vertical="center"/>
    </xf>
    <xf numFmtId="179" fontId="33" fillId="7" borderId="28" xfId="0" applyNumberFormat="1" applyFont="1" applyFill="1" applyBorder="1" applyAlignment="1" applyProtection="1">
      <alignment horizontal="right" vertical="center"/>
    </xf>
    <xf numFmtId="170" fontId="33" fillId="7" borderId="89" xfId="0" applyNumberFormat="1" applyFont="1" applyFill="1" applyBorder="1" applyAlignment="1" applyProtection="1">
      <alignment horizontal="right" vertical="center"/>
    </xf>
    <xf numFmtId="0" fontId="33" fillId="0" borderId="57" xfId="17" applyFont="1" applyBorder="1" applyAlignment="1" applyProtection="1">
      <alignment horizontal="center" vertical="center"/>
    </xf>
    <xf numFmtId="0" fontId="0" fillId="4" borderId="28" xfId="0" applyFill="1" applyBorder="1" applyProtection="1"/>
    <xf numFmtId="185" fontId="31" fillId="4" borderId="35" xfId="14" applyNumberFormat="1" applyFont="1" applyFill="1" applyBorder="1" applyAlignment="1" applyProtection="1">
      <alignment vertical="center"/>
    </xf>
    <xf numFmtId="0" fontId="0" fillId="0" borderId="27" xfId="0" applyBorder="1" applyAlignment="1">
      <alignment vertical="center"/>
    </xf>
    <xf numFmtId="181" fontId="33" fillId="7" borderId="42" xfId="0" applyNumberFormat="1" applyFont="1" applyFill="1" applyBorder="1" applyAlignment="1" applyProtection="1">
      <alignment horizontal="right" vertical="center"/>
    </xf>
    <xf numFmtId="170" fontId="33" fillId="4" borderId="37" xfId="0" applyNumberFormat="1" applyFont="1" applyFill="1" applyBorder="1" applyAlignment="1" applyProtection="1">
      <alignment horizontal="right" vertical="center"/>
    </xf>
    <xf numFmtId="0" fontId="33" fillId="0" borderId="90" xfId="17" applyFont="1" applyBorder="1" applyAlignment="1" applyProtection="1">
      <alignment vertical="center"/>
    </xf>
    <xf numFmtId="0" fontId="0" fillId="0" borderId="91" xfId="0" applyBorder="1" applyAlignment="1">
      <alignment vertical="center"/>
    </xf>
    <xf numFmtId="0" fontId="33" fillId="0" borderId="30" xfId="0" applyFont="1" applyBorder="1" applyAlignment="1">
      <alignment vertical="center"/>
    </xf>
    <xf numFmtId="181" fontId="33" fillId="7" borderId="59" xfId="0" applyNumberFormat="1" applyFont="1" applyFill="1" applyBorder="1" applyAlignment="1" applyProtection="1">
      <alignment horizontal="right" vertical="center"/>
    </xf>
    <xf numFmtId="211" fontId="26" fillId="4" borderId="78" xfId="0" applyNumberFormat="1" applyFont="1" applyFill="1" applyBorder="1" applyAlignment="1" applyProtection="1">
      <alignment horizontal="right" vertical="center" shrinkToFit="1"/>
    </xf>
    <xf numFmtId="170" fontId="33" fillId="4" borderId="92" xfId="0" applyNumberFormat="1" applyFont="1" applyFill="1" applyBorder="1" applyAlignment="1" applyProtection="1">
      <alignment horizontal="right" vertical="center"/>
    </xf>
    <xf numFmtId="176" fontId="33" fillId="3" borderId="59" xfId="0" applyNumberFormat="1" applyFont="1" applyFill="1" applyBorder="1" applyAlignment="1" applyProtection="1">
      <alignment horizontal="right" vertical="center"/>
      <protection locked="0"/>
    </xf>
    <xf numFmtId="170" fontId="33" fillId="3" borderId="48" xfId="0" applyNumberFormat="1" applyFont="1" applyFill="1" applyBorder="1" applyAlignment="1" applyProtection="1">
      <alignment horizontal="right" vertical="center"/>
      <protection locked="0"/>
    </xf>
    <xf numFmtId="170" fontId="33" fillId="7" borderId="141" xfId="0" applyNumberFormat="1" applyFont="1" applyFill="1" applyBorder="1" applyAlignment="1" applyProtection="1">
      <alignment horizontal="right" vertical="center"/>
      <protection locked="0"/>
    </xf>
    <xf numFmtId="2" fontId="33" fillId="7" borderId="52" xfId="0" applyNumberFormat="1" applyFont="1" applyFill="1" applyBorder="1" applyAlignment="1" applyProtection="1">
      <alignment horizontal="right" vertical="center"/>
      <protection locked="0"/>
    </xf>
    <xf numFmtId="0" fontId="0" fillId="4" borderId="48" xfId="0" applyFill="1" applyBorder="1"/>
    <xf numFmtId="170" fontId="33" fillId="3" borderId="27" xfId="0" applyNumberFormat="1" applyFont="1" applyFill="1" applyBorder="1" applyAlignment="1" applyProtection="1">
      <alignment horizontal="right" vertical="center"/>
      <protection locked="0"/>
    </xf>
    <xf numFmtId="170" fontId="33" fillId="7" borderId="4" xfId="0" applyNumberFormat="1" applyFont="1" applyFill="1" applyBorder="1" applyAlignment="1" applyProtection="1">
      <alignment horizontal="right" vertical="center"/>
      <protection locked="0"/>
    </xf>
    <xf numFmtId="2" fontId="33" fillId="7" borderId="42" xfId="0" applyNumberFormat="1" applyFont="1" applyFill="1" applyBorder="1" applyAlignment="1" applyProtection="1">
      <alignment horizontal="right" vertical="center"/>
      <protection locked="0"/>
    </xf>
    <xf numFmtId="0" fontId="0" fillId="4" borderId="27" xfId="0" applyFill="1" applyBorder="1"/>
    <xf numFmtId="0" fontId="33" fillId="0" borderId="91" xfId="17" applyFont="1" applyBorder="1" applyAlignment="1" applyProtection="1">
      <alignment vertical="center"/>
    </xf>
    <xf numFmtId="181" fontId="33" fillId="7" borderId="59" xfId="17" applyNumberFormat="1" applyFont="1" applyFill="1" applyBorder="1" applyAlignment="1" applyProtection="1">
      <alignment horizontal="right" vertical="center"/>
    </xf>
    <xf numFmtId="196" fontId="33" fillId="3" borderId="51" xfId="0" applyNumberFormat="1" applyFont="1" applyFill="1" applyBorder="1" applyAlignment="1" applyProtection="1">
      <alignment horizontal="right" vertical="center"/>
      <protection locked="0"/>
    </xf>
    <xf numFmtId="176" fontId="33" fillId="3" borderId="141" xfId="0" applyNumberFormat="1" applyFont="1" applyFill="1" applyBorder="1" applyAlignment="1" applyProtection="1">
      <alignment horizontal="right" vertical="center"/>
      <protection locked="0"/>
    </xf>
    <xf numFmtId="170" fontId="33" fillId="3" borderId="89" xfId="0" applyNumberFormat="1" applyFont="1" applyFill="1" applyBorder="1" applyAlignment="1" applyProtection="1">
      <alignment horizontal="right" vertical="center"/>
      <protection locked="0"/>
    </xf>
    <xf numFmtId="170" fontId="33" fillId="3" borderId="41" xfId="0" applyNumberFormat="1" applyFont="1" applyFill="1" applyBorder="1" applyAlignment="1" applyProtection="1">
      <alignment horizontal="right" vertical="center"/>
      <protection locked="0"/>
    </xf>
    <xf numFmtId="170" fontId="33" fillId="3" borderId="4" xfId="0" applyNumberFormat="1" applyFont="1" applyFill="1" applyBorder="1" applyAlignment="1" applyProtection="1">
      <alignment horizontal="right" vertical="center"/>
      <protection locked="0"/>
    </xf>
    <xf numFmtId="0" fontId="33" fillId="8" borderId="91" xfId="17" applyFont="1" applyFill="1" applyBorder="1" applyAlignment="1" applyProtection="1">
      <alignment vertical="center"/>
    </xf>
    <xf numFmtId="170" fontId="33" fillId="8" borderId="30" xfId="0" applyNumberFormat="1" applyFont="1" applyFill="1" applyBorder="1" applyAlignment="1" applyProtection="1">
      <alignment horizontal="right" vertical="center"/>
    </xf>
    <xf numFmtId="181" fontId="33" fillId="8" borderId="59" xfId="17" applyNumberFormat="1" applyFont="1" applyFill="1" applyBorder="1" applyAlignment="1" applyProtection="1">
      <alignment horizontal="right" vertical="center"/>
    </xf>
    <xf numFmtId="2" fontId="33" fillId="0" borderId="52" xfId="0" applyNumberFormat="1" applyFont="1" applyFill="1" applyBorder="1" applyAlignment="1" applyProtection="1">
      <alignment horizontal="right" vertical="center"/>
      <protection locked="0"/>
    </xf>
    <xf numFmtId="2" fontId="33" fillId="0" borderId="42" xfId="0" applyNumberFormat="1" applyFont="1" applyFill="1" applyBorder="1" applyAlignment="1" applyProtection="1">
      <alignment horizontal="right" vertical="center"/>
      <protection locked="0"/>
    </xf>
    <xf numFmtId="0" fontId="33" fillId="7" borderId="91" xfId="17" applyFont="1" applyFill="1" applyBorder="1" applyAlignment="1" applyProtection="1">
      <alignment vertical="center"/>
    </xf>
    <xf numFmtId="0" fontId="0" fillId="0" borderId="48" xfId="0" applyBorder="1" applyAlignment="1" applyProtection="1">
      <alignment vertical="center"/>
    </xf>
    <xf numFmtId="171" fontId="33" fillId="7" borderId="52" xfId="0" applyNumberFormat="1" applyFont="1" applyFill="1" applyBorder="1" applyAlignment="1" applyProtection="1">
      <alignment horizontal="right" vertical="center"/>
    </xf>
    <xf numFmtId="0" fontId="0" fillId="4" borderId="47" xfId="0" applyFill="1" applyBorder="1" applyProtection="1"/>
    <xf numFmtId="0" fontId="0" fillId="0" borderId="27" xfId="0" applyBorder="1" applyAlignment="1" applyProtection="1">
      <alignment vertical="center"/>
    </xf>
    <xf numFmtId="171" fontId="33" fillId="7" borderId="42" xfId="0" applyNumberFormat="1" applyFont="1" applyFill="1" applyBorder="1" applyAlignment="1" applyProtection="1">
      <alignment horizontal="right" vertical="center"/>
    </xf>
    <xf numFmtId="210" fontId="44" fillId="7" borderId="78" xfId="0" applyNumberFormat="1" applyFont="1" applyFill="1" applyBorder="1" applyAlignment="1" applyProtection="1">
      <alignment horizontal="right" vertical="center"/>
    </xf>
    <xf numFmtId="210" fontId="44" fillId="0" borderId="78" xfId="3" applyNumberFormat="1" applyFont="1" applyBorder="1" applyAlignment="1">
      <alignment horizontal="right" vertical="center" shrinkToFit="1"/>
    </xf>
    <xf numFmtId="0" fontId="33" fillId="0" borderId="91" xfId="0" applyFont="1" applyFill="1" applyBorder="1" applyAlignment="1" applyProtection="1">
      <alignment vertical="center"/>
      <protection locked="0"/>
    </xf>
    <xf numFmtId="221" fontId="0" fillId="4" borderId="90" xfId="0" applyNumberFormat="1" applyFill="1" applyBorder="1"/>
    <xf numFmtId="221" fontId="0" fillId="4" borderId="90" xfId="0" applyNumberFormat="1" applyFill="1" applyBorder="1" applyProtection="1"/>
    <xf numFmtId="0" fontId="24" fillId="0" borderId="0" xfId="17" applyFont="1" applyBorder="1" applyAlignment="1">
      <alignment vertical="center"/>
    </xf>
    <xf numFmtId="0" fontId="24" fillId="0" borderId="23" xfId="17" applyFont="1" applyBorder="1" applyAlignment="1">
      <alignment vertical="center"/>
    </xf>
    <xf numFmtId="0" fontId="24" fillId="0" borderId="23" xfId="17" applyFont="1" applyBorder="1" applyAlignment="1" applyProtection="1">
      <alignment vertical="center"/>
    </xf>
    <xf numFmtId="176" fontId="33" fillId="3" borderId="89" xfId="0" applyNumberFormat="1" applyFont="1" applyFill="1" applyBorder="1" applyAlignment="1" applyProtection="1">
      <alignment horizontal="right" vertical="center"/>
      <protection locked="0"/>
    </xf>
    <xf numFmtId="176" fontId="33" fillId="3" borderId="78" xfId="0" applyNumberFormat="1" applyFont="1" applyFill="1" applyBorder="1" applyAlignment="1" applyProtection="1">
      <alignment horizontal="right" vertical="center"/>
      <protection locked="0"/>
    </xf>
    <xf numFmtId="176" fontId="33" fillId="3" borderId="30" xfId="0" applyNumberFormat="1" applyFont="1" applyFill="1" applyBorder="1" applyAlignment="1" applyProtection="1">
      <alignment horizontal="right" vertical="center"/>
      <protection locked="0"/>
    </xf>
    <xf numFmtId="170" fontId="33" fillId="3" borderId="78" xfId="0" applyNumberFormat="1" applyFont="1" applyFill="1" applyBorder="1" applyAlignment="1" applyProtection="1">
      <alignment horizontal="right" vertical="center"/>
      <protection locked="0"/>
    </xf>
    <xf numFmtId="197" fontId="33" fillId="3" borderId="78" xfId="0" applyNumberFormat="1" applyFont="1" applyFill="1" applyBorder="1" applyAlignment="1" applyProtection="1">
      <alignment horizontal="right" vertical="center"/>
      <protection locked="0"/>
    </xf>
    <xf numFmtId="0" fontId="44" fillId="0" borderId="91" xfId="0" applyFont="1" applyFill="1" applyBorder="1" applyAlignment="1" applyProtection="1">
      <alignment vertical="center"/>
      <protection locked="0"/>
    </xf>
    <xf numFmtId="0" fontId="44" fillId="3" borderId="2" xfId="0" applyFont="1" applyFill="1" applyBorder="1" applyAlignment="1" applyProtection="1">
      <alignment vertical="center"/>
      <protection locked="0"/>
    </xf>
    <xf numFmtId="0" fontId="0" fillId="0" borderId="12" xfId="0" applyBorder="1" applyAlignment="1" applyProtection="1">
      <alignment horizontal="centerContinuous" vertical="center" wrapText="1"/>
    </xf>
    <xf numFmtId="170" fontId="44" fillId="4" borderId="92" xfId="0" applyNumberFormat="1" applyFont="1" applyFill="1" applyBorder="1" applyAlignment="1" applyProtection="1">
      <alignment horizontal="right"/>
    </xf>
    <xf numFmtId="0" fontId="44" fillId="0" borderId="2" xfId="0" applyFont="1" applyBorder="1" applyAlignment="1" applyProtection="1">
      <alignment vertical="center"/>
    </xf>
    <xf numFmtId="0" fontId="44" fillId="0" borderId="0" xfId="0" applyFont="1" applyAlignment="1" applyProtection="1"/>
    <xf numFmtId="9" fontId="0" fillId="10" borderId="3" xfId="0" applyNumberFormat="1" applyFill="1" applyBorder="1"/>
    <xf numFmtId="9" fontId="0" fillId="8" borderId="0" xfId="0" applyNumberFormat="1" applyFill="1" applyAlignment="1" applyProtection="1">
      <alignment vertical="center"/>
      <protection locked="0"/>
    </xf>
    <xf numFmtId="183" fontId="33" fillId="10" borderId="1" xfId="0" applyNumberFormat="1" applyFont="1" applyFill="1" applyBorder="1" applyAlignment="1" applyProtection="1">
      <alignment horizontal="right" vertical="center"/>
      <protection locked="0"/>
    </xf>
    <xf numFmtId="178" fontId="33" fillId="10" borderId="1" xfId="0" applyNumberFormat="1" applyFont="1" applyFill="1" applyBorder="1" applyAlignment="1" applyProtection="1">
      <alignment horizontal="right" vertical="center"/>
      <protection locked="0"/>
    </xf>
    <xf numFmtId="183" fontId="33" fillId="10" borderId="0" xfId="0" applyNumberFormat="1" applyFont="1" applyFill="1" applyAlignment="1" applyProtection="1">
      <alignment vertical="center"/>
      <protection locked="0"/>
    </xf>
    <xf numFmtId="0" fontId="33" fillId="10" borderId="0" xfId="0" applyFont="1" applyFill="1" applyAlignment="1" applyProtection="1">
      <alignment vertical="center"/>
      <protection locked="0"/>
    </xf>
    <xf numFmtId="0" fontId="19" fillId="10" borderId="0" xfId="0" applyFont="1" applyFill="1" applyAlignment="1" applyProtection="1">
      <alignment vertical="center"/>
      <protection locked="0"/>
    </xf>
    <xf numFmtId="0" fontId="0" fillId="10" borderId="11" xfId="0" applyFill="1" applyBorder="1" applyAlignment="1" applyProtection="1">
      <alignment horizontal="right" vertical="center"/>
      <protection locked="0"/>
    </xf>
    <xf numFmtId="0" fontId="77" fillId="7" borderId="0" xfId="9" applyFill="1" applyAlignment="1" applyProtection="1">
      <alignment vertical="center"/>
    </xf>
    <xf numFmtId="0" fontId="39" fillId="7" borderId="0" xfId="0" applyFont="1" applyFill="1" applyBorder="1" applyAlignment="1">
      <alignment horizontal="center" vertical="top"/>
    </xf>
    <xf numFmtId="0" fontId="130" fillId="7" borderId="0" xfId="0" applyFont="1" applyFill="1" applyAlignment="1">
      <alignment horizontal="centerContinuous"/>
    </xf>
    <xf numFmtId="0" fontId="130" fillId="7" borderId="0" xfId="0" applyFont="1" applyFill="1" applyBorder="1" applyAlignment="1">
      <alignment horizontal="centerContinuous" vertical="top"/>
    </xf>
    <xf numFmtId="0" fontId="81" fillId="7" borderId="0" xfId="0" applyFont="1" applyFill="1" applyBorder="1" applyAlignment="1">
      <alignment horizontal="centerContinuous" vertical="top"/>
    </xf>
    <xf numFmtId="0" fontId="130" fillId="7" borderId="0" xfId="0" applyFont="1" applyFill="1"/>
    <xf numFmtId="0" fontId="130" fillId="7" borderId="0" xfId="0" applyFont="1" applyFill="1" applyAlignment="1">
      <alignment vertical="center"/>
    </xf>
    <xf numFmtId="49" fontId="130" fillId="7" borderId="0" xfId="0" applyNumberFormat="1" applyFont="1" applyFill="1" applyAlignment="1">
      <alignment horizontal="center"/>
    </xf>
    <xf numFmtId="0" fontId="0" fillId="8" borderId="7" xfId="0" applyFill="1" applyBorder="1"/>
    <xf numFmtId="0" fontId="24" fillId="8" borderId="8" xfId="0" applyFont="1" applyFill="1" applyBorder="1" applyAlignment="1" applyProtection="1">
      <alignment vertical="center"/>
    </xf>
    <xf numFmtId="0" fontId="24" fillId="8" borderId="8" xfId="0" applyFont="1" applyFill="1" applyBorder="1" applyAlignment="1" applyProtection="1">
      <alignment horizontal="center" vertical="center"/>
    </xf>
    <xf numFmtId="0" fontId="0" fillId="8" borderId="14" xfId="0" applyFill="1" applyBorder="1"/>
    <xf numFmtId="0" fontId="60" fillId="8" borderId="0" xfId="0" applyFont="1" applyFill="1" applyBorder="1" applyAlignment="1" applyProtection="1">
      <alignment horizontal="centerContinuous" vertical="top"/>
    </xf>
    <xf numFmtId="0" fontId="0" fillId="8" borderId="11" xfId="0" applyFill="1" applyBorder="1" applyAlignment="1">
      <alignment vertical="top"/>
    </xf>
    <xf numFmtId="0" fontId="61" fillId="8" borderId="0" xfId="0" applyFont="1" applyFill="1" applyBorder="1" applyAlignment="1" applyProtection="1">
      <alignment horizontal="centerContinuous" vertical="top"/>
    </xf>
    <xf numFmtId="0" fontId="125" fillId="8" borderId="0" xfId="0" applyFont="1" applyFill="1" applyBorder="1" applyAlignment="1" applyProtection="1">
      <alignment horizontal="centerContinuous" vertical="top"/>
    </xf>
    <xf numFmtId="0" fontId="126" fillId="8" borderId="0" xfId="0" applyFont="1" applyFill="1" applyBorder="1" applyAlignment="1" applyProtection="1">
      <alignment horizontal="centerContinuous" vertical="top"/>
    </xf>
    <xf numFmtId="17" fontId="61" fillId="8" borderId="0" xfId="0" applyNumberFormat="1" applyFont="1" applyFill="1" applyBorder="1" applyAlignment="1" applyProtection="1">
      <alignment horizontal="centerContinuous" vertical="top"/>
    </xf>
    <xf numFmtId="49" fontId="126" fillId="8" borderId="0" xfId="0" applyNumberFormat="1" applyFont="1" applyFill="1" applyBorder="1" applyAlignment="1" applyProtection="1">
      <alignment horizontal="centerContinuous" vertical="top"/>
    </xf>
    <xf numFmtId="0" fontId="64" fillId="8" borderId="0" xfId="0" applyFont="1" applyFill="1" applyBorder="1" applyAlignment="1" applyProtection="1">
      <alignment horizontal="centerContinuous" vertical="top"/>
    </xf>
    <xf numFmtId="0" fontId="61" fillId="8" borderId="2" xfId="0" applyFont="1" applyFill="1" applyBorder="1" applyAlignment="1" applyProtection="1">
      <alignment horizontal="centerContinuous" vertical="top"/>
    </xf>
    <xf numFmtId="0" fontId="0" fillId="8" borderId="25" xfId="0" applyFill="1" applyBorder="1" applyAlignment="1">
      <alignment vertical="top"/>
    </xf>
    <xf numFmtId="0" fontId="62" fillId="7" borderId="0" xfId="0" applyFont="1" applyFill="1" applyBorder="1" applyAlignment="1" applyProtection="1"/>
    <xf numFmtId="0" fontId="58" fillId="7" borderId="0" xfId="0" applyFont="1" applyFill="1" applyBorder="1" applyAlignment="1" applyProtection="1">
      <alignment vertical="top"/>
    </xf>
    <xf numFmtId="0" fontId="26" fillId="7" borderId="19" xfId="0" applyFont="1" applyFill="1" applyBorder="1" applyAlignment="1" applyProtection="1">
      <alignment horizontal="left" vertical="center"/>
    </xf>
    <xf numFmtId="9" fontId="26" fillId="7" borderId="15" xfId="0" applyNumberFormat="1" applyFont="1" applyFill="1" applyBorder="1" applyAlignment="1" applyProtection="1">
      <alignment horizontal="center" vertical="center"/>
    </xf>
    <xf numFmtId="9" fontId="26" fillId="7" borderId="2" xfId="0" applyNumberFormat="1" applyFont="1" applyFill="1" applyBorder="1" applyAlignment="1" applyProtection="1">
      <alignment horizontal="center" vertical="center"/>
    </xf>
    <xf numFmtId="2" fontId="26" fillId="7" borderId="19" xfId="0" applyNumberFormat="1" applyFont="1" applyFill="1" applyBorder="1" applyAlignment="1" applyProtection="1">
      <alignment horizontal="center"/>
    </xf>
    <xf numFmtId="2" fontId="26" fillId="7" borderId="0" xfId="0" applyNumberFormat="1" applyFont="1" applyFill="1" applyBorder="1" applyAlignment="1" applyProtection="1">
      <alignment horizontal="center"/>
    </xf>
    <xf numFmtId="0" fontId="26" fillId="7" borderId="0" xfId="0" applyFont="1" applyFill="1" applyBorder="1" applyProtection="1"/>
    <xf numFmtId="2" fontId="26" fillId="7" borderId="2" xfId="0" applyNumberFormat="1" applyFont="1" applyFill="1" applyBorder="1" applyAlignment="1" applyProtection="1">
      <alignment horizontal="center"/>
    </xf>
    <xf numFmtId="222" fontId="33" fillId="3" borderId="19" xfId="0" applyNumberFormat="1" applyFont="1" applyFill="1" applyBorder="1" applyAlignment="1" applyProtection="1">
      <alignment horizontal="right" vertical="center"/>
      <protection locked="0"/>
    </xf>
    <xf numFmtId="174" fontId="33" fillId="3" borderId="33" xfId="0" applyNumberFormat="1" applyFont="1" applyFill="1" applyBorder="1" applyAlignment="1" applyProtection="1">
      <alignment horizontal="right" vertical="center"/>
      <protection locked="0"/>
    </xf>
    <xf numFmtId="210" fontId="44" fillId="10" borderId="148" xfId="0" applyNumberFormat="1" applyFont="1" applyFill="1" applyBorder="1" applyAlignment="1" applyProtection="1">
      <alignment horizontal="right" vertical="center"/>
      <protection locked="0"/>
    </xf>
    <xf numFmtId="210" fontId="33" fillId="10" borderId="148" xfId="0" applyNumberFormat="1" applyFont="1" applyFill="1" applyBorder="1" applyAlignment="1" applyProtection="1">
      <alignment horizontal="right" vertical="center"/>
      <protection locked="0"/>
    </xf>
    <xf numFmtId="0" fontId="92" fillId="0" borderId="6" xfId="0" applyFont="1" applyBorder="1" applyAlignment="1">
      <alignment vertical="top"/>
    </xf>
    <xf numFmtId="0" fontId="41" fillId="0" borderId="65" xfId="0" applyFont="1" applyFill="1" applyBorder="1" applyAlignment="1">
      <alignment vertical="center"/>
    </xf>
    <xf numFmtId="0" fontId="41" fillId="0" borderId="62" xfId="0" applyFont="1" applyFill="1" applyBorder="1" applyAlignment="1">
      <alignment vertical="center"/>
    </xf>
    <xf numFmtId="8" fontId="41" fillId="0" borderId="62" xfId="0" applyNumberFormat="1" applyFont="1" applyFill="1" applyBorder="1" applyAlignment="1">
      <alignment vertical="center"/>
    </xf>
    <xf numFmtId="0" fontId="41" fillId="0" borderId="62" xfId="0" applyFont="1" applyFill="1" applyBorder="1" applyAlignment="1">
      <alignment horizontal="left" vertical="center"/>
    </xf>
    <xf numFmtId="218" fontId="41" fillId="0" borderId="62" xfId="0" applyNumberFormat="1" applyFont="1" applyFill="1" applyBorder="1" applyAlignment="1">
      <alignment horizontal="left" vertical="center"/>
    </xf>
    <xf numFmtId="0" fontId="41" fillId="0" borderId="66" xfId="0" applyFont="1" applyFill="1" applyBorder="1" applyAlignment="1">
      <alignment vertical="center"/>
    </xf>
    <xf numFmtId="218" fontId="41" fillId="0" borderId="62" xfId="0" applyNumberFormat="1" applyFont="1" applyFill="1" applyBorder="1" applyAlignment="1">
      <alignment vertical="center"/>
    </xf>
    <xf numFmtId="0" fontId="39" fillId="4" borderId="63" xfId="0" applyFont="1" applyFill="1" applyBorder="1" applyAlignment="1">
      <alignment vertical="center"/>
    </xf>
    <xf numFmtId="0" fontId="39" fillId="4" borderId="0" xfId="0" applyFont="1" applyFill="1" applyBorder="1" applyAlignment="1">
      <alignment vertical="center"/>
    </xf>
    <xf numFmtId="166" fontId="39" fillId="0" borderId="0" xfId="0" applyNumberFormat="1" applyFont="1" applyBorder="1" applyAlignment="1">
      <alignment horizontal="center" vertical="center"/>
    </xf>
    <xf numFmtId="166" fontId="39" fillId="0" borderId="9" xfId="0" applyNumberFormat="1" applyFont="1" applyBorder="1" applyAlignment="1">
      <alignment horizontal="center" vertical="center"/>
    </xf>
    <xf numFmtId="166" fontId="39" fillId="0" borderId="67" xfId="0" applyNumberFormat="1" applyFont="1" applyBorder="1" applyAlignment="1">
      <alignment horizontal="center" vertical="center"/>
    </xf>
    <xf numFmtId="166" fontId="39" fillId="0" borderId="11" xfId="0" applyNumberFormat="1" applyFont="1" applyBorder="1" applyAlignment="1">
      <alignment horizontal="center" vertical="center"/>
    </xf>
    <xf numFmtId="166" fontId="39" fillId="0" borderId="68" xfId="0" applyNumberFormat="1" applyFont="1" applyBorder="1" applyAlignment="1">
      <alignment horizontal="center" vertical="center"/>
    </xf>
    <xf numFmtId="170" fontId="26" fillId="8" borderId="9" xfId="0" applyNumberFormat="1" applyFont="1" applyFill="1" applyBorder="1" applyAlignment="1" applyProtection="1">
      <alignment horizontal="right" vertical="center"/>
      <protection locked="0"/>
    </xf>
    <xf numFmtId="185" fontId="33" fillId="10" borderId="6" xfId="0" applyNumberFormat="1" applyFont="1" applyFill="1" applyBorder="1" applyAlignment="1" applyProtection="1">
      <alignment horizontal="right" vertical="center"/>
      <protection locked="0"/>
    </xf>
    <xf numFmtId="9" fontId="74" fillId="8" borderId="3" xfId="0" applyNumberFormat="1" applyFont="1" applyFill="1" applyBorder="1" applyAlignment="1" applyProtection="1">
      <alignment horizontal="centerContinuous" vertical="center"/>
      <protection locked="0"/>
    </xf>
    <xf numFmtId="176" fontId="33" fillId="0" borderId="30" xfId="0" applyNumberFormat="1" applyFont="1" applyFill="1" applyBorder="1" applyAlignment="1" applyProtection="1">
      <alignment horizontal="right" vertical="center"/>
    </xf>
    <xf numFmtId="176" fontId="33" fillId="0" borderId="78" xfId="0" applyNumberFormat="1" applyFont="1" applyFill="1" applyBorder="1" applyAlignment="1" applyProtection="1">
      <alignment horizontal="right" vertical="center"/>
    </xf>
    <xf numFmtId="3" fontId="24" fillId="8" borderId="22" xfId="0" applyNumberFormat="1" applyFont="1" applyFill="1" applyBorder="1" applyAlignment="1" applyProtection="1">
      <alignment vertical="center"/>
      <protection locked="0"/>
    </xf>
    <xf numFmtId="2" fontId="35" fillId="0" borderId="3" xfId="0" applyNumberFormat="1" applyFont="1" applyBorder="1" applyAlignment="1" applyProtection="1">
      <alignment horizontal="center" vertical="center"/>
    </xf>
    <xf numFmtId="4" fontId="26" fillId="8" borderId="2" xfId="0" applyNumberFormat="1" applyFont="1" applyFill="1" applyBorder="1" applyAlignment="1" applyProtection="1">
      <alignment horizontal="center" vertical="center"/>
      <protection locked="0"/>
    </xf>
    <xf numFmtId="4" fontId="26" fillId="8" borderId="15" xfId="0" applyNumberFormat="1" applyFont="1" applyFill="1" applyBorder="1" applyAlignment="1" applyProtection="1">
      <alignment horizontal="center" vertical="center"/>
      <protection locked="0"/>
    </xf>
    <xf numFmtId="4" fontId="26" fillId="8" borderId="16" xfId="0" applyNumberFormat="1" applyFont="1" applyFill="1" applyBorder="1" applyAlignment="1" applyProtection="1">
      <alignment horizontal="center" vertical="center"/>
      <protection locked="0"/>
    </xf>
    <xf numFmtId="4" fontId="26" fillId="3" borderId="50" xfId="0" applyNumberFormat="1" applyFont="1" applyFill="1" applyBorder="1" applyAlignment="1" applyProtection="1">
      <alignment vertical="center"/>
      <protection locked="0"/>
    </xf>
    <xf numFmtId="4" fontId="26" fillId="7" borderId="15" xfId="0" applyNumberFormat="1" applyFont="1" applyFill="1" applyBorder="1" applyAlignment="1" applyProtection="1">
      <alignment vertical="center"/>
    </xf>
    <xf numFmtId="4" fontId="26" fillId="7" borderId="125" xfId="0" applyNumberFormat="1" applyFont="1" applyFill="1" applyBorder="1" applyAlignment="1" applyProtection="1">
      <alignment vertical="center"/>
    </xf>
    <xf numFmtId="0" fontId="20" fillId="0" borderId="7" xfId="0" applyFont="1" applyBorder="1" applyAlignment="1">
      <alignment horizontal="centerContinuous" wrapText="1"/>
    </xf>
    <xf numFmtId="0" fontId="20" fillId="0" borderId="8" xfId="0" applyFont="1" applyBorder="1" applyAlignment="1">
      <alignment vertical="top"/>
    </xf>
    <xf numFmtId="0" fontId="27" fillId="0" borderId="8" xfId="0" applyFont="1" applyFill="1" applyBorder="1" applyAlignment="1">
      <alignment horizontal="right"/>
    </xf>
    <xf numFmtId="0" fontId="32" fillId="0" borderId="8" xfId="0" applyFont="1" applyFill="1" applyBorder="1" applyAlignment="1" applyProtection="1">
      <alignment horizontal="left"/>
    </xf>
    <xf numFmtId="0" fontId="22" fillId="0" borderId="8" xfId="0" applyFont="1" applyFill="1" applyBorder="1" applyAlignment="1">
      <alignment horizontal="left"/>
    </xf>
    <xf numFmtId="0" fontId="27" fillId="0" borderId="6" xfId="0" applyFont="1" applyBorder="1" applyAlignment="1">
      <alignment vertical="top"/>
    </xf>
    <xf numFmtId="0" fontId="22" fillId="0" borderId="12" xfId="0" applyFont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22" fillId="0" borderId="23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0" fillId="0" borderId="0" xfId="0" applyFont="1" applyBorder="1" applyAlignment="1">
      <alignment horizontal="right" vertical="center"/>
    </xf>
    <xf numFmtId="0" fontId="22" fillId="0" borderId="0" xfId="0" applyFont="1" applyBorder="1" applyAlignment="1">
      <alignment vertical="center"/>
    </xf>
    <xf numFmtId="0" fontId="25" fillId="0" borderId="0" xfId="0" applyFont="1" applyAlignment="1" applyProtection="1">
      <alignment vertical="center"/>
    </xf>
    <xf numFmtId="173" fontId="24" fillId="7" borderId="5" xfId="14" applyNumberFormat="1" applyFont="1" applyFill="1" applyBorder="1" applyAlignment="1">
      <alignment vertical="center"/>
    </xf>
    <xf numFmtId="185" fontId="24" fillId="7" borderId="11" xfId="14" applyNumberFormat="1" applyFont="1" applyFill="1" applyBorder="1" applyAlignment="1">
      <alignment vertical="center"/>
    </xf>
    <xf numFmtId="173" fontId="24" fillId="6" borderId="5" xfId="14" applyNumberFormat="1" applyFont="1" applyFill="1" applyBorder="1" applyAlignment="1">
      <alignment vertical="center"/>
    </xf>
    <xf numFmtId="185" fontId="24" fillId="6" borderId="11" xfId="14" applyNumberFormat="1" applyFont="1" applyFill="1" applyBorder="1" applyAlignment="1">
      <alignment vertical="center"/>
    </xf>
    <xf numFmtId="185" fontId="24" fillId="7" borderId="14" xfId="14" applyNumberFormat="1" applyFont="1" applyFill="1" applyBorder="1" applyAlignment="1">
      <alignment vertical="center"/>
    </xf>
    <xf numFmtId="185" fontId="24" fillId="6" borderId="14" xfId="14" applyNumberFormat="1" applyFont="1" applyFill="1" applyBorder="1" applyAlignment="1">
      <alignment vertical="center"/>
    </xf>
    <xf numFmtId="0" fontId="20" fillId="0" borderId="5" xfId="0" applyFont="1" applyBorder="1" applyAlignment="1">
      <alignment horizontal="right" vertical="center"/>
    </xf>
    <xf numFmtId="0" fontId="24" fillId="0" borderId="27" xfId="0" applyFont="1" applyBorder="1" applyAlignment="1">
      <alignment vertical="center"/>
    </xf>
    <xf numFmtId="0" fontId="26" fillId="0" borderId="27" xfId="0" applyFont="1" applyBorder="1" applyAlignment="1">
      <alignment horizontal="left" vertical="center"/>
    </xf>
    <xf numFmtId="173" fontId="24" fillId="7" borderId="5" xfId="0" applyNumberFormat="1" applyFont="1" applyFill="1" applyBorder="1" applyAlignment="1">
      <alignment horizontal="right" vertical="center"/>
    </xf>
    <xf numFmtId="173" fontId="24" fillId="6" borderId="5" xfId="0" applyNumberFormat="1" applyFont="1" applyFill="1" applyBorder="1" applyAlignment="1">
      <alignment horizontal="right" vertical="center"/>
    </xf>
    <xf numFmtId="0" fontId="24" fillId="0" borderId="26" xfId="17" applyFont="1" applyBorder="1" applyAlignment="1">
      <alignment vertical="center"/>
    </xf>
    <xf numFmtId="0" fontId="24" fillId="0" borderId="5" xfId="17" applyFont="1" applyBorder="1" applyAlignment="1" applyProtection="1">
      <alignment vertical="center"/>
    </xf>
    <xf numFmtId="0" fontId="24" fillId="0" borderId="0" xfId="17" applyFont="1" applyBorder="1" applyAlignment="1" applyProtection="1">
      <alignment vertical="center"/>
    </xf>
    <xf numFmtId="0" fontId="24" fillId="0" borderId="26" xfId="17" applyFont="1" applyBorder="1" applyAlignment="1" applyProtection="1">
      <alignment vertical="center"/>
    </xf>
    <xf numFmtId="0" fontId="24" fillId="0" borderId="27" xfId="17" applyFont="1" applyBorder="1" applyAlignment="1" applyProtection="1">
      <alignment vertical="center"/>
    </xf>
    <xf numFmtId="0" fontId="26" fillId="0" borderId="27" xfId="17" applyFont="1" applyFill="1" applyBorder="1" applyAlignment="1" applyProtection="1">
      <alignment horizontal="left" vertical="center"/>
    </xf>
    <xf numFmtId="0" fontId="20" fillId="0" borderId="11" xfId="0" applyFont="1" applyBorder="1" applyAlignment="1">
      <alignment horizontal="right" vertical="center"/>
    </xf>
    <xf numFmtId="198" fontId="24" fillId="7" borderId="0" xfId="14" applyNumberFormat="1" applyFont="1" applyFill="1" applyBorder="1" applyAlignment="1">
      <alignment vertical="center"/>
    </xf>
    <xf numFmtId="198" fontId="24" fillId="6" borderId="0" xfId="14" applyNumberFormat="1" applyFont="1" applyFill="1" applyBorder="1" applyAlignment="1">
      <alignment vertical="center"/>
    </xf>
    <xf numFmtId="0" fontId="35" fillId="0" borderId="29" xfId="17" applyFont="1" applyBorder="1" applyAlignment="1" applyProtection="1">
      <alignment vertical="center"/>
    </xf>
    <xf numFmtId="170" fontId="33" fillId="7" borderId="40" xfId="14" applyNumberFormat="1" applyFont="1" applyFill="1" applyBorder="1" applyAlignment="1">
      <alignment horizontal="center" vertical="center"/>
    </xf>
    <xf numFmtId="170" fontId="33" fillId="6" borderId="40" xfId="14" applyNumberFormat="1" applyFont="1" applyFill="1" applyBorder="1" applyAlignment="1">
      <alignment horizontal="center" vertical="center"/>
    </xf>
    <xf numFmtId="171" fontId="33" fillId="7" borderId="19" xfId="17" applyNumberFormat="1" applyFont="1" applyFill="1" applyBorder="1" applyAlignment="1" applyProtection="1">
      <alignment horizontal="center" vertical="center"/>
    </xf>
    <xf numFmtId="171" fontId="33" fillId="7" borderId="49" xfId="17" applyNumberFormat="1" applyFont="1" applyFill="1" applyBorder="1" applyAlignment="1" applyProtection="1">
      <alignment horizontal="center" vertical="center"/>
    </xf>
    <xf numFmtId="171" fontId="33" fillId="7" borderId="43" xfId="17" applyNumberFormat="1" applyFont="1" applyFill="1" applyBorder="1" applyAlignment="1" applyProtection="1">
      <alignment horizontal="right" vertical="center"/>
    </xf>
    <xf numFmtId="170" fontId="33" fillId="7" borderId="43" xfId="14" applyNumberFormat="1" applyFont="1" applyFill="1" applyBorder="1" applyAlignment="1">
      <alignment vertical="center"/>
    </xf>
    <xf numFmtId="170" fontId="33" fillId="6" borderId="43" xfId="14" applyNumberFormat="1" applyFont="1" applyFill="1" applyBorder="1" applyAlignment="1">
      <alignment vertical="center"/>
    </xf>
    <xf numFmtId="170" fontId="33" fillId="6" borderId="16" xfId="14" applyNumberFormat="1" applyFont="1" applyFill="1" applyBorder="1" applyAlignment="1" applyProtection="1">
      <alignment vertical="center"/>
    </xf>
    <xf numFmtId="0" fontId="35" fillId="0" borderId="11" xfId="0" applyFont="1" applyBorder="1" applyAlignment="1">
      <alignment vertical="center"/>
    </xf>
    <xf numFmtId="0" fontId="35" fillId="0" borderId="28" xfId="17" applyFont="1" applyBorder="1" applyAlignment="1" applyProtection="1">
      <alignment vertical="center"/>
    </xf>
    <xf numFmtId="0" fontId="35" fillId="0" borderId="0" xfId="17" applyFont="1" applyBorder="1" applyAlignment="1" applyProtection="1">
      <alignment vertical="center"/>
    </xf>
    <xf numFmtId="166" fontId="26" fillId="7" borderId="0" xfId="14" applyNumberFormat="1" applyFont="1" applyFill="1" applyBorder="1" applyAlignment="1">
      <alignment vertical="center"/>
    </xf>
    <xf numFmtId="166" fontId="26" fillId="6" borderId="0" xfId="14" applyNumberFormat="1" applyFont="1" applyFill="1" applyBorder="1" applyAlignment="1">
      <alignment vertical="center"/>
    </xf>
    <xf numFmtId="0" fontId="35" fillId="0" borderId="0" xfId="0" applyFont="1" applyAlignment="1" applyProtection="1">
      <alignment vertical="center"/>
    </xf>
    <xf numFmtId="0" fontId="35" fillId="0" borderId="0" xfId="0" applyFont="1" applyAlignment="1">
      <alignment vertical="center"/>
    </xf>
    <xf numFmtId="0" fontId="35" fillId="0" borderId="6" xfId="0" applyFont="1" applyBorder="1" applyAlignment="1">
      <alignment vertical="center"/>
    </xf>
    <xf numFmtId="0" fontId="35" fillId="0" borderId="25" xfId="0" applyFont="1" applyBorder="1" applyAlignment="1">
      <alignment vertical="center"/>
    </xf>
    <xf numFmtId="0" fontId="35" fillId="0" borderId="6" xfId="17" applyFont="1" applyBorder="1" applyAlignment="1" applyProtection="1">
      <alignment vertical="center"/>
    </xf>
    <xf numFmtId="0" fontId="24" fillId="0" borderId="2" xfId="17" applyFont="1" applyBorder="1" applyAlignment="1" applyProtection="1">
      <alignment vertical="center"/>
    </xf>
    <xf numFmtId="166" fontId="24" fillId="7" borderId="2" xfId="14" applyNumberFormat="1" applyFont="1" applyFill="1" applyBorder="1" applyAlignment="1">
      <alignment vertical="center"/>
    </xf>
    <xf numFmtId="170" fontId="35" fillId="7" borderId="25" xfId="0" applyNumberFormat="1" applyFont="1" applyFill="1" applyBorder="1" applyAlignment="1">
      <alignment horizontal="right" vertical="center"/>
    </xf>
    <xf numFmtId="166" fontId="24" fillId="6" borderId="2" xfId="14" applyNumberFormat="1" applyFont="1" applyFill="1" applyBorder="1" applyAlignment="1">
      <alignment vertical="center"/>
    </xf>
    <xf numFmtId="170" fontId="35" fillId="6" borderId="25" xfId="0" applyNumberFormat="1" applyFont="1" applyFill="1" applyBorder="1" applyAlignment="1">
      <alignment horizontal="right" vertical="center"/>
    </xf>
    <xf numFmtId="173" fontId="35" fillId="7" borderId="5" xfId="0" applyNumberFormat="1" applyFont="1" applyFill="1" applyBorder="1" applyAlignment="1">
      <alignment horizontal="right" vertical="center"/>
    </xf>
    <xf numFmtId="173" fontId="35" fillId="6" borderId="5" xfId="0" applyNumberFormat="1" applyFont="1" applyFill="1" applyBorder="1" applyAlignment="1">
      <alignment horizontal="right" vertical="center"/>
    </xf>
    <xf numFmtId="0" fontId="33" fillId="0" borderId="126" xfId="17" applyFont="1" applyBorder="1" applyAlignment="1" applyProtection="1">
      <alignment horizontal="right" vertical="center"/>
    </xf>
    <xf numFmtId="173" fontId="24" fillId="7" borderId="25" xfId="0" applyNumberFormat="1" applyFont="1" applyFill="1" applyBorder="1" applyAlignment="1">
      <alignment horizontal="right" vertical="center"/>
    </xf>
    <xf numFmtId="173" fontId="24" fillId="6" borderId="25" xfId="0" applyNumberFormat="1" applyFont="1" applyFill="1" applyBorder="1" applyAlignment="1">
      <alignment horizontal="right" vertical="center"/>
    </xf>
    <xf numFmtId="0" fontId="24" fillId="0" borderId="7" xfId="17" applyFont="1" applyBorder="1" applyAlignment="1" applyProtection="1">
      <alignment vertical="center"/>
    </xf>
    <xf numFmtId="0" fontId="24" fillId="0" borderId="6" xfId="17" applyFont="1" applyBorder="1" applyAlignment="1" applyProtection="1">
      <alignment vertical="center"/>
    </xf>
    <xf numFmtId="185" fontId="24" fillId="7" borderId="25" xfId="14" applyNumberFormat="1" applyFont="1" applyFill="1" applyBorder="1" applyAlignment="1">
      <alignment vertical="center"/>
    </xf>
    <xf numFmtId="185" fontId="24" fillId="6" borderId="25" xfId="14" applyNumberFormat="1" applyFont="1" applyFill="1" applyBorder="1" applyAlignment="1">
      <alignment vertical="center"/>
    </xf>
    <xf numFmtId="185" fontId="24" fillId="6" borderId="47" xfId="14" applyNumberFormat="1" applyFont="1" applyFill="1" applyBorder="1" applyAlignment="1">
      <alignment vertical="center"/>
    </xf>
    <xf numFmtId="0" fontId="24" fillId="0" borderId="12" xfId="17" applyFont="1" applyBorder="1" applyAlignment="1">
      <alignment vertical="center"/>
    </xf>
    <xf numFmtId="0" fontId="24" fillId="0" borderId="31" xfId="17" applyFont="1" applyBorder="1" applyAlignment="1">
      <alignment vertical="center"/>
    </xf>
    <xf numFmtId="0" fontId="26" fillId="0" borderId="31" xfId="17" applyFont="1" applyBorder="1" applyAlignment="1" applyProtection="1">
      <alignment horizontal="left" vertical="center"/>
    </xf>
    <xf numFmtId="0" fontId="32" fillId="0" borderId="83" xfId="0" applyFont="1" applyBorder="1" applyAlignment="1">
      <alignment vertical="top"/>
    </xf>
    <xf numFmtId="0" fontId="32" fillId="0" borderId="85" xfId="0" applyFont="1" applyBorder="1" applyAlignment="1">
      <alignment vertical="top"/>
    </xf>
    <xf numFmtId="0" fontId="27" fillId="0" borderId="85" xfId="0" applyFont="1" applyBorder="1" applyAlignment="1">
      <alignment horizontal="left"/>
    </xf>
    <xf numFmtId="0" fontId="22" fillId="4" borderId="86" xfId="0" applyFont="1" applyFill="1" applyBorder="1" applyAlignment="1">
      <alignment horizontal="right"/>
    </xf>
    <xf numFmtId="0" fontId="32" fillId="0" borderId="0" xfId="0" applyFont="1" applyBorder="1" applyAlignment="1">
      <alignment vertical="top"/>
    </xf>
    <xf numFmtId="185" fontId="26" fillId="7" borderId="55" xfId="0" applyNumberFormat="1" applyFont="1" applyFill="1" applyBorder="1" applyAlignment="1">
      <alignment horizontal="right" vertical="center"/>
    </xf>
    <xf numFmtId="185" fontId="26" fillId="4" borderId="55" xfId="0" applyNumberFormat="1" applyFont="1" applyFill="1" applyBorder="1" applyAlignment="1">
      <alignment horizontal="right" vertical="center"/>
    </xf>
    <xf numFmtId="185" fontId="26" fillId="7" borderId="112" xfId="0" applyNumberFormat="1" applyFont="1" applyFill="1" applyBorder="1" applyAlignment="1">
      <alignment horizontal="right" vertical="center"/>
    </xf>
    <xf numFmtId="0" fontId="26" fillId="0" borderId="62" xfId="0" applyFont="1" applyBorder="1" applyAlignment="1">
      <alignment horizontal="right" vertical="center"/>
    </xf>
    <xf numFmtId="0" fontId="26" fillId="0" borderId="62" xfId="0" applyFont="1" applyBorder="1" applyAlignment="1">
      <alignment horizontal="left" vertical="center"/>
    </xf>
    <xf numFmtId="185" fontId="24" fillId="7" borderId="0" xfId="0" applyNumberFormat="1" applyFont="1" applyFill="1" applyBorder="1" applyAlignment="1">
      <alignment vertical="center"/>
    </xf>
    <xf numFmtId="185" fontId="24" fillId="0" borderId="0" xfId="0" applyNumberFormat="1" applyFont="1" applyFill="1" applyBorder="1" applyAlignment="1">
      <alignment vertical="center"/>
    </xf>
    <xf numFmtId="170" fontId="26" fillId="7" borderId="93" xfId="0" applyNumberFormat="1" applyFont="1" applyFill="1" applyBorder="1" applyAlignment="1">
      <alignment horizontal="right" vertical="center"/>
    </xf>
    <xf numFmtId="170" fontId="26" fillId="7" borderId="94" xfId="0" applyNumberFormat="1" applyFont="1" applyFill="1" applyBorder="1" applyAlignment="1">
      <alignment horizontal="right" vertical="center"/>
    </xf>
    <xf numFmtId="170" fontId="26" fillId="7" borderId="9" xfId="0" applyNumberFormat="1" applyFont="1" applyFill="1" applyBorder="1" applyAlignment="1">
      <alignment horizontal="right" vertical="center"/>
    </xf>
    <xf numFmtId="170" fontId="26" fillId="7" borderId="67" xfId="0" applyNumberFormat="1" applyFont="1" applyFill="1" applyBorder="1" applyAlignment="1">
      <alignment horizontal="right" vertical="center"/>
    </xf>
    <xf numFmtId="170" fontId="26" fillId="7" borderId="71" xfId="0" applyNumberFormat="1" applyFont="1" applyFill="1" applyBorder="1" applyAlignment="1">
      <alignment horizontal="right" vertical="center"/>
    </xf>
    <xf numFmtId="0" fontId="23" fillId="4" borderId="31" xfId="17" applyFont="1" applyFill="1" applyBorder="1" applyAlignment="1" applyProtection="1">
      <alignment vertical="center"/>
    </xf>
    <xf numFmtId="0" fontId="20" fillId="0" borderId="0" xfId="17" applyFont="1" applyFill="1" applyBorder="1" applyAlignment="1" applyProtection="1">
      <alignment vertical="center"/>
    </xf>
    <xf numFmtId="188" fontId="24" fillId="4" borderId="9" xfId="0" applyNumberFormat="1" applyFont="1" applyFill="1" applyBorder="1" applyAlignment="1">
      <alignment horizontal="right" vertical="center"/>
    </xf>
    <xf numFmtId="188" fontId="24" fillId="0" borderId="95" xfId="0" applyNumberFormat="1" applyFont="1" applyFill="1" applyBorder="1" applyAlignment="1">
      <alignment horizontal="right" vertical="center"/>
    </xf>
    <xf numFmtId="188" fontId="24" fillId="4" borderId="95" xfId="0" applyNumberFormat="1" applyFont="1" applyFill="1" applyBorder="1" applyAlignment="1">
      <alignment horizontal="right" vertical="center"/>
    </xf>
    <xf numFmtId="188" fontId="24" fillId="0" borderId="127" xfId="0" applyNumberFormat="1" applyFont="1" applyFill="1" applyBorder="1" applyAlignment="1">
      <alignment horizontal="right" vertical="center"/>
    </xf>
    <xf numFmtId="188" fontId="24" fillId="0" borderId="0" xfId="0" applyNumberFormat="1" applyFont="1" applyFill="1" applyBorder="1" applyAlignment="1">
      <alignment horizontal="right" vertical="center"/>
    </xf>
    <xf numFmtId="0" fontId="26" fillId="7" borderId="0" xfId="17" applyFont="1" applyFill="1" applyBorder="1" applyAlignment="1" applyProtection="1">
      <alignment horizontal="left" vertical="center"/>
    </xf>
    <xf numFmtId="170" fontId="26" fillId="0" borderId="9" xfId="0" applyNumberFormat="1" applyFont="1" applyFill="1" applyBorder="1" applyAlignment="1">
      <alignment horizontal="right" vertical="center"/>
    </xf>
    <xf numFmtId="170" fontId="26" fillId="4" borderId="11" xfId="0" applyNumberFormat="1" applyFont="1" applyFill="1" applyBorder="1" applyAlignment="1">
      <alignment horizontal="right" vertical="center"/>
    </xf>
    <xf numFmtId="170" fontId="26" fillId="7" borderId="64" xfId="0" applyNumberFormat="1" applyFont="1" applyFill="1" applyBorder="1" applyAlignment="1">
      <alignment horizontal="right" vertical="center"/>
    </xf>
    <xf numFmtId="182" fontId="24" fillId="0" borderId="0" xfId="0" applyNumberFormat="1" applyFont="1" applyBorder="1" applyAlignment="1">
      <alignment horizontal="right" vertical="center"/>
    </xf>
    <xf numFmtId="182" fontId="24" fillId="6" borderId="0" xfId="0" applyNumberFormat="1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0" fontId="28" fillId="0" borderId="31" xfId="17" applyFont="1" applyBorder="1" applyAlignment="1" applyProtection="1">
      <alignment vertical="center"/>
    </xf>
    <xf numFmtId="0" fontId="20" fillId="0" borderId="0" xfId="0" applyFont="1" applyBorder="1"/>
    <xf numFmtId="0" fontId="20" fillId="0" borderId="0" xfId="0" applyFont="1" applyAlignment="1">
      <alignment vertical="center"/>
    </xf>
    <xf numFmtId="0" fontId="24" fillId="4" borderId="0" xfId="17" applyFont="1" applyFill="1" applyBorder="1" applyAlignment="1" applyProtection="1">
      <alignment horizontal="right" vertical="center"/>
    </xf>
    <xf numFmtId="171" fontId="24" fillId="0" borderId="0" xfId="0" applyNumberFormat="1" applyFont="1" applyBorder="1" applyAlignment="1">
      <alignment horizontal="right" vertical="center"/>
    </xf>
    <xf numFmtId="171" fontId="24" fillId="6" borderId="0" xfId="0" applyNumberFormat="1" applyFont="1" applyFill="1" applyBorder="1" applyAlignment="1">
      <alignment horizontal="right" vertical="center"/>
    </xf>
    <xf numFmtId="0" fontId="24" fillId="0" borderId="2" xfId="17" applyFont="1" applyFill="1" applyBorder="1" applyAlignment="1" applyProtection="1">
      <alignment horizontal="right" vertical="center"/>
    </xf>
    <xf numFmtId="171" fontId="24" fillId="7" borderId="0" xfId="0" applyNumberFormat="1" applyFont="1" applyFill="1" applyBorder="1" applyAlignment="1">
      <alignment horizontal="right" vertical="center"/>
    </xf>
    <xf numFmtId="0" fontId="24" fillId="7" borderId="0" xfId="17" applyFont="1" applyFill="1" applyBorder="1" applyAlignment="1" applyProtection="1">
      <alignment horizontal="right" vertical="center"/>
    </xf>
    <xf numFmtId="0" fontId="24" fillId="7" borderId="2" xfId="17" applyFont="1" applyFill="1" applyBorder="1" applyAlignment="1" applyProtection="1">
      <alignment horizontal="right" vertical="center"/>
    </xf>
    <xf numFmtId="0" fontId="23" fillId="4" borderId="8" xfId="17" applyFont="1" applyFill="1" applyBorder="1" applyAlignment="1" applyProtection="1">
      <alignment vertical="center"/>
    </xf>
    <xf numFmtId="0" fontId="20" fillId="0" borderId="0" xfId="0" applyFont="1" applyBorder="1" applyAlignment="1">
      <alignment horizontal="left" vertical="center" wrapText="1"/>
    </xf>
    <xf numFmtId="0" fontId="141" fillId="0" borderId="0" xfId="0" applyFont="1" applyAlignment="1" applyProtection="1">
      <alignment horizontal="center" vertical="center"/>
    </xf>
    <xf numFmtId="0" fontId="0" fillId="11" borderId="0" xfId="0" applyFill="1" applyAlignment="1">
      <alignment vertical="center"/>
    </xf>
    <xf numFmtId="0" fontId="0" fillId="11" borderId="0" xfId="0" applyFill="1" applyBorder="1" applyAlignment="1">
      <alignment vertical="center"/>
    </xf>
    <xf numFmtId="0" fontId="33" fillId="7" borderId="0" xfId="17" applyFont="1" applyFill="1" applyBorder="1" applyAlignment="1" applyProtection="1">
      <alignment horizontal="center" vertical="center"/>
    </xf>
    <xf numFmtId="0" fontId="40" fillId="0" borderId="6" xfId="0" applyFont="1" applyBorder="1" applyAlignment="1" applyProtection="1">
      <alignment horizontal="center" vertical="center"/>
      <protection locked="0"/>
    </xf>
    <xf numFmtId="0" fontId="40" fillId="0" borderId="15" xfId="0" applyFont="1" applyBorder="1" applyAlignment="1" applyProtection="1">
      <alignment horizontal="center" vertical="center"/>
      <protection locked="0"/>
    </xf>
    <xf numFmtId="0" fontId="40" fillId="0" borderId="16" xfId="0" applyFont="1" applyBorder="1" applyAlignment="1" applyProtection="1">
      <alignment horizontal="center" vertical="center"/>
      <protection locked="0"/>
    </xf>
    <xf numFmtId="0" fontId="33" fillId="0" borderId="27" xfId="0" applyFont="1" applyFill="1" applyBorder="1" applyAlignment="1" applyProtection="1">
      <alignment vertical="center"/>
      <protection locked="0"/>
    </xf>
    <xf numFmtId="196" fontId="33" fillId="0" borderId="45" xfId="0" applyNumberFormat="1" applyFont="1" applyFill="1" applyBorder="1" applyAlignment="1" applyProtection="1">
      <alignment horizontal="right" vertical="center"/>
      <protection locked="0"/>
    </xf>
    <xf numFmtId="170" fontId="33" fillId="0" borderId="45" xfId="0" applyNumberFormat="1" applyFont="1" applyFill="1" applyBorder="1" applyAlignment="1" applyProtection="1">
      <alignment horizontal="right" vertical="center"/>
      <protection locked="0"/>
    </xf>
    <xf numFmtId="170" fontId="33" fillId="0" borderId="27" xfId="0" applyNumberFormat="1" applyFont="1" applyFill="1" applyBorder="1" applyAlignment="1" applyProtection="1">
      <alignment horizontal="right" vertical="center"/>
      <protection locked="0"/>
    </xf>
    <xf numFmtId="176" fontId="33" fillId="0" borderId="41" xfId="0" applyNumberFormat="1" applyFont="1" applyFill="1" applyBorder="1" applyAlignment="1" applyProtection="1">
      <alignment horizontal="right" vertical="center"/>
    </xf>
    <xf numFmtId="176" fontId="33" fillId="0" borderId="4" xfId="0" applyNumberFormat="1" applyFont="1" applyFill="1" applyBorder="1" applyAlignment="1" applyProtection="1">
      <alignment horizontal="right" vertical="center"/>
    </xf>
    <xf numFmtId="176" fontId="33" fillId="0" borderId="42" xfId="0" applyNumberFormat="1" applyFont="1" applyFill="1" applyBorder="1" applyAlignment="1" applyProtection="1">
      <alignment horizontal="right" vertical="center"/>
    </xf>
    <xf numFmtId="4" fontId="20" fillId="0" borderId="4" xfId="13">
      <alignment vertical="center"/>
    </xf>
    <xf numFmtId="185" fontId="24" fillId="4" borderId="0" xfId="11" applyNumberFormat="1" applyFont="1" applyFill="1" applyBorder="1" applyAlignment="1">
      <alignment horizontal="right" vertical="center"/>
    </xf>
    <xf numFmtId="185" fontId="24" fillId="7" borderId="0" xfId="11" applyNumberFormat="1" applyFont="1" applyFill="1" applyBorder="1" applyAlignment="1">
      <alignment horizontal="right" vertical="center"/>
    </xf>
    <xf numFmtId="0" fontId="20" fillId="7" borderId="0" xfId="0" applyFont="1" applyFill="1" applyAlignment="1">
      <alignment vertical="center"/>
    </xf>
    <xf numFmtId="0" fontId="35" fillId="4" borderId="62" xfId="17" applyFont="1" applyFill="1" applyBorder="1" applyAlignment="1" applyProtection="1">
      <alignment vertical="center"/>
    </xf>
    <xf numFmtId="0" fontId="33" fillId="10" borderId="0" xfId="17" applyFont="1" applyFill="1" applyBorder="1" applyAlignment="1" applyProtection="1">
      <alignment vertical="center"/>
    </xf>
    <xf numFmtId="0" fontId="65" fillId="7" borderId="83" xfId="0" applyFont="1" applyFill="1" applyBorder="1" applyAlignment="1">
      <alignment horizontal="center" vertical="center"/>
    </xf>
    <xf numFmtId="0" fontId="28" fillId="0" borderId="85" xfId="17" applyFont="1" applyBorder="1" applyAlignment="1" applyProtection="1">
      <alignment vertical="center"/>
    </xf>
    <xf numFmtId="0" fontId="31" fillId="0" borderId="85" xfId="0" applyFont="1" applyBorder="1" applyAlignment="1">
      <alignment vertical="center"/>
    </xf>
    <xf numFmtId="0" fontId="26" fillId="0" borderId="85" xfId="0" applyFont="1" applyBorder="1" applyAlignment="1">
      <alignment vertical="center"/>
    </xf>
    <xf numFmtId="0" fontId="30" fillId="0" borderId="85" xfId="0" applyFont="1" applyBorder="1" applyAlignment="1">
      <alignment horizontal="left" vertical="center"/>
    </xf>
    <xf numFmtId="0" fontId="65" fillId="7" borderId="63" xfId="0" applyFont="1" applyFill="1" applyBorder="1" applyAlignment="1">
      <alignment horizontal="center" vertical="center"/>
    </xf>
    <xf numFmtId="0" fontId="65" fillId="7" borderId="65" xfId="0" applyFont="1" applyFill="1" applyBorder="1" applyAlignment="1">
      <alignment horizontal="center" vertical="center"/>
    </xf>
    <xf numFmtId="185" fontId="24" fillId="7" borderId="62" xfId="11" applyNumberFormat="1" applyFont="1" applyFill="1" applyBorder="1" applyAlignment="1">
      <alignment horizontal="right" vertical="center"/>
    </xf>
    <xf numFmtId="185" fontId="24" fillId="7" borderId="66" xfId="11" applyNumberFormat="1" applyFont="1" applyFill="1" applyBorder="1" applyAlignment="1">
      <alignment horizontal="right" vertical="center"/>
    </xf>
    <xf numFmtId="0" fontId="69" fillId="0" borderId="85" xfId="17" applyFont="1" applyBorder="1" applyAlignment="1" applyProtection="1">
      <alignment vertical="center"/>
    </xf>
    <xf numFmtId="0" fontId="29" fillId="0" borderId="62" xfId="17" applyFont="1" applyFill="1" applyBorder="1" applyAlignment="1" applyProtection="1">
      <alignment vertical="center"/>
    </xf>
    <xf numFmtId="185" fontId="26" fillId="4" borderId="93" xfId="11" applyNumberFormat="1" applyFont="1" applyFill="1" applyBorder="1" applyAlignment="1">
      <alignment horizontal="right" vertical="center"/>
    </xf>
    <xf numFmtId="185" fontId="26" fillId="7" borderId="85" xfId="11" applyNumberFormat="1" applyFont="1" applyFill="1" applyBorder="1" applyAlignment="1">
      <alignment horizontal="right" vertical="center"/>
    </xf>
    <xf numFmtId="185" fontId="26" fillId="7" borderId="93" xfId="11" applyNumberFormat="1" applyFont="1" applyFill="1" applyBorder="1" applyAlignment="1">
      <alignment horizontal="right" vertical="center"/>
    </xf>
    <xf numFmtId="185" fontId="26" fillId="7" borderId="86" xfId="11" applyNumberFormat="1" applyFont="1" applyFill="1" applyBorder="1" applyAlignment="1">
      <alignment horizontal="right" vertical="center"/>
    </xf>
    <xf numFmtId="185" fontId="26" fillId="7" borderId="0" xfId="11" applyNumberFormat="1" applyFont="1" applyFill="1" applyBorder="1" applyAlignment="1">
      <alignment horizontal="right" vertical="center"/>
    </xf>
    <xf numFmtId="185" fontId="26" fillId="7" borderId="64" xfId="11" applyNumberFormat="1" applyFont="1" applyFill="1" applyBorder="1" applyAlignment="1">
      <alignment horizontal="right" vertical="center"/>
    </xf>
    <xf numFmtId="0" fontId="132" fillId="4" borderId="0" xfId="17" applyFont="1" applyFill="1" applyBorder="1" applyAlignment="1" applyProtection="1">
      <alignment vertical="center"/>
    </xf>
    <xf numFmtId="0" fontId="65" fillId="0" borderId="62" xfId="0" applyFont="1" applyBorder="1" applyAlignment="1">
      <alignment vertical="center"/>
    </xf>
    <xf numFmtId="0" fontId="30" fillId="0" borderId="0" xfId="0" applyFont="1" applyBorder="1" applyAlignment="1">
      <alignment horizontal="right" vertical="center"/>
    </xf>
    <xf numFmtId="185" fontId="26" fillId="4" borderId="0" xfId="11" applyNumberFormat="1" applyFont="1" applyFill="1" applyBorder="1" applyAlignment="1">
      <alignment horizontal="right" vertical="center"/>
    </xf>
    <xf numFmtId="0" fontId="24" fillId="7" borderId="0" xfId="0" applyFont="1" applyFill="1" applyBorder="1" applyAlignment="1">
      <alignment horizontal="left" vertical="center"/>
    </xf>
    <xf numFmtId="0" fontId="30" fillId="0" borderId="85" xfId="0" applyFont="1" applyBorder="1" applyAlignment="1">
      <alignment horizontal="right" vertical="center"/>
    </xf>
    <xf numFmtId="0" fontId="25" fillId="0" borderId="62" xfId="0" applyFont="1" applyBorder="1" applyAlignment="1">
      <alignment vertical="center"/>
    </xf>
    <xf numFmtId="185" fontId="26" fillId="7" borderId="66" xfId="11" applyNumberFormat="1" applyFont="1" applyFill="1" applyBorder="1" applyAlignment="1">
      <alignment horizontal="right" vertical="center"/>
    </xf>
    <xf numFmtId="0" fontId="26" fillId="0" borderId="85" xfId="0" applyFont="1" applyBorder="1" applyAlignment="1">
      <alignment horizontal="right" vertical="center"/>
    </xf>
    <xf numFmtId="0" fontId="26" fillId="0" borderId="85" xfId="0" applyFont="1" applyBorder="1" applyAlignment="1">
      <alignment horizontal="left" vertical="center"/>
    </xf>
    <xf numFmtId="0" fontId="24" fillId="7" borderId="85" xfId="0" applyFont="1" applyFill="1" applyBorder="1" applyAlignment="1">
      <alignment horizontal="left" vertical="center"/>
    </xf>
    <xf numFmtId="0" fontId="25" fillId="0" borderId="85" xfId="0" applyFont="1" applyBorder="1" applyAlignment="1">
      <alignment vertical="center"/>
    </xf>
    <xf numFmtId="185" fontId="26" fillId="7" borderId="113" xfId="11" applyNumberFormat="1" applyFont="1" applyFill="1" applyBorder="1" applyAlignment="1">
      <alignment horizontal="right" vertical="center"/>
    </xf>
    <xf numFmtId="0" fontId="28" fillId="10" borderId="2" xfId="17" applyFont="1" applyFill="1" applyBorder="1" applyAlignment="1" applyProtection="1">
      <alignment vertical="center"/>
    </xf>
    <xf numFmtId="185" fontId="23" fillId="4" borderId="94" xfId="0" applyNumberFormat="1" applyFont="1" applyFill="1" applyBorder="1" applyAlignment="1">
      <alignment horizontal="right" vertical="center"/>
    </xf>
    <xf numFmtId="0" fontId="26" fillId="4" borderId="8" xfId="17" applyFont="1" applyFill="1" applyBorder="1" applyAlignment="1" applyProtection="1">
      <alignment vertical="center"/>
    </xf>
    <xf numFmtId="0" fontId="28" fillId="4" borderId="8" xfId="17" applyFont="1" applyFill="1" applyBorder="1" applyAlignment="1" applyProtection="1">
      <alignment vertical="center"/>
    </xf>
    <xf numFmtId="0" fontId="22" fillId="0" borderId="0" xfId="0" applyFont="1" applyBorder="1" applyAlignment="1">
      <alignment horizontal="left" vertical="top"/>
    </xf>
    <xf numFmtId="0" fontId="51" fillId="0" borderId="17" xfId="0" applyFont="1" applyFill="1" applyBorder="1" applyAlignment="1">
      <alignment horizontal="center" vertical="center"/>
    </xf>
    <xf numFmtId="0" fontId="51" fillId="0" borderId="18" xfId="0" applyFont="1" applyFill="1" applyBorder="1" applyAlignment="1">
      <alignment horizontal="center" vertical="center"/>
    </xf>
    <xf numFmtId="187" fontId="33" fillId="0" borderId="48" xfId="0" applyNumberFormat="1" applyFont="1" applyFill="1" applyBorder="1" applyAlignment="1">
      <alignment horizontal="left" vertical="center"/>
    </xf>
    <xf numFmtId="185" fontId="24" fillId="3" borderId="51" xfId="14" applyNumberFormat="1" applyFont="1" applyFill="1" applyBorder="1" applyAlignment="1" applyProtection="1">
      <alignment vertical="center"/>
      <protection locked="0"/>
    </xf>
    <xf numFmtId="185" fontId="24" fillId="3" borderId="52" xfId="14" applyNumberFormat="1" applyFont="1" applyFill="1" applyBorder="1" applyAlignment="1" applyProtection="1">
      <alignment vertical="center"/>
      <protection locked="0"/>
    </xf>
    <xf numFmtId="0" fontId="134" fillId="0" borderId="0" xfId="0" applyFont="1"/>
    <xf numFmtId="0" fontId="22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223" fontId="0" fillId="0" borderId="0" xfId="2" applyFont="1"/>
    <xf numFmtId="223" fontId="0" fillId="0" borderId="0" xfId="2" applyFont="1" applyAlignment="1" applyProtection="1">
      <alignment vertical="center"/>
    </xf>
    <xf numFmtId="0" fontId="135" fillId="0" borderId="0" xfId="0" applyFont="1" applyAlignment="1" applyProtection="1">
      <alignment vertical="center"/>
    </xf>
    <xf numFmtId="0" fontId="88" fillId="7" borderId="62" xfId="0" applyFont="1" applyFill="1" applyBorder="1" applyAlignment="1" applyProtection="1">
      <alignment horizontal="left" vertical="center"/>
    </xf>
    <xf numFmtId="0" fontId="88" fillId="7" borderId="0" xfId="0" applyFont="1" applyFill="1" applyBorder="1" applyAlignment="1" applyProtection="1">
      <alignment horizontal="left" vertical="center"/>
    </xf>
    <xf numFmtId="0" fontId="51" fillId="0" borderId="0" xfId="0" applyFont="1" applyAlignment="1" applyProtection="1">
      <alignment horizontal="center" vertical="center"/>
    </xf>
    <xf numFmtId="224" fontId="51" fillId="0" borderId="0" xfId="2" applyNumberFormat="1" applyFont="1" applyAlignment="1" applyProtection="1">
      <alignment horizontal="center" vertical="center"/>
    </xf>
    <xf numFmtId="0" fontId="65" fillId="0" borderId="0" xfId="0" applyFont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35" fillId="7" borderId="0" xfId="0" applyFont="1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88" fillId="7" borderId="0" xfId="0" applyFont="1" applyFill="1" applyBorder="1" applyAlignment="1" applyProtection="1">
      <alignment horizontal="right" vertical="center"/>
    </xf>
    <xf numFmtId="0" fontId="88" fillId="7" borderId="0" xfId="0" applyFont="1" applyFill="1" applyBorder="1" applyAlignment="1" applyProtection="1">
      <alignment vertical="center"/>
    </xf>
    <xf numFmtId="0" fontId="51" fillId="0" borderId="0" xfId="0" applyFont="1" applyAlignment="1">
      <alignment horizontal="center"/>
    </xf>
    <xf numFmtId="0" fontId="51" fillId="0" borderId="83" xfId="0" applyFont="1" applyBorder="1" applyAlignment="1" applyProtection="1">
      <alignment vertical="center"/>
    </xf>
    <xf numFmtId="0" fontId="51" fillId="0" borderId="85" xfId="0" applyFont="1" applyBorder="1" applyAlignment="1" applyProtection="1">
      <alignment vertical="center"/>
    </xf>
    <xf numFmtId="0" fontId="0" fillId="0" borderId="63" xfId="0" applyBorder="1" applyAlignment="1" applyProtection="1">
      <alignment vertical="center"/>
    </xf>
    <xf numFmtId="0" fontId="65" fillId="0" borderId="118" xfId="0" applyFont="1" applyBorder="1" applyAlignment="1" applyProtection="1">
      <alignment vertical="center"/>
    </xf>
    <xf numFmtId="0" fontId="65" fillId="0" borderId="8" xfId="0" applyFont="1" applyBorder="1" applyAlignment="1" applyProtection="1">
      <alignment vertical="center"/>
    </xf>
    <xf numFmtId="49" fontId="65" fillId="0" borderId="7" xfId="0" applyNumberFormat="1" applyFont="1" applyBorder="1" applyAlignment="1" applyProtection="1">
      <alignment horizontal="right" vertical="center"/>
    </xf>
    <xf numFmtId="49" fontId="65" fillId="0" borderId="8" xfId="0" applyNumberFormat="1" applyFont="1" applyBorder="1" applyAlignment="1" applyProtection="1">
      <alignment horizontal="right" vertical="center"/>
    </xf>
    <xf numFmtId="0" fontId="65" fillId="0" borderId="7" xfId="0" applyNumberFormat="1" applyFont="1" applyBorder="1" applyAlignment="1" applyProtection="1">
      <alignment horizontal="right" vertical="center"/>
    </xf>
    <xf numFmtId="0" fontId="51" fillId="8" borderId="73" xfId="0" applyFont="1" applyFill="1" applyBorder="1" applyAlignment="1">
      <alignment horizontal="right"/>
    </xf>
    <xf numFmtId="0" fontId="65" fillId="0" borderId="63" xfId="0" applyFont="1" applyBorder="1" applyAlignment="1" applyProtection="1">
      <alignment vertical="center"/>
    </xf>
    <xf numFmtId="49" fontId="65" fillId="0" borderId="5" xfId="0" applyNumberFormat="1" applyFont="1" applyBorder="1" applyAlignment="1" applyProtection="1">
      <alignment horizontal="right" vertical="center"/>
    </xf>
    <xf numFmtId="49" fontId="65" fillId="0" borderId="0" xfId="0" applyNumberFormat="1" applyFont="1" applyBorder="1" applyAlignment="1" applyProtection="1">
      <alignment horizontal="right" vertical="center"/>
    </xf>
    <xf numFmtId="0" fontId="65" fillId="0" borderId="5" xfId="0" applyNumberFormat="1" applyFont="1" applyBorder="1" applyAlignment="1" applyProtection="1">
      <alignment horizontal="right" vertical="center"/>
    </xf>
    <xf numFmtId="0" fontId="65" fillId="0" borderId="149" xfId="0" applyFont="1" applyBorder="1" applyAlignment="1" applyProtection="1">
      <alignment vertical="center"/>
    </xf>
    <xf numFmtId="0" fontId="65" fillId="0" borderId="29" xfId="0" applyFont="1" applyBorder="1" applyAlignment="1" applyProtection="1">
      <alignment vertical="center"/>
    </xf>
    <xf numFmtId="49" fontId="65" fillId="0" borderId="28" xfId="0" applyNumberFormat="1" applyFont="1" applyBorder="1" applyAlignment="1" applyProtection="1">
      <alignment horizontal="right" vertical="center"/>
    </xf>
    <xf numFmtId="49" fontId="65" fillId="0" borderId="29" xfId="0" applyNumberFormat="1" applyFont="1" applyBorder="1" applyAlignment="1" applyProtection="1">
      <alignment horizontal="right" vertical="center"/>
    </xf>
    <xf numFmtId="0" fontId="65" fillId="0" borderId="28" xfId="0" applyNumberFormat="1" applyFont="1" applyBorder="1" applyAlignment="1" applyProtection="1">
      <alignment horizontal="right" vertical="center"/>
    </xf>
    <xf numFmtId="225" fontId="65" fillId="0" borderId="28" xfId="0" applyNumberFormat="1" applyFont="1" applyBorder="1" applyAlignment="1" applyProtection="1">
      <alignment horizontal="right" vertical="center"/>
    </xf>
    <xf numFmtId="225" fontId="65" fillId="0" borderId="35" xfId="0" applyNumberFormat="1" applyFont="1" applyBorder="1" applyAlignment="1" applyProtection="1">
      <alignment horizontal="right" vertical="center"/>
    </xf>
    <xf numFmtId="225" fontId="65" fillId="0" borderId="5" xfId="0" applyNumberFormat="1" applyFont="1" applyBorder="1" applyAlignment="1" applyProtection="1">
      <alignment horizontal="right" vertical="center"/>
    </xf>
    <xf numFmtId="225" fontId="65" fillId="0" borderId="11" xfId="0" applyNumberFormat="1" applyFont="1" applyBorder="1" applyAlignment="1" applyProtection="1">
      <alignment horizontal="right" vertical="center"/>
    </xf>
    <xf numFmtId="2" fontId="65" fillId="0" borderId="9" xfId="0" applyNumberFormat="1" applyFont="1" applyBorder="1" applyAlignment="1" applyProtection="1">
      <alignment horizontal="right" vertical="center"/>
    </xf>
    <xf numFmtId="0" fontId="65" fillId="0" borderId="65" xfId="0" applyFont="1" applyBorder="1" applyAlignment="1" applyProtection="1">
      <alignment vertical="center"/>
    </xf>
    <xf numFmtId="0" fontId="65" fillId="0" borderId="62" xfId="0" applyFont="1" applyBorder="1" applyAlignment="1" applyProtection="1">
      <alignment vertical="center"/>
    </xf>
    <xf numFmtId="225" fontId="65" fillId="0" borderId="102" xfId="0" applyNumberFormat="1" applyFont="1" applyBorder="1" applyAlignment="1" applyProtection="1">
      <alignment horizontal="right" vertical="center"/>
    </xf>
    <xf numFmtId="225" fontId="65" fillId="0" borderId="116" xfId="0" applyNumberFormat="1" applyFont="1" applyBorder="1" applyAlignment="1" applyProtection="1">
      <alignment horizontal="right" vertical="center"/>
    </xf>
    <xf numFmtId="0" fontId="65" fillId="0" borderId="102" xfId="0" applyNumberFormat="1" applyFont="1" applyBorder="1" applyAlignment="1" applyProtection="1">
      <alignment horizontal="right" vertical="center"/>
    </xf>
    <xf numFmtId="0" fontId="0" fillId="0" borderId="5" xfId="0" applyBorder="1" applyAlignment="1">
      <alignment horizontal="center" vertical="center" textRotation="90"/>
    </xf>
    <xf numFmtId="0" fontId="28" fillId="7" borderId="2" xfId="0" applyFont="1" applyFill="1" applyBorder="1" applyAlignment="1">
      <alignment horizontal="right" vertical="center"/>
    </xf>
    <xf numFmtId="0" fontId="33" fillId="0" borderId="0" xfId="17" applyFont="1" applyFill="1" applyBorder="1" applyAlignment="1" applyProtection="1">
      <alignment vertical="top"/>
    </xf>
    <xf numFmtId="188" fontId="23" fillId="4" borderId="9" xfId="0" applyNumberFormat="1" applyFont="1" applyFill="1" applyBorder="1" applyAlignment="1">
      <alignment horizontal="right" vertical="center"/>
    </xf>
    <xf numFmtId="188" fontId="23" fillId="4" borderId="67" xfId="0" applyNumberFormat="1" applyFont="1" applyFill="1" applyBorder="1" applyAlignment="1">
      <alignment horizontal="right" vertical="center"/>
    </xf>
    <xf numFmtId="0" fontId="0" fillId="7" borderId="2" xfId="0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6" fillId="7" borderId="0" xfId="17" applyFont="1" applyFill="1" applyBorder="1" applyAlignment="1" applyProtection="1">
      <alignment vertical="center"/>
    </xf>
    <xf numFmtId="197" fontId="26" fillId="0" borderId="0" xfId="0" applyNumberFormat="1" applyFont="1" applyFill="1" applyBorder="1" applyAlignment="1">
      <alignment horizontal="right" vertical="center"/>
    </xf>
    <xf numFmtId="197" fontId="26" fillId="0" borderId="11" xfId="0" applyNumberFormat="1" applyFont="1" applyFill="1" applyBorder="1" applyAlignment="1">
      <alignment horizontal="right" vertical="center"/>
    </xf>
    <xf numFmtId="0" fontId="44" fillId="7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vertical="center"/>
    </xf>
    <xf numFmtId="0" fontId="20" fillId="0" borderId="102" xfId="0" applyFont="1" applyFill="1" applyBorder="1" applyAlignment="1">
      <alignment vertical="center"/>
    </xf>
    <xf numFmtId="188" fontId="23" fillId="4" borderId="9" xfId="11" applyNumberFormat="1" applyFont="1" applyFill="1" applyBorder="1" applyAlignment="1">
      <alignment horizontal="right" vertical="center"/>
    </xf>
    <xf numFmtId="188" fontId="23" fillId="0" borderId="9" xfId="0" applyNumberFormat="1" applyFont="1" applyFill="1" applyBorder="1" applyAlignment="1">
      <alignment horizontal="right" vertical="center"/>
    </xf>
    <xf numFmtId="188" fontId="23" fillId="0" borderId="67" xfId="0" applyNumberFormat="1" applyFont="1" applyFill="1" applyBorder="1" applyAlignment="1">
      <alignment horizontal="right" vertical="center"/>
    </xf>
    <xf numFmtId="1" fontId="22" fillId="4" borderId="135" xfId="17" applyNumberFormat="1" applyFont="1" applyFill="1" applyBorder="1" applyAlignment="1" applyProtection="1">
      <alignment vertical="center"/>
    </xf>
    <xf numFmtId="1" fontId="22" fillId="4" borderId="63" xfId="17" applyNumberFormat="1" applyFont="1" applyFill="1" applyBorder="1" applyAlignment="1" applyProtection="1">
      <alignment vertical="center"/>
    </xf>
    <xf numFmtId="0" fontId="22" fillId="4" borderId="135" xfId="17" applyFont="1" applyFill="1" applyBorder="1" applyAlignment="1" applyProtection="1">
      <alignment vertical="center"/>
    </xf>
    <xf numFmtId="0" fontId="22" fillId="4" borderId="63" xfId="17" applyFont="1" applyFill="1" applyBorder="1" applyAlignment="1" applyProtection="1">
      <alignment vertical="center"/>
    </xf>
    <xf numFmtId="0" fontId="20" fillId="0" borderId="19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/>
    </xf>
    <xf numFmtId="0" fontId="141" fillId="0" borderId="0" xfId="0" applyFont="1" applyAlignment="1" applyProtection="1">
      <alignment vertical="center"/>
    </xf>
    <xf numFmtId="0" fontId="142" fillId="0" borderId="0" xfId="0" applyFont="1" applyAlignment="1" applyProtection="1">
      <alignment horizontal="center"/>
    </xf>
    <xf numFmtId="0" fontId="51" fillId="0" borderId="0" xfId="0" applyFont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51" fillId="0" borderId="0" xfId="0" applyFont="1" applyAlignment="1" applyProtection="1">
      <alignment horizontal="right" vertical="center"/>
    </xf>
    <xf numFmtId="0" fontId="33" fillId="3" borderId="27" xfId="0" applyFont="1" applyFill="1" applyBorder="1" applyAlignment="1" applyProtection="1">
      <alignment vertical="center"/>
      <protection locked="0"/>
    </xf>
    <xf numFmtId="170" fontId="33" fillId="3" borderId="45" xfId="0" applyNumberFormat="1" applyFont="1" applyFill="1" applyBorder="1" applyAlignment="1" applyProtection="1">
      <alignment horizontal="right" vertical="center"/>
      <protection locked="0"/>
    </xf>
    <xf numFmtId="176" fontId="33" fillId="3" borderId="41" xfId="0" applyNumberFormat="1" applyFont="1" applyFill="1" applyBorder="1" applyAlignment="1" applyProtection="1">
      <alignment horizontal="right" vertical="center"/>
      <protection locked="0"/>
    </xf>
    <xf numFmtId="176" fontId="33" fillId="3" borderId="4" xfId="0" applyNumberFormat="1" applyFont="1" applyFill="1" applyBorder="1" applyAlignment="1" applyProtection="1">
      <alignment horizontal="right" vertical="center"/>
      <protection locked="0"/>
    </xf>
    <xf numFmtId="176" fontId="33" fillId="3" borderId="42" xfId="0" applyNumberFormat="1" applyFont="1" applyFill="1" applyBorder="1" applyAlignment="1" applyProtection="1">
      <alignment horizontal="right" vertical="center"/>
      <protection locked="0"/>
    </xf>
    <xf numFmtId="1" fontId="143" fillId="0" borderId="0" xfId="0" applyNumberFormat="1" applyFont="1" applyBorder="1" applyAlignment="1" applyProtection="1">
      <alignment vertical="center"/>
    </xf>
    <xf numFmtId="0" fontId="141" fillId="2" borderId="0" xfId="1" applyFont="1" applyAlignment="1">
      <alignment horizontal="center" vertical="center"/>
    </xf>
    <xf numFmtId="170" fontId="33" fillId="3" borderId="27" xfId="0" applyNumberFormat="1" applyFont="1" applyFill="1" applyBorder="1" applyAlignment="1" applyProtection="1">
      <alignment horizontal="center" vertical="center"/>
      <protection locked="0"/>
    </xf>
    <xf numFmtId="197" fontId="33" fillId="7" borderId="89" xfId="0" applyNumberFormat="1" applyFont="1" applyFill="1" applyBorder="1" applyAlignment="1" applyProtection="1">
      <alignment horizontal="right" vertical="center"/>
    </xf>
    <xf numFmtId="197" fontId="33" fillId="7" borderId="41" xfId="0" applyNumberFormat="1" applyFont="1" applyFill="1" applyBorder="1" applyAlignment="1" applyProtection="1">
      <alignment horizontal="right" vertical="center"/>
    </xf>
    <xf numFmtId="170" fontId="33" fillId="7" borderId="4" xfId="0" applyNumberFormat="1" applyFont="1" applyFill="1" applyBorder="1" applyAlignment="1" applyProtection="1">
      <alignment horizontal="left" vertical="center"/>
    </xf>
    <xf numFmtId="170" fontId="33" fillId="7" borderId="141" xfId="0" applyNumberFormat="1" applyFont="1" applyFill="1" applyBorder="1" applyAlignment="1" applyProtection="1">
      <alignment horizontal="left" vertical="center"/>
    </xf>
    <xf numFmtId="0" fontId="136" fillId="0" borderId="27" xfId="9" applyFont="1" applyFill="1" applyBorder="1" applyAlignment="1" applyProtection="1">
      <alignment vertical="center"/>
      <protection locked="0"/>
    </xf>
    <xf numFmtId="191" fontId="33" fillId="0" borderId="41" xfId="0" applyNumberFormat="1" applyFont="1" applyFill="1" applyBorder="1" applyAlignment="1" applyProtection="1">
      <alignment horizontal="right" vertical="center"/>
    </xf>
    <xf numFmtId="191" fontId="33" fillId="0" borderId="4" xfId="0" applyNumberFormat="1" applyFont="1" applyFill="1" applyBorder="1" applyAlignment="1" applyProtection="1">
      <alignment horizontal="right" vertical="center"/>
    </xf>
    <xf numFmtId="191" fontId="33" fillId="0" borderId="42" xfId="0" applyNumberFormat="1" applyFont="1" applyFill="1" applyBorder="1" applyAlignment="1" applyProtection="1">
      <alignment horizontal="right" vertical="center"/>
    </xf>
    <xf numFmtId="197" fontId="33" fillId="7" borderId="41" xfId="0" applyNumberFormat="1" applyFont="1" applyFill="1" applyBorder="1" applyAlignment="1" applyProtection="1">
      <alignment horizontal="right" vertical="center"/>
      <protection locked="0"/>
    </xf>
    <xf numFmtId="197" fontId="33" fillId="7" borderId="89" xfId="0" applyNumberFormat="1" applyFont="1" applyFill="1" applyBorder="1" applyAlignment="1" applyProtection="1">
      <alignment horizontal="right" vertical="center"/>
      <protection locked="0"/>
    </xf>
    <xf numFmtId="176" fontId="33" fillId="0" borderId="78" xfId="0" applyNumberFormat="1" applyFont="1" applyFill="1" applyBorder="1" applyAlignment="1" applyProtection="1">
      <alignment horizontal="right" vertical="center"/>
      <protection locked="0"/>
    </xf>
    <xf numFmtId="176" fontId="33" fillId="0" borderId="30" xfId="0" applyNumberFormat="1" applyFont="1" applyFill="1" applyBorder="1" applyAlignment="1" applyProtection="1">
      <alignment horizontal="right" vertical="center"/>
      <protection locked="0"/>
    </xf>
    <xf numFmtId="176" fontId="33" fillId="0" borderId="59" xfId="0" applyNumberFormat="1" applyFont="1" applyFill="1" applyBorder="1" applyAlignment="1" applyProtection="1">
      <alignment horizontal="right" vertical="center"/>
      <protection locked="0"/>
    </xf>
    <xf numFmtId="0" fontId="65" fillId="3" borderId="27" xfId="0" applyFont="1" applyFill="1" applyBorder="1" applyAlignment="1" applyProtection="1">
      <alignment vertical="center"/>
      <protection locked="0"/>
    </xf>
    <xf numFmtId="170" fontId="33" fillId="3" borderId="33" xfId="0" applyNumberFormat="1" applyFont="1" applyFill="1" applyBorder="1" applyAlignment="1" applyProtection="1">
      <alignment horizontal="right" vertical="center"/>
      <protection locked="0"/>
    </xf>
    <xf numFmtId="0" fontId="20" fillId="7" borderId="0" xfId="0" applyFont="1" applyFill="1"/>
    <xf numFmtId="0" fontId="85" fillId="0" borderId="0" xfId="0" applyFont="1"/>
    <xf numFmtId="0" fontId="144" fillId="0" borderId="0" xfId="0" applyFont="1"/>
    <xf numFmtId="0" fontId="141" fillId="2" borderId="0" xfId="1" applyFont="1" applyAlignment="1">
      <alignment horizontal="left" vertical="center"/>
    </xf>
    <xf numFmtId="0" fontId="20" fillId="0" borderId="62" xfId="0" applyFont="1" applyFill="1" applyBorder="1" applyAlignment="1">
      <alignment vertical="center"/>
    </xf>
    <xf numFmtId="0" fontId="20" fillId="7" borderId="0" xfId="0" applyFont="1" applyFill="1" applyProtection="1"/>
    <xf numFmtId="221" fontId="0" fillId="4" borderId="6" xfId="0" applyNumberFormat="1" applyFill="1" applyBorder="1"/>
    <xf numFmtId="0" fontId="0" fillId="4" borderId="90" xfId="0" applyFill="1" applyBorder="1"/>
    <xf numFmtId="49" fontId="22" fillId="4" borderId="135" xfId="17" applyNumberFormat="1" applyFont="1" applyFill="1" applyBorder="1" applyAlignment="1" applyProtection="1">
      <alignment vertical="center"/>
    </xf>
    <xf numFmtId="49" fontId="22" fillId="4" borderId="31" xfId="17" applyNumberFormat="1" applyFont="1" applyFill="1" applyBorder="1" applyAlignment="1" applyProtection="1">
      <alignment vertical="center"/>
    </xf>
    <xf numFmtId="0" fontId="22" fillId="4" borderId="134" xfId="17" applyFont="1" applyFill="1" applyBorder="1" applyAlignment="1" applyProtection="1">
      <alignment horizontal="right" vertical="center"/>
    </xf>
    <xf numFmtId="3" fontId="22" fillId="0" borderId="31" xfId="0" applyNumberFormat="1" applyFont="1" applyBorder="1" applyAlignment="1">
      <alignment horizontal="center" vertical="center"/>
    </xf>
    <xf numFmtId="3" fontId="22" fillId="0" borderId="3" xfId="0" applyNumberFormat="1" applyFont="1" applyBorder="1" applyAlignment="1">
      <alignment horizontal="center" vertical="center"/>
    </xf>
    <xf numFmtId="3" fontId="22" fillId="0" borderId="73" xfId="0" applyNumberFormat="1" applyFont="1" applyBorder="1" applyAlignment="1">
      <alignment horizontal="center" vertical="center"/>
    </xf>
    <xf numFmtId="3" fontId="22" fillId="0" borderId="74" xfId="0" applyNumberFormat="1" applyFont="1" applyBorder="1" applyAlignment="1">
      <alignment horizontal="center" vertical="center"/>
    </xf>
    <xf numFmtId="3" fontId="22" fillId="0" borderId="32" xfId="0" applyNumberFormat="1" applyFont="1" applyBorder="1" applyAlignment="1">
      <alignment horizontal="center" vertical="center"/>
    </xf>
    <xf numFmtId="3" fontId="22" fillId="0" borderId="138" xfId="0" applyNumberFormat="1" applyFont="1" applyBorder="1" applyAlignment="1">
      <alignment horizontal="center" vertical="center"/>
    </xf>
    <xf numFmtId="3" fontId="22" fillId="0" borderId="136" xfId="0" applyNumberFormat="1" applyFont="1" applyFill="1" applyBorder="1" applyAlignment="1">
      <alignment horizontal="center" vertical="center"/>
    </xf>
    <xf numFmtId="3" fontId="22" fillId="0" borderId="12" xfId="0" applyNumberFormat="1" applyFont="1" applyBorder="1" applyAlignment="1">
      <alignment horizontal="center" vertical="center"/>
    </xf>
    <xf numFmtId="3" fontId="22" fillId="0" borderId="135" xfId="0" applyNumberFormat="1" applyFont="1" applyBorder="1" applyAlignment="1">
      <alignment horizontal="center" vertical="center"/>
    </xf>
    <xf numFmtId="3" fontId="22" fillId="0" borderId="134" xfId="0" applyNumberFormat="1" applyFont="1" applyBorder="1" applyAlignment="1">
      <alignment horizontal="center" vertical="center"/>
    </xf>
    <xf numFmtId="197" fontId="33" fillId="3" borderId="51" xfId="0" applyNumberFormat="1" applyFont="1" applyFill="1" applyBorder="1" applyAlignment="1" applyProtection="1">
      <alignment horizontal="right" vertical="center"/>
      <protection locked="0"/>
    </xf>
    <xf numFmtId="170" fontId="44" fillId="4" borderId="35" xfId="0" applyNumberFormat="1" applyFont="1" applyFill="1" applyBorder="1" applyAlignment="1" applyProtection="1">
      <alignment horizontal="right"/>
    </xf>
    <xf numFmtId="185" fontId="31" fillId="4" borderId="37" xfId="14" applyNumberFormat="1" applyFont="1" applyFill="1" applyBorder="1" applyAlignment="1">
      <alignment vertical="center"/>
    </xf>
    <xf numFmtId="0" fontId="27" fillId="0" borderId="0" xfId="0" applyFont="1"/>
    <xf numFmtId="0" fontId="59" fillId="0" borderId="3" xfId="0" applyFont="1" applyBorder="1"/>
    <xf numFmtId="2" fontId="59" fillId="10" borderId="3" xfId="0" applyNumberFormat="1" applyFont="1" applyFill="1" applyBorder="1"/>
    <xf numFmtId="2" fontId="59" fillId="0" borderId="3" xfId="0" applyNumberFormat="1" applyFont="1" applyBorder="1"/>
    <xf numFmtId="1" fontId="59" fillId="0" borderId="3" xfId="0" applyNumberFormat="1" applyFont="1" applyBorder="1"/>
    <xf numFmtId="2" fontId="32" fillId="0" borderId="3" xfId="0" applyNumberFormat="1" applyFont="1" applyBorder="1"/>
    <xf numFmtId="2" fontId="27" fillId="0" borderId="0" xfId="0" applyNumberFormat="1" applyFont="1"/>
    <xf numFmtId="2" fontId="27" fillId="0" borderId="3" xfId="0" applyNumberFormat="1" applyFont="1" applyBorder="1" applyAlignment="1">
      <alignment horizontal="center"/>
    </xf>
    <xf numFmtId="0" fontId="145" fillId="0" borderId="0" xfId="0" applyFont="1" applyAlignment="1">
      <alignment horizontal="left" vertical="center" readingOrder="1"/>
    </xf>
    <xf numFmtId="0" fontId="32" fillId="0" borderId="3" xfId="0" applyFont="1" applyBorder="1"/>
    <xf numFmtId="0" fontId="39" fillId="11" borderId="0" xfId="0" applyFont="1" applyFill="1" applyBorder="1" applyAlignment="1">
      <alignment horizontal="left" vertical="center"/>
    </xf>
    <xf numFmtId="0" fontId="141" fillId="11" borderId="0" xfId="1" applyFont="1" applyFill="1" applyAlignment="1">
      <alignment horizontal="center" vertical="center"/>
    </xf>
    <xf numFmtId="2" fontId="22" fillId="4" borderId="108" xfId="0" applyNumberFormat="1" applyFont="1" applyFill="1" applyBorder="1" applyAlignment="1">
      <alignment horizontal="center" vertical="center" wrapText="1"/>
    </xf>
    <xf numFmtId="2" fontId="22" fillId="4" borderId="147" xfId="0" applyNumberFormat="1" applyFont="1" applyFill="1" applyBorder="1" applyAlignment="1">
      <alignment horizontal="centerContinuous" vertical="center" wrapText="1"/>
    </xf>
    <xf numFmtId="0" fontId="146" fillId="0" borderId="0" xfId="0" applyFont="1" applyAlignment="1">
      <alignment vertical="center"/>
    </xf>
    <xf numFmtId="0" fontId="146" fillId="4" borderId="63" xfId="17" applyFont="1" applyFill="1" applyBorder="1" applyAlignment="1" applyProtection="1">
      <alignment vertical="center"/>
    </xf>
    <xf numFmtId="0" fontId="146" fillId="4" borderId="0" xfId="17" applyFont="1" applyFill="1" applyBorder="1" applyAlignment="1" applyProtection="1">
      <alignment vertical="center"/>
    </xf>
    <xf numFmtId="0" fontId="147" fillId="4" borderId="64" xfId="0" applyFont="1" applyFill="1" applyBorder="1" applyAlignment="1">
      <alignment horizontal="right" vertical="center"/>
    </xf>
    <xf numFmtId="2" fontId="146" fillId="0" borderId="0" xfId="0" applyNumberFormat="1" applyFont="1" applyBorder="1" applyAlignment="1">
      <alignment horizontal="center" vertical="center"/>
    </xf>
    <xf numFmtId="2" fontId="146" fillId="0" borderId="9" xfId="0" applyNumberFormat="1" applyFont="1" applyBorder="1" applyAlignment="1">
      <alignment horizontal="center" vertical="center"/>
    </xf>
    <xf numFmtId="2" fontId="146" fillId="0" borderId="67" xfId="0" applyNumberFormat="1" applyFont="1" applyBorder="1" applyAlignment="1">
      <alignment horizontal="center" vertical="center"/>
    </xf>
    <xf numFmtId="2" fontId="146" fillId="0" borderId="68" xfId="0" applyNumberFormat="1" applyFont="1" applyBorder="1" applyAlignment="1">
      <alignment horizontal="center" vertical="center"/>
    </xf>
    <xf numFmtId="2" fontId="146" fillId="0" borderId="11" xfId="0" applyNumberFormat="1" applyFont="1" applyBorder="1" applyAlignment="1">
      <alignment horizontal="center" vertical="center"/>
    </xf>
    <xf numFmtId="2" fontId="146" fillId="0" borderId="136" xfId="0" applyNumberFormat="1" applyFont="1" applyBorder="1" applyAlignment="1">
      <alignment horizontal="center" vertical="center"/>
    </xf>
    <xf numFmtId="2" fontId="146" fillId="0" borderId="136" xfId="0" applyNumberFormat="1" applyFont="1" applyFill="1" applyBorder="1" applyAlignment="1">
      <alignment horizontal="center" vertical="center"/>
    </xf>
    <xf numFmtId="2" fontId="146" fillId="0" borderId="5" xfId="0" applyNumberFormat="1" applyFont="1" applyBorder="1" applyAlignment="1">
      <alignment horizontal="center" vertical="center"/>
    </xf>
    <xf numFmtId="2" fontId="146" fillId="0" borderId="63" xfId="0" applyNumberFormat="1" applyFont="1" applyBorder="1" applyAlignment="1">
      <alignment horizontal="center" vertical="center"/>
    </xf>
    <xf numFmtId="2" fontId="146" fillId="0" borderId="64" xfId="0" applyNumberFormat="1" applyFont="1" applyBorder="1" applyAlignment="1">
      <alignment horizontal="center" vertical="center"/>
    </xf>
    <xf numFmtId="0" fontId="142" fillId="0" borderId="0" xfId="0" applyFont="1"/>
    <xf numFmtId="0" fontId="148" fillId="0" borderId="0" xfId="0" applyFont="1" applyAlignment="1">
      <alignment vertical="center"/>
    </xf>
    <xf numFmtId="0" fontId="149" fillId="4" borderId="0" xfId="17" applyFont="1" applyFill="1" applyBorder="1" applyAlignment="1" applyProtection="1">
      <alignment vertical="center"/>
    </xf>
    <xf numFmtId="0" fontId="144" fillId="4" borderId="64" xfId="17" applyFont="1" applyFill="1" applyBorder="1" applyAlignment="1" applyProtection="1">
      <alignment horizontal="right" vertical="center"/>
    </xf>
    <xf numFmtId="2" fontId="148" fillId="4" borderId="0" xfId="0" applyNumberFormat="1" applyFont="1" applyFill="1" applyBorder="1" applyAlignment="1">
      <alignment horizontal="center" vertical="center"/>
    </xf>
    <xf numFmtId="2" fontId="148" fillId="4" borderId="9" xfId="0" applyNumberFormat="1" applyFont="1" applyFill="1" applyBorder="1" applyAlignment="1">
      <alignment horizontal="center" vertical="center"/>
    </xf>
    <xf numFmtId="2" fontId="148" fillId="4" borderId="67" xfId="0" applyNumberFormat="1" applyFont="1" applyFill="1" applyBorder="1" applyAlignment="1">
      <alignment horizontal="center" vertical="center"/>
    </xf>
    <xf numFmtId="2" fontId="148" fillId="4" borderId="68" xfId="0" applyNumberFormat="1" applyFont="1" applyFill="1" applyBorder="1" applyAlignment="1">
      <alignment horizontal="center" vertical="center"/>
    </xf>
    <xf numFmtId="2" fontId="148" fillId="4" borderId="11" xfId="0" applyNumberFormat="1" applyFont="1" applyFill="1" applyBorder="1" applyAlignment="1">
      <alignment horizontal="center" vertical="center"/>
    </xf>
    <xf numFmtId="2" fontId="148" fillId="4" borderId="136" xfId="0" applyNumberFormat="1" applyFont="1" applyFill="1" applyBorder="1" applyAlignment="1">
      <alignment horizontal="center" vertical="center"/>
    </xf>
    <xf numFmtId="2" fontId="148" fillId="0" borderId="136" xfId="0" applyNumberFormat="1" applyFont="1" applyFill="1" applyBorder="1" applyAlignment="1">
      <alignment horizontal="center" vertical="center"/>
    </xf>
    <xf numFmtId="2" fontId="148" fillId="4" borderId="5" xfId="0" applyNumberFormat="1" applyFont="1" applyFill="1" applyBorder="1" applyAlignment="1">
      <alignment horizontal="center" vertical="center"/>
    </xf>
    <xf numFmtId="2" fontId="148" fillId="4" borderId="63" xfId="0" applyNumberFormat="1" applyFont="1" applyFill="1" applyBorder="1" applyAlignment="1">
      <alignment horizontal="center" vertical="center"/>
    </xf>
    <xf numFmtId="2" fontId="148" fillId="4" borderId="64" xfId="0" applyNumberFormat="1" applyFont="1" applyFill="1" applyBorder="1" applyAlignment="1">
      <alignment horizontal="center" vertical="center"/>
    </xf>
    <xf numFmtId="2" fontId="22" fillId="4" borderId="103" xfId="0" applyNumberFormat="1" applyFont="1" applyFill="1" applyBorder="1" applyAlignment="1">
      <alignment horizontal="centerContinuous" vertical="center" wrapText="1"/>
    </xf>
    <xf numFmtId="2" fontId="0" fillId="0" borderId="0" xfId="0" applyNumberFormat="1" applyAlignment="1">
      <alignment vertical="center"/>
    </xf>
    <xf numFmtId="0" fontId="24" fillId="0" borderId="150" xfId="0" applyFont="1" applyBorder="1" applyAlignment="1">
      <alignment horizontal="center" wrapText="1"/>
    </xf>
    <xf numFmtId="0" fontId="24" fillId="0" borderId="151" xfId="0" applyFont="1" applyBorder="1" applyAlignment="1">
      <alignment horizontal="center" wrapText="1"/>
    </xf>
    <xf numFmtId="0" fontId="24" fillId="0" borderId="152" xfId="0" applyFont="1" applyBorder="1" applyAlignment="1">
      <alignment horizontal="center" wrapText="1"/>
    </xf>
    <xf numFmtId="0" fontId="30" fillId="0" borderId="8" xfId="0" applyFont="1" applyBorder="1" applyAlignment="1">
      <alignment horizontal="centerContinuous" vertical="center"/>
    </xf>
    <xf numFmtId="0" fontId="30" fillId="0" borderId="0" xfId="0" applyFont="1" applyBorder="1" applyAlignment="1">
      <alignment horizontal="centerContinuous" vertical="center"/>
    </xf>
    <xf numFmtId="0" fontId="20" fillId="0" borderId="0" xfId="0" applyFont="1" applyAlignment="1" applyProtection="1">
      <alignment vertical="center"/>
    </xf>
    <xf numFmtId="0" fontId="150" fillId="10" borderId="0" xfId="0" applyFont="1" applyFill="1" applyAlignment="1" applyProtection="1">
      <alignment horizontal="center" vertical="center"/>
      <protection locked="0"/>
    </xf>
    <xf numFmtId="0" fontId="27" fillId="13" borderId="0" xfId="0" applyFont="1" applyFill="1" applyAlignment="1" applyProtection="1">
      <alignment horizontal="left" vertical="center"/>
    </xf>
    <xf numFmtId="180" fontId="151" fillId="0" borderId="3" xfId="0" applyNumberFormat="1" applyFont="1" applyBorder="1" applyAlignment="1" applyProtection="1">
      <alignment horizontal="center" vertical="center"/>
    </xf>
    <xf numFmtId="0" fontId="152" fillId="0" borderId="2" xfId="0" applyFont="1" applyBorder="1" applyAlignment="1">
      <alignment horizontal="center" vertical="center"/>
    </xf>
    <xf numFmtId="0" fontId="0" fillId="10" borderId="0" xfId="0" applyFill="1" applyAlignment="1">
      <alignment vertical="top"/>
    </xf>
    <xf numFmtId="0" fontId="93" fillId="3" borderId="147" xfId="0" applyFont="1" applyFill="1" applyBorder="1" applyAlignment="1" applyProtection="1">
      <alignment horizontal="center" vertical="center"/>
      <protection locked="0"/>
    </xf>
    <xf numFmtId="0" fontId="153" fillId="7" borderId="10" xfId="0" applyFont="1" applyFill="1" applyBorder="1" applyAlignment="1">
      <alignment horizontal="right" vertical="center"/>
    </xf>
    <xf numFmtId="0" fontId="20" fillId="0" borderId="0" xfId="15" applyAlignment="1">
      <alignment vertical="center"/>
    </xf>
    <xf numFmtId="0" fontId="20" fillId="0" borderId="0" xfId="15" applyBorder="1" applyAlignment="1">
      <alignment vertical="center"/>
    </xf>
    <xf numFmtId="0" fontId="20" fillId="0" borderId="0" xfId="15" applyFont="1" applyBorder="1" applyAlignment="1">
      <alignment horizontal="left" vertical="center"/>
    </xf>
    <xf numFmtId="0" fontId="33" fillId="0" borderId="0" xfId="15" applyFont="1" applyAlignment="1">
      <alignment vertical="center"/>
    </xf>
    <xf numFmtId="0" fontId="20" fillId="0" borderId="0" xfId="15"/>
    <xf numFmtId="0" fontId="34" fillId="0" borderId="0" xfId="15" applyFont="1" applyAlignment="1">
      <alignment vertical="center"/>
    </xf>
    <xf numFmtId="0" fontId="27" fillId="0" borderId="0" xfId="15" applyFont="1" applyAlignment="1">
      <alignment horizontal="right" vertical="center"/>
    </xf>
    <xf numFmtId="0" fontId="20" fillId="0" borderId="0" xfId="15" applyAlignment="1">
      <alignment horizontal="centerContinuous" vertical="center"/>
    </xf>
    <xf numFmtId="0" fontId="33" fillId="0" borderId="0" xfId="15" applyFont="1" applyBorder="1" applyAlignment="1">
      <alignment vertical="center"/>
    </xf>
    <xf numFmtId="0" fontId="42" fillId="0" borderId="0" xfId="15" applyFont="1" applyAlignment="1">
      <alignment vertical="center"/>
    </xf>
    <xf numFmtId="0" fontId="33" fillId="0" borderId="0" xfId="15" applyFont="1" applyBorder="1" applyAlignment="1" applyProtection="1">
      <alignment vertical="center"/>
    </xf>
    <xf numFmtId="180" fontId="33" fillId="0" borderId="0" xfId="15" applyNumberFormat="1" applyFont="1" applyBorder="1" applyAlignment="1">
      <alignment vertical="center"/>
    </xf>
    <xf numFmtId="0" fontId="24" fillId="10" borderId="11" xfId="15" applyFont="1" applyFill="1" applyBorder="1" applyAlignment="1">
      <alignment horizontal="left" vertical="top"/>
    </xf>
    <xf numFmtId="0" fontId="24" fillId="10" borderId="0" xfId="15" applyFont="1" applyFill="1" applyBorder="1" applyAlignment="1">
      <alignment horizontal="left" vertical="top"/>
    </xf>
    <xf numFmtId="0" fontId="20" fillId="10" borderId="11" xfId="15" applyFill="1" applyBorder="1"/>
    <xf numFmtId="0" fontId="20" fillId="10" borderId="0" xfId="15" applyFill="1" applyBorder="1"/>
    <xf numFmtId="0" fontId="33" fillId="0" borderId="11" xfId="15" applyFont="1" applyBorder="1" applyAlignment="1">
      <alignment vertical="center"/>
    </xf>
    <xf numFmtId="49" fontId="97" fillId="0" borderId="0" xfId="15" applyNumberFormat="1" applyFont="1" applyBorder="1" applyAlignment="1">
      <alignment horizontal="right" vertical="center"/>
    </xf>
    <xf numFmtId="49" fontId="27" fillId="0" borderId="0" xfId="15" applyNumberFormat="1" applyFont="1" applyFill="1" applyBorder="1" applyAlignment="1">
      <alignment vertical="center"/>
    </xf>
    <xf numFmtId="49" fontId="27" fillId="0" borderId="0" xfId="15" applyNumberFormat="1" applyFont="1" applyBorder="1" applyAlignment="1">
      <alignment vertical="center"/>
    </xf>
    <xf numFmtId="0" fontId="27" fillId="7" borderId="0" xfId="15" applyFont="1" applyFill="1"/>
    <xf numFmtId="0" fontId="33" fillId="11" borderId="64" xfId="15" applyFont="1" applyFill="1" applyBorder="1" applyAlignment="1">
      <alignment vertical="center"/>
    </xf>
    <xf numFmtId="0" fontId="33" fillId="11" borderId="0" xfId="15" applyFont="1" applyFill="1" applyBorder="1" applyAlignment="1">
      <alignment vertical="center"/>
    </xf>
    <xf numFmtId="0" fontId="33" fillId="11" borderId="63" xfId="15" applyFont="1" applyFill="1" applyBorder="1" applyAlignment="1">
      <alignment vertical="center"/>
    </xf>
    <xf numFmtId="0" fontId="42" fillId="11" borderId="64" xfId="15" applyFont="1" applyFill="1" applyBorder="1" applyAlignment="1">
      <alignment vertical="center"/>
    </xf>
    <xf numFmtId="0" fontId="42" fillId="11" borderId="0" xfId="15" applyFont="1" applyFill="1" applyBorder="1" applyAlignment="1">
      <alignment vertical="center"/>
    </xf>
    <xf numFmtId="0" fontId="42" fillId="11" borderId="63" xfId="15" applyFont="1" applyFill="1" applyBorder="1" applyAlignment="1">
      <alignment vertical="center"/>
    </xf>
    <xf numFmtId="0" fontId="26" fillId="11" borderId="64" xfId="15" applyFont="1" applyFill="1" applyBorder="1" applyAlignment="1">
      <alignment vertical="center"/>
    </xf>
    <xf numFmtId="0" fontId="26" fillId="11" borderId="0" xfId="15" applyFont="1" applyFill="1" applyBorder="1" applyAlignment="1">
      <alignment vertical="center"/>
    </xf>
    <xf numFmtId="0" fontId="26" fillId="11" borderId="86" xfId="15" applyFont="1" applyFill="1" applyBorder="1" applyAlignment="1">
      <alignment vertical="center"/>
    </xf>
    <xf numFmtId="0" fontId="26" fillId="11" borderId="85" xfId="15" applyFont="1" applyFill="1" applyBorder="1" applyAlignment="1">
      <alignment vertical="center"/>
    </xf>
    <xf numFmtId="0" fontId="22" fillId="11" borderId="83" xfId="15" applyFont="1" applyFill="1" applyBorder="1" applyAlignment="1">
      <alignment vertical="center"/>
    </xf>
    <xf numFmtId="0" fontId="24" fillId="10" borderId="2" xfId="15" applyFont="1" applyFill="1" applyBorder="1" applyAlignment="1">
      <alignment horizontal="left" vertical="top" wrapText="1"/>
    </xf>
    <xf numFmtId="0" fontId="24" fillId="10" borderId="2" xfId="15" applyFont="1" applyFill="1" applyBorder="1" applyAlignment="1">
      <alignment horizontal="left" vertical="top"/>
    </xf>
    <xf numFmtId="0" fontId="24" fillId="10" borderId="0" xfId="15" applyFont="1" applyFill="1" applyBorder="1" applyAlignment="1">
      <alignment horizontal="left" vertical="top" wrapText="1"/>
    </xf>
    <xf numFmtId="0" fontId="20" fillId="10" borderId="0" xfId="15" applyFill="1" applyBorder="1" applyAlignment="1">
      <alignment vertical="center"/>
    </xf>
    <xf numFmtId="0" fontId="20" fillId="10" borderId="0" xfId="15" applyFont="1" applyFill="1" applyBorder="1" applyAlignment="1">
      <alignment horizontal="left" vertical="center"/>
    </xf>
    <xf numFmtId="0" fontId="26" fillId="10" borderId="0" xfId="15" applyFont="1" applyFill="1" applyBorder="1" applyAlignment="1">
      <alignment vertical="top"/>
    </xf>
    <xf numFmtId="0" fontId="20" fillId="10" borderId="0" xfId="15" applyFill="1" applyAlignment="1">
      <alignment vertical="top"/>
    </xf>
    <xf numFmtId="0" fontId="81" fillId="10" borderId="0" xfId="15" applyFont="1" applyFill="1" applyBorder="1" applyAlignment="1">
      <alignment vertical="center"/>
    </xf>
    <xf numFmtId="0" fontId="33" fillId="0" borderId="2" xfId="15" applyFont="1" applyBorder="1" applyAlignment="1">
      <alignment vertical="center"/>
    </xf>
    <xf numFmtId="0" fontId="44" fillId="0" borderId="17" xfId="0" applyFont="1" applyBorder="1" applyAlignment="1" applyProtection="1">
      <alignment horizontal="centerContinuous" vertical="center"/>
    </xf>
    <xf numFmtId="0" fontId="44" fillId="0" borderId="19" xfId="0" applyFont="1" applyBorder="1" applyAlignment="1" applyProtection="1">
      <alignment horizontal="centerContinuous" vertical="center"/>
    </xf>
    <xf numFmtId="9" fontId="24" fillId="0" borderId="15" xfId="0" applyNumberFormat="1" applyFont="1" applyBorder="1" applyAlignment="1" applyProtection="1">
      <alignment horizontal="center" vertical="center"/>
    </xf>
    <xf numFmtId="0" fontId="33" fillId="0" borderId="31" xfId="0" applyFont="1" applyBorder="1"/>
    <xf numFmtId="0" fontId="35" fillId="4" borderId="0" xfId="0" applyFont="1" applyFill="1" applyBorder="1" applyAlignment="1">
      <alignment vertical="top"/>
    </xf>
    <xf numFmtId="0" fontId="33" fillId="0" borderId="31" xfId="0" applyFont="1" applyBorder="1" applyAlignment="1"/>
    <xf numFmtId="207" fontId="35" fillId="0" borderId="38" xfId="0" applyNumberFormat="1" applyFont="1" applyBorder="1" applyAlignment="1">
      <alignment horizontal="center"/>
    </xf>
    <xf numFmtId="0" fontId="33" fillId="0" borderId="5" xfId="0" applyFont="1" applyBorder="1" applyAlignment="1"/>
    <xf numFmtId="0" fontId="33" fillId="0" borderId="0" xfId="0" applyFont="1" applyBorder="1" applyAlignment="1"/>
    <xf numFmtId="0" fontId="33" fillId="0" borderId="7" xfId="0" applyFont="1" applyBorder="1"/>
    <xf numFmtId="0" fontId="33" fillId="0" borderId="155" xfId="0" applyFont="1" applyBorder="1" applyAlignment="1">
      <alignment horizontal="center"/>
    </xf>
    <xf numFmtId="0" fontId="35" fillId="0" borderId="154" xfId="0" applyFont="1" applyBorder="1" applyAlignment="1">
      <alignment horizontal="center"/>
    </xf>
    <xf numFmtId="2" fontId="33" fillId="0" borderId="155" xfId="0" applyNumberFormat="1" applyFont="1" applyBorder="1" applyAlignment="1">
      <alignment horizontal="center"/>
    </xf>
    <xf numFmtId="49" fontId="33" fillId="0" borderId="155" xfId="0" applyNumberFormat="1" applyFont="1" applyBorder="1" applyAlignment="1">
      <alignment horizontal="center"/>
    </xf>
    <xf numFmtId="207" fontId="35" fillId="0" borderId="154" xfId="0" applyNumberFormat="1" applyFont="1" applyBorder="1" applyAlignment="1">
      <alignment horizontal="center"/>
    </xf>
    <xf numFmtId="0" fontId="33" fillId="0" borderId="6" xfId="0" applyFont="1" applyBorder="1" applyAlignment="1"/>
    <xf numFmtId="0" fontId="33" fillId="0" borderId="2" xfId="0" applyFont="1" applyBorder="1" applyAlignment="1"/>
    <xf numFmtId="2" fontId="33" fillId="0" borderId="117" xfId="0" applyNumberFormat="1" applyFont="1" applyBorder="1" applyAlignment="1">
      <alignment horizontal="center"/>
    </xf>
    <xf numFmtId="49" fontId="33" fillId="0" borderId="117" xfId="0" applyNumberFormat="1" applyFont="1" applyBorder="1" applyAlignment="1">
      <alignment horizontal="center"/>
    </xf>
    <xf numFmtId="207" fontId="35" fillId="0" borderId="156" xfId="0" applyNumberFormat="1" applyFont="1" applyBorder="1" applyAlignment="1">
      <alignment horizontal="center"/>
    </xf>
    <xf numFmtId="0" fontId="33" fillId="0" borderId="157" xfId="0" applyFont="1" applyBorder="1"/>
    <xf numFmtId="0" fontId="33" fillId="0" borderId="158" xfId="0" applyFont="1" applyBorder="1"/>
    <xf numFmtId="0" fontId="33" fillId="0" borderId="155" xfId="0" applyFont="1" applyBorder="1" applyAlignment="1">
      <alignment horizontal="left"/>
    </xf>
    <xf numFmtId="206" fontId="35" fillId="0" borderId="154" xfId="0" applyNumberFormat="1" applyFont="1" applyBorder="1" applyAlignment="1">
      <alignment horizontal="center"/>
    </xf>
    <xf numFmtId="0" fontId="33" fillId="0" borderId="2" xfId="0" applyFont="1" applyBorder="1"/>
    <xf numFmtId="49" fontId="35" fillId="0" borderId="154" xfId="0" applyNumberFormat="1" applyFont="1" applyBorder="1" applyAlignment="1">
      <alignment horizontal="center"/>
    </xf>
    <xf numFmtId="0" fontId="35" fillId="4" borderId="5" xfId="0" applyFont="1" applyFill="1" applyBorder="1" applyAlignment="1">
      <alignment vertical="top"/>
    </xf>
    <xf numFmtId="1" fontId="33" fillId="0" borderId="155" xfId="0" applyNumberFormat="1" applyFont="1" applyBorder="1" applyAlignment="1">
      <alignment horizontal="center"/>
    </xf>
    <xf numFmtId="0" fontId="33" fillId="0" borderId="159" xfId="0" applyFont="1" applyBorder="1"/>
    <xf numFmtId="0" fontId="33" fillId="0" borderId="155" xfId="0" applyFont="1" applyBorder="1" applyAlignment="1"/>
    <xf numFmtId="0" fontId="33" fillId="0" borderId="117" xfId="0" applyFont="1" applyBorder="1" applyAlignment="1"/>
    <xf numFmtId="49" fontId="35" fillId="0" borderId="156" xfId="0" applyNumberFormat="1" applyFont="1" applyBorder="1" applyAlignment="1">
      <alignment horizontal="center"/>
    </xf>
    <xf numFmtId="0" fontId="35" fillId="0" borderId="5" xfId="0" applyFont="1" applyBorder="1" applyAlignment="1"/>
    <xf numFmtId="0" fontId="24" fillId="0" borderId="6" xfId="0" applyFont="1" applyBorder="1"/>
    <xf numFmtId="0" fontId="33" fillId="0" borderId="7" xfId="0" applyFont="1" applyBorder="1" applyAlignment="1"/>
    <xf numFmtId="0" fontId="33" fillId="0" borderId="8" xfId="0" applyFont="1" applyBorder="1" applyAlignment="1"/>
    <xf numFmtId="0" fontId="33" fillId="0" borderId="161" xfId="0" applyFont="1" applyBorder="1" applyAlignment="1">
      <alignment horizontal="center"/>
    </xf>
    <xf numFmtId="49" fontId="33" fillId="0" borderId="161" xfId="0" applyNumberFormat="1" applyFont="1" applyBorder="1" applyAlignment="1">
      <alignment horizontal="center"/>
    </xf>
    <xf numFmtId="207" fontId="35" fillId="0" borderId="160" xfId="0" applyNumberFormat="1" applyFont="1" applyBorder="1" applyAlignment="1">
      <alignment horizontal="center"/>
    </xf>
    <xf numFmtId="0" fontId="35" fillId="0" borderId="7" xfId="0" applyFont="1" applyBorder="1" applyAlignment="1"/>
    <xf numFmtId="0" fontId="0" fillId="0" borderId="166" xfId="0" applyBorder="1"/>
    <xf numFmtId="0" fontId="0" fillId="0" borderId="1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/>
    <xf numFmtId="0" fontId="51" fillId="0" borderId="53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51" fillId="0" borderId="10" xfId="0" applyFont="1" applyBorder="1" applyAlignment="1">
      <alignment horizontal="center"/>
    </xf>
    <xf numFmtId="0" fontId="51" fillId="0" borderId="12" xfId="0" applyFont="1" applyBorder="1" applyAlignment="1">
      <alignment horizontal="left" vertical="center"/>
    </xf>
    <xf numFmtId="0" fontId="20" fillId="0" borderId="8" xfId="0" applyFont="1" applyBorder="1" applyAlignment="1">
      <alignment horizontal="center" vertical="center"/>
    </xf>
    <xf numFmtId="0" fontId="24" fillId="0" borderId="12" xfId="0" applyFont="1" applyBorder="1" applyAlignment="1"/>
    <xf numFmtId="0" fontId="26" fillId="0" borderId="31" xfId="0" applyFont="1" applyBorder="1" applyAlignment="1"/>
    <xf numFmtId="0" fontId="35" fillId="0" borderId="167" xfId="0" applyFont="1" applyBorder="1" applyAlignment="1">
      <alignment horizontal="center" wrapText="1"/>
    </xf>
    <xf numFmtId="0" fontId="51" fillId="0" borderId="7" xfId="0" applyFont="1" applyBorder="1" applyAlignment="1">
      <alignment horizontal="left" vertical="center"/>
    </xf>
    <xf numFmtId="0" fontId="35" fillId="0" borderId="12" xfId="0" applyFont="1" applyBorder="1" applyAlignment="1"/>
    <xf numFmtId="0" fontId="0" fillId="0" borderId="3" xfId="0" applyBorder="1" applyAlignment="1">
      <alignment horizontal="center"/>
    </xf>
    <xf numFmtId="0" fontId="51" fillId="0" borderId="7" xfId="0" applyFont="1" applyBorder="1"/>
    <xf numFmtId="0" fontId="51" fillId="0" borderId="8" xfId="0" applyFont="1" applyBorder="1" applyAlignment="1">
      <alignment horizontal="center"/>
    </xf>
    <xf numFmtId="0" fontId="51" fillId="0" borderId="14" xfId="0" applyFont="1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9" fontId="35" fillId="0" borderId="3" xfId="0" applyNumberFormat="1" applyFont="1" applyBorder="1" applyAlignment="1">
      <alignment horizontal="center" vertical="center"/>
    </xf>
    <xf numFmtId="0" fontId="51" fillId="0" borderId="58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2" xfId="0" applyBorder="1" applyAlignment="1">
      <alignment horizontal="center"/>
    </xf>
    <xf numFmtId="6" fontId="35" fillId="0" borderId="167" xfId="0" applyNumberFormat="1" applyFont="1" applyBorder="1" applyAlignment="1">
      <alignment horizontal="center"/>
    </xf>
    <xf numFmtId="0" fontId="115" fillId="0" borderId="113" xfId="0" applyFont="1" applyFill="1" applyBorder="1" applyAlignment="1" applyProtection="1">
      <alignment horizontal="left" vertical="center"/>
    </xf>
    <xf numFmtId="0" fontId="159" fillId="0" borderId="0" xfId="0" applyFont="1" applyAlignment="1" applyProtection="1">
      <alignment vertical="center"/>
    </xf>
    <xf numFmtId="0" fontId="20" fillId="0" borderId="0" xfId="0" applyFont="1" applyAlignment="1">
      <alignment horizontal="right"/>
    </xf>
    <xf numFmtId="0" fontId="0" fillId="0" borderId="0" xfId="0"/>
    <xf numFmtId="0" fontId="0" fillId="0" borderId="0" xfId="0"/>
    <xf numFmtId="0" fontId="24" fillId="15" borderId="0" xfId="0" applyFont="1" applyFill="1" applyBorder="1" applyAlignment="1">
      <alignment vertical="center"/>
    </xf>
    <xf numFmtId="0" fontId="24" fillId="16" borderId="0" xfId="0" applyFont="1" applyFill="1" applyAlignment="1">
      <alignment horizontal="left"/>
    </xf>
    <xf numFmtId="227" fontId="22" fillId="0" borderId="0" xfId="0" applyNumberFormat="1" applyFont="1" applyAlignment="1">
      <alignment horizontal="center" vertical="top"/>
    </xf>
    <xf numFmtId="170" fontId="33" fillId="0" borderId="89" xfId="0" applyNumberFormat="1" applyFont="1" applyFill="1" applyBorder="1" applyAlignment="1" applyProtection="1">
      <alignment horizontal="right" vertical="center"/>
      <protection locked="0"/>
    </xf>
    <xf numFmtId="170" fontId="33" fillId="0" borderId="41" xfId="0" applyNumberFormat="1" applyFont="1" applyFill="1" applyBorder="1" applyAlignment="1" applyProtection="1">
      <alignment horizontal="right" vertical="center"/>
      <protection locked="0"/>
    </xf>
    <xf numFmtId="170" fontId="33" fillId="0" borderId="89" xfId="0" applyNumberFormat="1" applyFont="1" applyFill="1" applyBorder="1" applyAlignment="1" applyProtection="1">
      <alignment horizontal="right" vertical="center"/>
    </xf>
    <xf numFmtId="170" fontId="33" fillId="0" borderId="41" xfId="0" applyNumberFormat="1" applyFont="1" applyFill="1" applyBorder="1" applyAlignment="1" applyProtection="1">
      <alignment horizontal="right" vertical="center"/>
    </xf>
    <xf numFmtId="170" fontId="33" fillId="0" borderId="141" xfId="0" applyNumberFormat="1" applyFont="1" applyFill="1" applyBorder="1" applyAlignment="1" applyProtection="1">
      <alignment horizontal="right" vertical="center"/>
    </xf>
    <xf numFmtId="170" fontId="33" fillId="0" borderId="4" xfId="0" applyNumberFormat="1" applyFont="1" applyFill="1" applyBorder="1" applyAlignment="1" applyProtection="1">
      <alignment horizontal="right" vertical="center"/>
    </xf>
    <xf numFmtId="170" fontId="44" fillId="4" borderId="11" xfId="0" applyNumberFormat="1" applyFont="1" applyFill="1" applyBorder="1" applyAlignment="1" applyProtection="1">
      <alignment horizontal="right"/>
    </xf>
    <xf numFmtId="185" fontId="18" fillId="7" borderId="34" xfId="0" applyNumberFormat="1" applyFont="1" applyFill="1" applyBorder="1" applyAlignment="1" applyProtection="1">
      <alignment horizontal="right" vertical="center"/>
    </xf>
    <xf numFmtId="0" fontId="18" fillId="0" borderId="23" xfId="0" applyFont="1" applyBorder="1" applyAlignment="1">
      <alignment horizontal="right" vertical="center"/>
    </xf>
    <xf numFmtId="0" fontId="18" fillId="0" borderId="24" xfId="17" applyFont="1" applyBorder="1" applyAlignment="1">
      <alignment horizontal="left" vertical="center"/>
    </xf>
    <xf numFmtId="169" fontId="33" fillId="3" borderId="19" xfId="17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20" fillId="0" borderId="2" xfId="0" applyFont="1" applyBorder="1" applyAlignment="1">
      <alignment vertical="center"/>
    </xf>
    <xf numFmtId="0" fontId="18" fillId="3" borderId="27" xfId="0" applyFont="1" applyFill="1" applyBorder="1" applyAlignment="1" applyProtection="1">
      <alignment vertical="center"/>
      <protection locked="0"/>
    </xf>
    <xf numFmtId="0" fontId="160" fillId="3" borderId="48" xfId="0" applyFont="1" applyFill="1" applyBorder="1" applyAlignment="1" applyProtection="1">
      <alignment vertical="center"/>
      <protection locked="0"/>
    </xf>
    <xf numFmtId="173" fontId="33" fillId="4" borderId="26" xfId="0" applyNumberFormat="1" applyFont="1" applyFill="1" applyBorder="1" applyAlignment="1">
      <alignment horizontal="right" vertical="center"/>
    </xf>
    <xf numFmtId="0" fontId="0" fillId="0" borderId="0" xfId="0"/>
    <xf numFmtId="0" fontId="33" fillId="0" borderId="8" xfId="15" applyFont="1" applyBorder="1" applyAlignment="1">
      <alignment vertical="center"/>
    </xf>
    <xf numFmtId="0" fontId="19" fillId="0" borderId="0" xfId="0" applyFont="1"/>
    <xf numFmtId="0" fontId="18" fillId="0" borderId="0" xfId="15" applyFont="1" applyAlignment="1">
      <alignment vertical="center"/>
    </xf>
    <xf numFmtId="169" fontId="33" fillId="3" borderId="46" xfId="17" applyNumberFormat="1" applyFont="1" applyFill="1" applyBorder="1" applyAlignment="1" applyProtection="1">
      <alignment horizontal="right" vertical="center"/>
      <protection locked="0"/>
    </xf>
    <xf numFmtId="2" fontId="22" fillId="4" borderId="104" xfId="0" applyNumberFormat="1" applyFont="1" applyFill="1" applyBorder="1" applyAlignment="1">
      <alignment horizontal="center" vertical="center" wrapText="1"/>
    </xf>
    <xf numFmtId="2" fontId="22" fillId="4" borderId="147" xfId="0" applyNumberFormat="1" applyFont="1" applyFill="1" applyBorder="1" applyAlignment="1">
      <alignment horizontal="center" vertical="center" wrapText="1"/>
    </xf>
    <xf numFmtId="2" fontId="44" fillId="0" borderId="2" xfId="0" applyNumberFormat="1" applyFont="1" applyBorder="1" applyAlignment="1">
      <alignment horizontal="center" vertical="center"/>
    </xf>
    <xf numFmtId="2" fontId="44" fillId="0" borderId="70" xfId="0" applyNumberFormat="1" applyFont="1" applyBorder="1" applyAlignment="1">
      <alignment horizontal="center" vertical="center"/>
    </xf>
    <xf numFmtId="0" fontId="26" fillId="0" borderId="8" xfId="0" applyFont="1" applyBorder="1"/>
    <xf numFmtId="0" fontId="26" fillId="0" borderId="118" xfId="0" applyFont="1" applyBorder="1" applyAlignment="1">
      <alignment vertical="center" readingOrder="1"/>
    </xf>
    <xf numFmtId="2" fontId="26" fillId="0" borderId="65" xfId="0" applyNumberFormat="1" applyFont="1" applyBorder="1" applyAlignment="1">
      <alignment horizontal="left" vertical="center" readingOrder="1"/>
    </xf>
    <xf numFmtId="2" fontId="44" fillId="17" borderId="0" xfId="0" applyNumberFormat="1" applyFont="1" applyFill="1" applyBorder="1" applyAlignment="1">
      <alignment horizontal="center" vertical="center"/>
    </xf>
    <xf numFmtId="2" fontId="44" fillId="17" borderId="0" xfId="0" applyNumberFormat="1" applyFont="1" applyFill="1" applyBorder="1" applyAlignment="1">
      <alignment vertical="center"/>
    </xf>
    <xf numFmtId="1" fontId="28" fillId="4" borderId="98" xfId="0" applyNumberFormat="1" applyFont="1" applyFill="1" applyBorder="1" applyAlignment="1">
      <alignment horizontal="center" vertical="center"/>
    </xf>
    <xf numFmtId="0" fontId="136" fillId="0" borderId="0" xfId="9" applyFont="1" applyAlignment="1" applyProtection="1"/>
    <xf numFmtId="0" fontId="20" fillId="0" borderId="0" xfId="0" applyFont="1"/>
    <xf numFmtId="2" fontId="161" fillId="4" borderId="107" xfId="9" applyNumberFormat="1" applyFont="1" applyFill="1" applyBorder="1" applyAlignment="1" applyProtection="1">
      <alignment horizontal="center" vertical="center" wrapText="1"/>
    </xf>
    <xf numFmtId="0" fontId="135" fillId="7" borderId="0" xfId="9" applyFont="1" applyFill="1" applyBorder="1" applyAlignment="1" applyProtection="1">
      <alignment vertical="center"/>
    </xf>
    <xf numFmtId="0" fontId="135" fillId="0" borderId="0" xfId="9" applyFont="1" applyBorder="1" applyAlignment="1" applyProtection="1"/>
    <xf numFmtId="0" fontId="162" fillId="0" borderId="0" xfId="9" applyFont="1" applyBorder="1" applyAlignment="1" applyProtection="1"/>
    <xf numFmtId="185" fontId="33" fillId="18" borderId="0" xfId="0" applyNumberFormat="1" applyFont="1" applyFill="1" applyBorder="1" applyAlignment="1" applyProtection="1">
      <alignment horizontal="right" vertical="center"/>
      <protection locked="0"/>
    </xf>
    <xf numFmtId="173" fontId="35" fillId="18" borderId="36" xfId="14" applyNumberFormat="1" applyFont="1" applyFill="1" applyBorder="1" applyAlignment="1" applyProtection="1">
      <alignment horizontal="centerContinuous" vertical="center"/>
    </xf>
    <xf numFmtId="3" fontId="24" fillId="18" borderId="22" xfId="0" applyNumberFormat="1" applyFont="1" applyFill="1" applyBorder="1" applyAlignment="1" applyProtection="1">
      <alignment horizontal="centerContinuous" vertical="center"/>
      <protection locked="0"/>
    </xf>
    <xf numFmtId="9" fontId="74" fillId="18" borderId="3" xfId="0" applyNumberFormat="1" applyFont="1" applyFill="1" applyBorder="1" applyAlignment="1" applyProtection="1">
      <alignment horizontal="centerContinuous" vertical="center"/>
      <protection locked="0"/>
    </xf>
    <xf numFmtId="0" fontId="0" fillId="0" borderId="0" xfId="0"/>
    <xf numFmtId="0" fontId="136" fillId="0" borderId="0" xfId="9" applyFont="1" applyBorder="1" applyAlignment="1" applyProtection="1"/>
    <xf numFmtId="0" fontId="17" fillId="0" borderId="0" xfId="0" applyFont="1" applyAlignment="1">
      <alignment vertical="center"/>
    </xf>
    <xf numFmtId="0" fontId="136" fillId="0" borderId="0" xfId="9" applyFont="1" applyAlignment="1" applyProtection="1">
      <alignment vertical="center"/>
    </xf>
    <xf numFmtId="0" fontId="136" fillId="0" borderId="0" xfId="9" applyFont="1" applyBorder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17" fillId="0" borderId="0" xfId="0" applyFont="1" applyBorder="1" applyAlignment="1" applyProtection="1">
      <alignment horizontal="left" vertical="center"/>
    </xf>
    <xf numFmtId="0" fontId="17" fillId="0" borderId="0" xfId="0" applyFont="1" applyAlignment="1" applyProtection="1">
      <alignment horizontal="centerContinuous" vertical="center"/>
    </xf>
    <xf numFmtId="0" fontId="17" fillId="0" borderId="0" xfId="0" applyFont="1" applyProtection="1"/>
    <xf numFmtId="0" fontId="0" fillId="0" borderId="0" xfId="0"/>
    <xf numFmtId="0" fontId="0" fillId="0" borderId="0" xfId="0" applyAlignment="1">
      <alignment vertical="center"/>
    </xf>
    <xf numFmtId="0" fontId="20" fillId="0" borderId="0" xfId="0" applyFont="1"/>
    <xf numFmtId="0" fontId="136" fillId="0" borderId="0" xfId="9" applyFont="1" applyBorder="1" applyAlignment="1" applyProtection="1"/>
    <xf numFmtId="0" fontId="136" fillId="0" borderId="0" xfId="9" applyFont="1" applyBorder="1" applyAlignment="1" applyProtection="1">
      <alignment vertical="center"/>
    </xf>
    <xf numFmtId="0" fontId="17" fillId="0" borderId="0" xfId="0" applyFont="1" applyBorder="1" applyAlignment="1">
      <alignment vertical="center"/>
    </xf>
    <xf numFmtId="0" fontId="136" fillId="0" borderId="0" xfId="9" applyFont="1" applyAlignment="1" applyProtection="1">
      <alignment vertical="center"/>
    </xf>
    <xf numFmtId="0" fontId="17" fillId="0" borderId="0" xfId="0" applyFont="1" applyAlignment="1">
      <alignment vertical="center"/>
    </xf>
    <xf numFmtId="0" fontId="0" fillId="0" borderId="0" xfId="0"/>
    <xf numFmtId="0" fontId="17" fillId="0" borderId="0" xfId="0" applyFont="1" applyBorder="1" applyAlignment="1">
      <alignment horizontal="right" vertical="center"/>
    </xf>
    <xf numFmtId="0" fontId="0" fillId="0" borderId="0" xfId="0" applyAlignment="1">
      <alignment vertical="center"/>
    </xf>
    <xf numFmtId="0" fontId="20" fillId="0" borderId="0" xfId="0" applyFont="1"/>
    <xf numFmtId="0" fontId="33" fillId="4" borderId="62" xfId="0" applyFont="1" applyFill="1" applyBorder="1" applyAlignment="1">
      <alignment horizontal="left"/>
    </xf>
    <xf numFmtId="0" fontId="33" fillId="4" borderId="66" xfId="0" applyFont="1" applyFill="1" applyBorder="1" applyAlignment="1">
      <alignment horizontal="left"/>
    </xf>
    <xf numFmtId="0" fontId="136" fillId="0" borderId="0" xfId="9" applyFont="1" applyBorder="1" applyAlignment="1" applyProtection="1"/>
    <xf numFmtId="0" fontId="77" fillId="0" borderId="0" xfId="9" applyBorder="1" applyAlignment="1" applyProtection="1"/>
    <xf numFmtId="2" fontId="161" fillId="4" borderId="98" xfId="9" applyNumberFormat="1" applyFont="1" applyFill="1" applyBorder="1" applyAlignment="1" applyProtection="1">
      <alignment horizontal="center" vertical="center" wrapText="1"/>
    </xf>
    <xf numFmtId="2" fontId="161" fillId="4" borderId="110" xfId="9" applyNumberFormat="1" applyFont="1" applyFill="1" applyBorder="1" applyAlignment="1" applyProtection="1">
      <alignment horizontal="center" vertical="center" wrapText="1"/>
    </xf>
    <xf numFmtId="2" fontId="22" fillId="0" borderId="106" xfId="0" applyNumberFormat="1" applyFont="1" applyFill="1" applyBorder="1" applyAlignment="1">
      <alignment horizontal="centerContinuous" vertical="center" wrapText="1"/>
    </xf>
    <xf numFmtId="2" fontId="22" fillId="4" borderId="105" xfId="0" applyNumberFormat="1" applyFont="1" applyFill="1" applyBorder="1" applyAlignment="1">
      <alignment horizontal="centerContinuous" vertical="center" wrapText="1"/>
    </xf>
    <xf numFmtId="2" fontId="163" fillId="4" borderId="98" xfId="9" applyNumberFormat="1" applyFont="1" applyFill="1" applyBorder="1" applyAlignment="1" applyProtection="1">
      <alignment horizontal="center" vertical="center" wrapText="1"/>
    </xf>
    <xf numFmtId="2" fontId="163" fillId="4" borderId="109" xfId="9" applyNumberFormat="1" applyFont="1" applyFill="1" applyBorder="1" applyAlignment="1" applyProtection="1">
      <alignment horizontal="center" vertical="center" wrapText="1"/>
    </xf>
    <xf numFmtId="2" fontId="163" fillId="4" borderId="100" xfId="9" applyNumberFormat="1" applyFont="1" applyFill="1" applyBorder="1" applyAlignment="1" applyProtection="1">
      <alignment horizontal="center" vertical="center" wrapText="1"/>
    </xf>
    <xf numFmtId="2" fontId="163" fillId="4" borderId="107" xfId="9" applyNumberFormat="1" applyFont="1" applyFill="1" applyBorder="1" applyAlignment="1" applyProtection="1">
      <alignment horizontal="center" vertical="center" wrapText="1"/>
    </xf>
    <xf numFmtId="2" fontId="163" fillId="4" borderId="98" xfId="9" applyNumberFormat="1" applyFont="1" applyFill="1" applyBorder="1" applyAlignment="1" applyProtection="1">
      <alignment horizontal="center" vertical="center"/>
    </xf>
    <xf numFmtId="2" fontId="163" fillId="4" borderId="108" xfId="9" applyNumberFormat="1" applyFont="1" applyFill="1" applyBorder="1" applyAlignment="1" applyProtection="1">
      <alignment horizontal="center" vertical="center"/>
    </xf>
    <xf numFmtId="2" fontId="163" fillId="4" borderId="108" xfId="9" applyNumberFormat="1" applyFont="1" applyFill="1" applyBorder="1" applyAlignment="1" applyProtection="1">
      <alignment horizontal="center" vertical="center" wrapText="1"/>
    </xf>
    <xf numFmtId="2" fontId="163" fillId="4" borderId="147" xfId="9" applyNumberFormat="1" applyFont="1" applyFill="1" applyBorder="1" applyAlignment="1" applyProtection="1">
      <alignment horizontal="centerContinuous" vertical="center" wrapText="1"/>
    </xf>
    <xf numFmtId="2" fontId="163" fillId="4" borderId="105" xfId="9" applyNumberFormat="1" applyFont="1" applyFill="1" applyBorder="1" applyAlignment="1" applyProtection="1">
      <alignment horizontal="centerContinuous" vertical="center" wrapText="1"/>
    </xf>
    <xf numFmtId="0" fontId="77" fillId="0" borderId="0" xfId="9" applyBorder="1" applyAlignment="1" applyProtection="1">
      <alignment vertical="center"/>
    </xf>
    <xf numFmtId="0" fontId="77" fillId="7" borderId="0" xfId="9" quotePrefix="1" applyFill="1" applyBorder="1" applyAlignment="1" applyProtection="1">
      <alignment vertical="center"/>
    </xf>
    <xf numFmtId="0" fontId="162" fillId="7" borderId="0" xfId="9" applyFont="1" applyFill="1" applyBorder="1" applyAlignment="1" applyProtection="1">
      <alignment vertical="center"/>
    </xf>
    <xf numFmtId="0" fontId="162" fillId="0" borderId="0" xfId="9" applyFont="1" applyBorder="1" applyAlignment="1" applyProtection="1">
      <alignment vertical="center"/>
    </xf>
    <xf numFmtId="0" fontId="164" fillId="7" borderId="0" xfId="9" applyFont="1" applyFill="1" applyBorder="1" applyAlignment="1" applyProtection="1">
      <alignment horizontal="left" vertical="center"/>
    </xf>
    <xf numFmtId="49" fontId="161" fillId="7" borderId="0" xfId="9" applyNumberFormat="1" applyFont="1" applyFill="1" applyAlignment="1" applyProtection="1">
      <alignment horizontal="center" vertical="center"/>
    </xf>
    <xf numFmtId="0" fontId="19" fillId="7" borderId="0" xfId="0" applyFont="1" applyFill="1" applyAlignment="1">
      <alignment vertical="center"/>
    </xf>
    <xf numFmtId="0" fontId="162" fillId="7" borderId="0" xfId="9" quotePrefix="1" applyFont="1" applyFill="1" applyBorder="1" applyAlignment="1" applyProtection="1">
      <alignment vertical="center"/>
    </xf>
    <xf numFmtId="0" fontId="135" fillId="0" borderId="0" xfId="9" applyFont="1" applyBorder="1" applyAlignment="1" applyProtection="1">
      <alignment vertical="center"/>
    </xf>
    <xf numFmtId="0" fontId="164" fillId="0" borderId="0" xfId="9" applyFont="1" applyBorder="1" applyAlignment="1" applyProtection="1">
      <alignment vertical="center"/>
    </xf>
    <xf numFmtId="49" fontId="161" fillId="7" borderId="0" xfId="9" applyNumberFormat="1" applyFont="1" applyFill="1" applyBorder="1" applyAlignment="1" applyProtection="1">
      <alignment horizontal="center" vertical="center"/>
    </xf>
    <xf numFmtId="0" fontId="136" fillId="0" borderId="0" xfId="9" applyFont="1" applyBorder="1" applyAlignment="1" applyProtection="1">
      <alignment horizontal="right"/>
    </xf>
    <xf numFmtId="0" fontId="35" fillId="0" borderId="0" xfId="0" applyFont="1" applyBorder="1" applyAlignment="1">
      <alignment horizontal="right" vertical="center"/>
    </xf>
    <xf numFmtId="0" fontId="35" fillId="0" borderId="0" xfId="0" applyFont="1" applyBorder="1" applyAlignment="1">
      <alignment horizontal="right" vertical="top"/>
    </xf>
    <xf numFmtId="0" fontId="77" fillId="7" borderId="0" xfId="9" applyFill="1" applyAlignment="1" applyProtection="1"/>
    <xf numFmtId="0" fontId="20" fillId="7" borderId="0" xfId="0" applyFont="1" applyFill="1" applyAlignment="1">
      <alignment vertical="top"/>
    </xf>
    <xf numFmtId="0" fontId="128" fillId="7" borderId="0" xfId="9" applyFont="1" applyFill="1" applyAlignment="1" applyProtection="1"/>
    <xf numFmtId="0" fontId="17" fillId="0" borderId="0" xfId="0" applyFont="1" applyBorder="1" applyAlignment="1">
      <alignment horizontal="right"/>
    </xf>
    <xf numFmtId="0" fontId="165" fillId="7" borderId="0" xfId="9" applyFont="1" applyFill="1" applyAlignment="1" applyProtection="1">
      <alignment horizontal="center" vertical="center"/>
    </xf>
    <xf numFmtId="0" fontId="128" fillId="7" borderId="0" xfId="9" applyFont="1" applyFill="1" applyAlignment="1" applyProtection="1">
      <alignment horizontal="center" vertical="center"/>
    </xf>
    <xf numFmtId="0" fontId="20" fillId="0" borderId="2" xfId="0" applyFont="1" applyBorder="1" applyAlignment="1" applyProtection="1">
      <alignment horizontal="left" vertical="center"/>
    </xf>
    <xf numFmtId="1" fontId="143" fillId="0" borderId="2" xfId="0" applyNumberFormat="1" applyFont="1" applyBorder="1" applyAlignment="1" applyProtection="1">
      <alignment vertical="center"/>
    </xf>
    <xf numFmtId="0" fontId="0" fillId="0" borderId="0" xfId="0"/>
    <xf numFmtId="0" fontId="20" fillId="0" borderId="0" xfId="0" applyFont="1"/>
    <xf numFmtId="0" fontId="24" fillId="0" borderId="31" xfId="0" applyFont="1" applyBorder="1" applyAlignment="1" applyProtection="1">
      <alignment horizontal="center" vertical="center"/>
    </xf>
    <xf numFmtId="176" fontId="26" fillId="3" borderId="11" xfId="0" applyNumberFormat="1" applyFont="1" applyFill="1" applyBorder="1" applyAlignment="1" applyProtection="1">
      <alignment vertical="center"/>
      <protection locked="0"/>
    </xf>
    <xf numFmtId="176" fontId="26" fillId="3" borderId="32" xfId="0" applyNumberFormat="1" applyFont="1" applyFill="1" applyBorder="1" applyAlignment="1" applyProtection="1">
      <alignment vertical="center"/>
      <protection locked="0"/>
    </xf>
    <xf numFmtId="176" fontId="26" fillId="3" borderId="14" xfId="0" applyNumberFormat="1" applyFont="1" applyFill="1" applyBorder="1" applyAlignment="1" applyProtection="1">
      <alignment vertical="center"/>
      <protection locked="0"/>
    </xf>
    <xf numFmtId="176" fontId="26" fillId="3" borderId="25" xfId="0" applyNumberFormat="1" applyFont="1" applyFill="1" applyBorder="1" applyAlignment="1" applyProtection="1">
      <alignment vertical="center"/>
      <protection locked="0"/>
    </xf>
    <xf numFmtId="0" fontId="16" fillId="3" borderId="63" xfId="0" applyFont="1" applyFill="1" applyBorder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</xf>
    <xf numFmtId="0" fontId="33" fillId="7" borderId="0" xfId="0" applyFont="1" applyFill="1" applyBorder="1" applyAlignment="1" applyProtection="1">
      <alignment horizontal="right" vertical="center"/>
    </xf>
    <xf numFmtId="0" fontId="0" fillId="0" borderId="0" xfId="0"/>
    <xf numFmtId="0" fontId="20" fillId="0" borderId="0" xfId="0" applyFont="1"/>
    <xf numFmtId="0" fontId="20" fillId="0" borderId="0" xfId="0" applyFont="1"/>
    <xf numFmtId="0" fontId="16" fillId="0" borderId="12" xfId="0" applyFont="1" applyBorder="1"/>
    <xf numFmtId="0" fontId="12" fillId="0" borderId="0" xfId="0" applyFont="1"/>
    <xf numFmtId="0" fontId="0" fillId="0" borderId="0" xfId="0"/>
    <xf numFmtId="0" fontId="12" fillId="7" borderId="0" xfId="0" applyFont="1" applyFill="1" applyProtection="1"/>
    <xf numFmtId="0" fontId="0" fillId="0" borderId="181" xfId="0" applyBorder="1" applyAlignment="1">
      <alignment horizontal="center"/>
    </xf>
    <xf numFmtId="0" fontId="0" fillId="18" borderId="181" xfId="0" applyFill="1" applyBorder="1"/>
    <xf numFmtId="0" fontId="0" fillId="18" borderId="181" xfId="0" applyFill="1" applyBorder="1" applyAlignment="1">
      <alignment horizontal="center"/>
    </xf>
    <xf numFmtId="0" fontId="0" fillId="0" borderId="25" xfId="0" applyBorder="1" applyAlignment="1">
      <alignment horizontal="right"/>
    </xf>
    <xf numFmtId="0" fontId="19" fillId="0" borderId="0" xfId="15" applyFont="1"/>
    <xf numFmtId="0" fontId="24" fillId="42" borderId="0" xfId="0" applyFont="1" applyFill="1" applyBorder="1" applyAlignment="1" applyProtection="1">
      <alignment vertical="center"/>
    </xf>
    <xf numFmtId="176" fontId="26" fillId="42" borderId="0" xfId="0" applyNumberFormat="1" applyFont="1" applyFill="1" applyBorder="1" applyAlignment="1" applyProtection="1">
      <alignment vertical="center"/>
      <protection locked="0"/>
    </xf>
    <xf numFmtId="0" fontId="26" fillId="42" borderId="0" xfId="0" applyFont="1" applyFill="1" applyBorder="1" applyAlignment="1" applyProtection="1">
      <alignment vertical="center"/>
    </xf>
    <xf numFmtId="0" fontId="31" fillId="42" borderId="0" xfId="0" applyFont="1" applyFill="1" applyBorder="1" applyAlignment="1" applyProtection="1">
      <alignment vertical="center"/>
    </xf>
    <xf numFmtId="0" fontId="26" fillId="42" borderId="0" xfId="0" applyFont="1" applyFill="1" applyBorder="1" applyAlignment="1" applyProtection="1">
      <alignment horizontal="center" vertical="center"/>
    </xf>
    <xf numFmtId="176" fontId="26" fillId="42" borderId="0" xfId="0" applyNumberFormat="1" applyFont="1" applyFill="1" applyBorder="1" applyAlignment="1">
      <alignment vertical="center"/>
    </xf>
    <xf numFmtId="0" fontId="0" fillId="42" borderId="0" xfId="0" applyFill="1" applyBorder="1"/>
    <xf numFmtId="0" fontId="26" fillId="0" borderId="85" xfId="0" applyFont="1" applyBorder="1" applyAlignment="1" applyProtection="1">
      <alignment vertical="center"/>
    </xf>
    <xf numFmtId="0" fontId="26" fillId="0" borderId="0" xfId="0" applyFont="1" applyAlignment="1" applyProtection="1">
      <alignment horizontal="right" vertical="center"/>
    </xf>
    <xf numFmtId="0" fontId="24" fillId="0" borderId="63" xfId="0" applyFont="1" applyBorder="1" applyAlignment="1" applyProtection="1">
      <alignment vertical="center"/>
    </xf>
    <xf numFmtId="0" fontId="24" fillId="0" borderId="3" xfId="0" applyFont="1" applyBorder="1" applyAlignment="1" applyProtection="1">
      <alignment horizontal="center" vertical="center"/>
    </xf>
    <xf numFmtId="0" fontId="26" fillId="0" borderId="6" xfId="0" applyFont="1" applyBorder="1" applyAlignment="1" applyProtection="1">
      <alignment horizontal="center" vertical="center"/>
    </xf>
    <xf numFmtId="0" fontId="26" fillId="0" borderId="63" xfId="0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horizontal="right" vertical="center"/>
    </xf>
    <xf numFmtId="0" fontId="26" fillId="0" borderId="9" xfId="0" applyFont="1" applyFill="1" applyBorder="1" applyAlignment="1" applyProtection="1">
      <alignment horizontal="center" vertical="center"/>
    </xf>
    <xf numFmtId="4" fontId="26" fillId="0" borderId="5" xfId="0" applyNumberFormat="1" applyFont="1" applyFill="1" applyBorder="1" applyAlignment="1" applyProtection="1">
      <alignment horizontal="right" vertical="center"/>
    </xf>
    <xf numFmtId="3" fontId="34" fillId="0" borderId="0" xfId="0" applyNumberFormat="1" applyFont="1" applyAlignment="1" applyProtection="1">
      <alignment vertical="center"/>
    </xf>
    <xf numFmtId="0" fontId="26" fillId="0" borderId="65" xfId="0" applyFont="1" applyFill="1" applyBorder="1" applyAlignment="1" applyProtection="1">
      <alignment vertical="center"/>
      <protection locked="0"/>
    </xf>
    <xf numFmtId="0" fontId="26" fillId="0" borderId="62" xfId="0" applyFont="1" applyFill="1" applyBorder="1" applyAlignment="1" applyProtection="1">
      <alignment vertical="center"/>
    </xf>
    <xf numFmtId="0" fontId="26" fillId="0" borderId="95" xfId="0" applyFont="1" applyFill="1" applyBorder="1" applyAlignment="1" applyProtection="1">
      <alignment vertical="center"/>
    </xf>
    <xf numFmtId="4" fontId="26" fillId="0" borderId="102" xfId="0" applyNumberFormat="1" applyFont="1" applyFill="1" applyBorder="1" applyAlignment="1" applyProtection="1">
      <alignment horizontal="right" vertical="center"/>
    </xf>
    <xf numFmtId="0" fontId="26" fillId="0" borderId="0" xfId="0" applyFont="1" applyAlignment="1" applyProtection="1">
      <alignment vertical="center"/>
    </xf>
    <xf numFmtId="0" fontId="24" fillId="0" borderId="113" xfId="0" applyFont="1" applyBorder="1" applyAlignment="1" applyProtection="1">
      <alignment horizontal="center" vertical="center"/>
    </xf>
    <xf numFmtId="0" fontId="24" fillId="0" borderId="6" xfId="0" applyFont="1" applyBorder="1" applyAlignment="1" applyProtection="1">
      <alignment horizontal="center" vertical="center"/>
    </xf>
    <xf numFmtId="0" fontId="24" fillId="0" borderId="86" xfId="0" applyFont="1" applyBorder="1" applyAlignment="1" applyProtection="1">
      <alignment horizontal="center" vertical="center"/>
    </xf>
    <xf numFmtId="223" fontId="24" fillId="8" borderId="6" xfId="2" applyFont="1" applyFill="1" applyBorder="1" applyAlignment="1" applyProtection="1">
      <alignment vertical="center"/>
    </xf>
    <xf numFmtId="223" fontId="24" fillId="8" borderId="12" xfId="2" applyFont="1" applyFill="1" applyBorder="1" applyAlignment="1" applyProtection="1">
      <alignment vertical="center"/>
    </xf>
    <xf numFmtId="223" fontId="24" fillId="8" borderId="12" xfId="2" applyFont="1" applyFill="1" applyBorder="1" applyAlignment="1" applyProtection="1">
      <alignment horizontal="right" vertical="center"/>
    </xf>
    <xf numFmtId="223" fontId="24" fillId="8" borderId="123" xfId="2" applyFont="1" applyFill="1" applyBorder="1" applyAlignment="1" applyProtection="1">
      <alignment vertical="center"/>
    </xf>
    <xf numFmtId="0" fontId="26" fillId="0" borderId="64" xfId="0" applyFont="1" applyBorder="1" applyAlignment="1" applyProtection="1">
      <alignment horizontal="center" vertical="center"/>
    </xf>
    <xf numFmtId="0" fontId="26" fillId="0" borderId="3" xfId="0" applyFont="1" applyBorder="1" applyAlignment="1" applyProtection="1">
      <alignment horizontal="center" vertical="center"/>
    </xf>
    <xf numFmtId="228" fontId="24" fillId="42" borderId="3" xfId="106" applyNumberFormat="1" applyFont="1" applyFill="1" applyBorder="1" applyAlignment="1" applyProtection="1">
      <alignment vertical="center"/>
    </xf>
    <xf numFmtId="228" fontId="24" fillId="42" borderId="3" xfId="106" applyNumberFormat="1" applyFont="1" applyFill="1" applyBorder="1" applyAlignment="1" applyProtection="1">
      <alignment horizontal="right" vertical="center"/>
    </xf>
    <xf numFmtId="0" fontId="24" fillId="10" borderId="0" xfId="15" applyFont="1" applyFill="1" applyBorder="1" applyAlignment="1">
      <alignment horizontal="left" vertical="center"/>
    </xf>
    <xf numFmtId="0" fontId="132" fillId="10" borderId="0" xfId="15" applyFont="1" applyFill="1" applyBorder="1" applyAlignment="1">
      <alignment horizontal="left" vertical="center"/>
    </xf>
    <xf numFmtId="180" fontId="33" fillId="0" borderId="106" xfId="15" applyNumberFormat="1" applyFont="1" applyBorder="1" applyAlignment="1">
      <alignment vertical="center"/>
    </xf>
    <xf numFmtId="180" fontId="33" fillId="0" borderId="136" xfId="15" applyNumberFormat="1" applyFont="1" applyBorder="1" applyAlignment="1">
      <alignment vertical="center"/>
    </xf>
    <xf numFmtId="180" fontId="33" fillId="0" borderId="139" xfId="15" applyNumberFormat="1" applyFont="1" applyBorder="1" applyAlignment="1">
      <alignment vertical="center"/>
    </xf>
    <xf numFmtId="0" fontId="35" fillId="0" borderId="0" xfId="15" applyFont="1" applyBorder="1" applyAlignment="1">
      <alignment vertical="center"/>
    </xf>
    <xf numFmtId="0" fontId="26" fillId="42" borderId="182" xfId="15" applyNumberFormat="1" applyFont="1" applyFill="1" applyBorder="1" applyAlignment="1" applyProtection="1">
      <alignment vertical="center"/>
      <protection locked="0"/>
    </xf>
    <xf numFmtId="0" fontId="26" fillId="42" borderId="183" xfId="15" applyNumberFormat="1" applyFont="1" applyFill="1" applyBorder="1" applyAlignment="1" applyProtection="1">
      <alignment vertical="center"/>
      <protection locked="0"/>
    </xf>
    <xf numFmtId="0" fontId="26" fillId="42" borderId="103" xfId="15" applyNumberFormat="1" applyFont="1" applyFill="1" applyBorder="1" applyAlignment="1" applyProtection="1">
      <alignment vertical="center"/>
      <protection locked="0"/>
    </xf>
    <xf numFmtId="0" fontId="26" fillId="42" borderId="133" xfId="15" applyNumberFormat="1" applyFont="1" applyFill="1" applyBorder="1" applyAlignment="1">
      <alignment vertical="center"/>
    </xf>
    <xf numFmtId="0" fontId="33" fillId="0" borderId="131" xfId="15" applyNumberFormat="1" applyFont="1" applyBorder="1" applyAlignment="1" applyProtection="1">
      <alignment horizontal="center" vertical="center"/>
    </xf>
    <xf numFmtId="0" fontId="26" fillId="42" borderId="12" xfId="15" applyFont="1" applyFill="1" applyBorder="1" applyAlignment="1" applyProtection="1">
      <alignment vertical="center"/>
      <protection locked="0"/>
    </xf>
    <xf numFmtId="0" fontId="33" fillId="0" borderId="31" xfId="15" applyFont="1" applyBorder="1" applyAlignment="1" applyProtection="1">
      <alignment vertical="center"/>
    </xf>
    <xf numFmtId="0" fontId="33" fillId="0" borderId="32" xfId="15" applyFont="1" applyBorder="1" applyAlignment="1" applyProtection="1">
      <alignment vertical="center"/>
    </xf>
    <xf numFmtId="0" fontId="16" fillId="42" borderId="0" xfId="0" applyFont="1" applyFill="1" applyBorder="1" applyAlignment="1" applyProtection="1">
      <alignment vertical="center"/>
      <protection locked="0"/>
    </xf>
    <xf numFmtId="0" fontId="33" fillId="42" borderId="2" xfId="0" applyFont="1" applyFill="1" applyBorder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6" fontId="33" fillId="3" borderId="19" xfId="106" applyNumberFormat="1" applyFont="1" applyFill="1" applyBorder="1" applyAlignment="1" applyProtection="1">
      <alignment horizontal="right" vertical="center"/>
      <protection locked="0"/>
    </xf>
    <xf numFmtId="0" fontId="0" fillId="0" borderId="3" xfId="0" applyBorder="1" applyAlignment="1">
      <alignment vertical="top"/>
    </xf>
    <xf numFmtId="0" fontId="44" fillId="0" borderId="3" xfId="0" applyFont="1" applyFill="1" applyBorder="1" applyAlignment="1">
      <alignment horizontal="center" vertical="top"/>
    </xf>
    <xf numFmtId="187" fontId="33" fillId="0" borderId="3" xfId="0" applyNumberFormat="1" applyFont="1" applyFill="1" applyBorder="1" applyAlignment="1">
      <alignment horizontal="right" vertical="center"/>
    </xf>
    <xf numFmtId="187" fontId="26" fillId="3" borderId="3" xfId="0" applyNumberFormat="1" applyFont="1" applyFill="1" applyBorder="1" applyAlignment="1" applyProtection="1">
      <alignment horizontal="right" vertical="center"/>
      <protection locked="0"/>
    </xf>
    <xf numFmtId="185" fontId="31" fillId="7" borderId="3" xfId="14" applyNumberFormat="1" applyFont="1" applyFill="1" applyBorder="1" applyAlignment="1" applyProtection="1">
      <alignment vertical="center"/>
    </xf>
    <xf numFmtId="0" fontId="12" fillId="0" borderId="0" xfId="0" applyFont="1" applyBorder="1" applyAlignment="1">
      <alignment horizontal="right" vertical="center"/>
    </xf>
    <xf numFmtId="185" fontId="31" fillId="7" borderId="0" xfId="14" applyNumberFormat="1" applyFont="1" applyFill="1" applyBorder="1" applyAlignment="1" applyProtection="1">
      <alignment vertical="center"/>
    </xf>
    <xf numFmtId="0" fontId="26" fillId="0" borderId="3" xfId="15" applyFont="1" applyBorder="1" applyAlignment="1">
      <alignment vertical="center"/>
    </xf>
    <xf numFmtId="0" fontId="20" fillId="0" borderId="3" xfId="15" applyBorder="1" applyAlignment="1">
      <alignment vertical="center"/>
    </xf>
    <xf numFmtId="49" fontId="90" fillId="0" borderId="3" xfId="15" applyNumberFormat="1" applyFont="1" applyBorder="1" applyAlignment="1">
      <alignment vertical="center"/>
    </xf>
    <xf numFmtId="3" fontId="26" fillId="42" borderId="3" xfId="15" applyNumberFormat="1" applyFont="1" applyFill="1" applyBorder="1" applyAlignment="1" applyProtection="1">
      <alignment vertical="center"/>
      <protection locked="0"/>
    </xf>
    <xf numFmtId="0" fontId="22" fillId="0" borderId="83" xfId="0" applyFont="1" applyBorder="1"/>
    <xf numFmtId="0" fontId="22" fillId="0" borderId="85" xfId="0" applyFont="1" applyBorder="1"/>
    <xf numFmtId="0" fontId="27" fillId="0" borderId="85" xfId="0" applyFont="1" applyBorder="1"/>
    <xf numFmtId="180" fontId="33" fillId="0" borderId="74" xfId="15" applyNumberFormat="1" applyFont="1" applyBorder="1" applyAlignment="1">
      <alignment vertical="center"/>
    </xf>
    <xf numFmtId="3" fontId="26" fillId="42" borderId="73" xfId="15" applyNumberFormat="1" applyFont="1" applyFill="1" applyBorder="1" applyAlignment="1">
      <alignment vertical="center"/>
    </xf>
    <xf numFmtId="180" fontId="33" fillId="0" borderId="144" xfId="15" applyNumberFormat="1" applyFont="1" applyBorder="1" applyAlignment="1">
      <alignment vertical="center"/>
    </xf>
    <xf numFmtId="0" fontId="26" fillId="0" borderId="120" xfId="15" applyFont="1" applyBorder="1" applyAlignment="1">
      <alignment vertical="center"/>
    </xf>
    <xf numFmtId="0" fontId="33" fillId="0" borderId="120" xfId="15" applyFont="1" applyBorder="1" applyAlignment="1">
      <alignment vertical="center"/>
    </xf>
    <xf numFmtId="49" fontId="90" fillId="0" borderId="120" xfId="15" applyNumberFormat="1" applyFont="1" applyBorder="1" applyAlignment="1">
      <alignment vertical="center"/>
    </xf>
    <xf numFmtId="3" fontId="26" fillId="42" borderId="120" xfId="15" applyNumberFormat="1" applyFont="1" applyFill="1" applyBorder="1" applyAlignment="1" applyProtection="1">
      <alignment vertical="center"/>
      <protection locked="0"/>
    </xf>
    <xf numFmtId="3" fontId="26" fillId="3" borderId="120" xfId="15" applyNumberFormat="1" applyFont="1" applyFill="1" applyBorder="1" applyAlignment="1" applyProtection="1">
      <alignment vertical="center"/>
      <protection locked="0"/>
    </xf>
    <xf numFmtId="3" fontId="26" fillId="7" borderId="121" xfId="15" applyNumberFormat="1" applyFont="1" applyFill="1" applyBorder="1" applyAlignment="1">
      <alignment vertical="center"/>
    </xf>
    <xf numFmtId="0" fontId="39" fillId="7" borderId="94" xfId="0" applyFont="1" applyFill="1" applyBorder="1" applyAlignment="1" applyProtection="1">
      <alignment horizontal="right" vertical="top"/>
    </xf>
    <xf numFmtId="0" fontId="24" fillId="0" borderId="71" xfId="0" applyFont="1" applyBorder="1"/>
    <xf numFmtId="0" fontId="24" fillId="42" borderId="0" xfId="0" applyFont="1" applyFill="1"/>
    <xf numFmtId="0" fontId="22" fillId="42" borderId="0" xfId="0" applyFont="1" applyFill="1"/>
    <xf numFmtId="0" fontId="27" fillId="42" borderId="0" xfId="0" applyFont="1" applyFill="1"/>
    <xf numFmtId="0" fontId="27" fillId="43" borderId="104" xfId="0" applyFont="1" applyFill="1" applyBorder="1"/>
    <xf numFmtId="0" fontId="27" fillId="43" borderId="103" xfId="0" applyFont="1" applyFill="1" applyBorder="1"/>
    <xf numFmtId="0" fontId="27" fillId="43" borderId="105" xfId="0" applyFont="1" applyFill="1" applyBorder="1"/>
    <xf numFmtId="0" fontId="20" fillId="42" borderId="0" xfId="15" applyFill="1" applyBorder="1" applyAlignment="1">
      <alignment vertical="center"/>
    </xf>
    <xf numFmtId="0" fontId="26" fillId="42" borderId="0" xfId="15" applyFont="1" applyFill="1" applyBorder="1"/>
    <xf numFmtId="0" fontId="33" fillId="42" borderId="0" xfId="15" applyFont="1" applyFill="1" applyBorder="1" applyAlignment="1">
      <alignment vertical="center"/>
    </xf>
    <xf numFmtId="0" fontId="22" fillId="42" borderId="0" xfId="15" applyFont="1" applyFill="1" applyBorder="1"/>
    <xf numFmtId="0" fontId="20" fillId="42" borderId="0" xfId="15" applyFill="1" applyBorder="1"/>
    <xf numFmtId="0" fontId="19" fillId="42" borderId="0" xfId="15" applyFont="1" applyFill="1" applyBorder="1"/>
    <xf numFmtId="0" fontId="24" fillId="42" borderId="0" xfId="15" applyFont="1" applyFill="1" applyBorder="1"/>
    <xf numFmtId="0" fontId="24" fillId="42" borderId="0" xfId="15" applyFont="1" applyFill="1" applyBorder="1" applyAlignment="1">
      <alignment horizontal="center"/>
    </xf>
    <xf numFmtId="0" fontId="26" fillId="42" borderId="0" xfId="15" applyFont="1" applyFill="1" applyBorder="1" applyAlignment="1">
      <alignment vertical="center"/>
    </xf>
    <xf numFmtId="0" fontId="24" fillId="0" borderId="6" xfId="0" applyFont="1" applyBorder="1" applyAlignment="1" applyProtection="1">
      <alignment vertical="center"/>
    </xf>
    <xf numFmtId="0" fontId="16" fillId="0" borderId="5" xfId="0" applyFont="1" applyBorder="1" applyAlignment="1"/>
    <xf numFmtId="0" fontId="10" fillId="0" borderId="0" xfId="0" applyFont="1"/>
    <xf numFmtId="0" fontId="19" fillId="8" borderId="73" xfId="0" applyFont="1" applyFill="1" applyBorder="1" applyAlignment="1">
      <alignment horizontal="right"/>
    </xf>
    <xf numFmtId="0" fontId="19" fillId="8" borderId="121" xfId="0" applyFont="1" applyFill="1" applyBorder="1" applyAlignment="1">
      <alignment horizontal="right"/>
    </xf>
    <xf numFmtId="44" fontId="24" fillId="8" borderId="12" xfId="106" applyFont="1" applyFill="1" applyBorder="1" applyAlignment="1" applyProtection="1">
      <alignment horizontal="right" vertical="center"/>
    </xf>
    <xf numFmtId="0" fontId="9" fillId="0" borderId="0" xfId="0" applyFont="1"/>
    <xf numFmtId="0" fontId="0" fillId="0" borderId="0" xfId="0"/>
    <xf numFmtId="0" fontId="33" fillId="0" borderId="85" xfId="15" applyFont="1" applyBorder="1" applyAlignment="1">
      <alignment vertical="center"/>
    </xf>
    <xf numFmtId="0" fontId="9" fillId="0" borderId="63" xfId="15" applyFont="1" applyBorder="1" applyAlignment="1"/>
    <xf numFmtId="0" fontId="16" fillId="0" borderId="64" xfId="15" applyFont="1" applyBorder="1" applyAlignment="1"/>
    <xf numFmtId="0" fontId="9" fillId="0" borderId="63" xfId="0" applyFont="1" applyBorder="1" applyAlignment="1"/>
    <xf numFmtId="0" fontId="9" fillId="0" borderId="65" xfId="0" applyFont="1" applyBorder="1" applyAlignment="1"/>
    <xf numFmtId="0" fontId="16" fillId="0" borderId="66" xfId="15" applyFont="1" applyBorder="1" applyAlignment="1"/>
    <xf numFmtId="0" fontId="9" fillId="0" borderId="11" xfId="15" applyFont="1" applyBorder="1" applyAlignment="1"/>
    <xf numFmtId="0" fontId="9" fillId="0" borderId="11" xfId="0" applyFont="1" applyBorder="1" applyAlignment="1"/>
    <xf numFmtId="0" fontId="9" fillId="0" borderId="116" xfId="0" applyFont="1" applyBorder="1" applyAlignment="1"/>
    <xf numFmtId="0" fontId="9" fillId="0" borderId="9" xfId="15" applyFont="1" applyBorder="1" applyAlignment="1"/>
    <xf numFmtId="0" fontId="9" fillId="0" borderId="95" xfId="15" applyFont="1" applyBorder="1" applyAlignment="1"/>
    <xf numFmtId="0" fontId="185" fillId="0" borderId="5" xfId="0" applyFont="1" applyBorder="1"/>
    <xf numFmtId="0" fontId="12" fillId="0" borderId="11" xfId="15" applyFont="1" applyBorder="1" applyAlignment="1"/>
    <xf numFmtId="0" fontId="12" fillId="0" borderId="11" xfId="0" applyFont="1" applyBorder="1" applyAlignment="1"/>
    <xf numFmtId="0" fontId="0" fillId="0" borderId="11" xfId="0" applyBorder="1" applyAlignment="1"/>
    <xf numFmtId="0" fontId="0" fillId="0" borderId="116" xfId="0" applyBorder="1" applyAlignment="1"/>
    <xf numFmtId="0" fontId="9" fillId="0" borderId="184" xfId="15" applyFont="1" applyBorder="1" applyAlignment="1">
      <alignment vertical="center"/>
    </xf>
    <xf numFmtId="0" fontId="33" fillId="0" borderId="185" xfId="15" applyFont="1" applyBorder="1" applyAlignment="1">
      <alignment vertical="center"/>
    </xf>
    <xf numFmtId="0" fontId="9" fillId="0" borderId="185" xfId="15" applyFont="1" applyBorder="1" applyAlignment="1">
      <alignment vertical="center"/>
    </xf>
    <xf numFmtId="0" fontId="9" fillId="0" borderId="186" xfId="15" applyFont="1" applyBorder="1" applyAlignment="1">
      <alignment vertical="center"/>
    </xf>
    <xf numFmtId="0" fontId="9" fillId="0" borderId="187" xfId="0" applyFont="1" applyBorder="1"/>
    <xf numFmtId="0" fontId="9" fillId="0" borderId="63" xfId="0" applyFont="1" applyBorder="1"/>
    <xf numFmtId="0" fontId="19" fillId="0" borderId="184" xfId="0" applyFont="1" applyBorder="1"/>
    <xf numFmtId="0" fontId="0" fillId="0" borderId="188" xfId="0" applyBorder="1"/>
    <xf numFmtId="0" fontId="33" fillId="0" borderId="188" xfId="15" applyFont="1" applyBorder="1" applyAlignment="1">
      <alignment vertical="center"/>
    </xf>
    <xf numFmtId="0" fontId="0" fillId="0" borderId="64" xfId="0" applyBorder="1"/>
    <xf numFmtId="0" fontId="0" fillId="0" borderId="65" xfId="0" applyBorder="1"/>
    <xf numFmtId="0" fontId="159" fillId="0" borderId="11" xfId="0" applyFont="1" applyBorder="1"/>
    <xf numFmtId="0" fontId="19" fillId="0" borderId="0" xfId="0" applyFont="1" applyBorder="1"/>
    <xf numFmtId="0" fontId="0" fillId="0" borderId="83" xfId="0" applyBorder="1"/>
    <xf numFmtId="0" fontId="33" fillId="42" borderId="0" xfId="17" applyFont="1" applyFill="1" applyBorder="1" applyAlignment="1" applyProtection="1">
      <alignment vertical="center"/>
      <protection locked="0"/>
    </xf>
    <xf numFmtId="170" fontId="33" fillId="7" borderId="20" xfId="14" applyNumberFormat="1" applyFont="1" applyFill="1" applyBorder="1" applyAlignment="1" applyProtection="1">
      <alignment vertical="center"/>
    </xf>
    <xf numFmtId="173" fontId="35" fillId="4" borderId="7" xfId="14" applyNumberFormat="1" applyFont="1" applyFill="1" applyBorder="1" applyAlignment="1">
      <alignment vertical="center"/>
    </xf>
    <xf numFmtId="170" fontId="35" fillId="4" borderId="14" xfId="14" applyNumberFormat="1" applyFont="1" applyFill="1" applyBorder="1" applyAlignment="1" applyProtection="1">
      <alignment vertical="center"/>
    </xf>
    <xf numFmtId="185" fontId="35" fillId="0" borderId="8" xfId="14" applyNumberFormat="1" applyFont="1" applyBorder="1" applyAlignment="1">
      <alignment vertical="center"/>
    </xf>
    <xf numFmtId="185" fontId="35" fillId="0" borderId="17" xfId="14" applyNumberFormat="1" applyFont="1" applyBorder="1" applyAlignment="1">
      <alignment vertical="center"/>
    </xf>
    <xf numFmtId="185" fontId="35" fillId="0" borderId="18" xfId="14" applyNumberFormat="1" applyFont="1" applyBorder="1" applyAlignment="1">
      <alignment vertical="center"/>
    </xf>
    <xf numFmtId="185" fontId="35" fillId="0" borderId="34" xfId="14" applyNumberFormat="1" applyFont="1" applyBorder="1" applyAlignment="1">
      <alignment vertical="center"/>
    </xf>
    <xf numFmtId="185" fontId="35" fillId="0" borderId="21" xfId="14" applyNumberFormat="1" applyFont="1" applyBorder="1" applyAlignment="1">
      <alignment vertical="center"/>
    </xf>
    <xf numFmtId="0" fontId="188" fillId="0" borderId="0" xfId="9" applyFont="1" applyBorder="1" applyAlignment="1" applyProtection="1"/>
    <xf numFmtId="0" fontId="0" fillId="0" borderId="0" xfId="0"/>
    <xf numFmtId="0" fontId="8" fillId="0" borderId="0" xfId="0" applyFont="1"/>
    <xf numFmtId="17" fontId="19" fillId="8" borderId="73" xfId="0" applyNumberFormat="1" applyFont="1" applyFill="1" applyBorder="1" applyAlignment="1">
      <alignment horizontal="right"/>
    </xf>
    <xf numFmtId="179" fontId="26" fillId="0" borderId="3" xfId="0" applyNumberFormat="1" applyFont="1" applyBorder="1" applyAlignment="1">
      <alignment vertical="center"/>
    </xf>
    <xf numFmtId="0" fontId="16" fillId="0" borderId="2" xfId="17" applyFont="1" applyBorder="1" applyAlignment="1" applyProtection="1">
      <alignment horizontal="right" vertical="center"/>
    </xf>
    <xf numFmtId="0" fontId="16" fillId="0" borderId="2" xfId="0" applyFont="1" applyBorder="1" applyAlignment="1" applyProtection="1">
      <alignment horizontal="right" vertical="center"/>
    </xf>
    <xf numFmtId="188" fontId="8" fillId="7" borderId="0" xfId="0" applyNumberFormat="1" applyFont="1" applyFill="1" applyBorder="1" applyAlignment="1" applyProtection="1">
      <alignment horizontal="left"/>
    </xf>
    <xf numFmtId="0" fontId="0" fillId="7" borderId="0" xfId="0" applyFill="1" applyBorder="1" applyAlignment="1" applyProtection="1">
      <alignment horizontal="center"/>
    </xf>
    <xf numFmtId="186" fontId="26" fillId="18" borderId="0" xfId="0" applyNumberFormat="1" applyFont="1" applyFill="1" applyBorder="1" applyAlignment="1" applyProtection="1">
      <alignment horizontal="center"/>
    </xf>
    <xf numFmtId="0" fontId="7" fillId="0" borderId="0" xfId="0" applyFont="1"/>
    <xf numFmtId="168" fontId="16" fillId="0" borderId="63" xfId="0" applyNumberFormat="1" applyFont="1" applyBorder="1" applyAlignment="1" applyProtection="1">
      <alignment vertical="center"/>
    </xf>
    <xf numFmtId="180" fontId="33" fillId="0" borderId="189" xfId="15" applyNumberFormat="1" applyFont="1" applyBorder="1" applyAlignment="1">
      <alignment vertical="center"/>
    </xf>
    <xf numFmtId="0" fontId="26" fillId="42" borderId="23" xfId="15" applyFont="1" applyFill="1" applyBorder="1" applyAlignment="1" applyProtection="1">
      <alignment vertical="center"/>
      <protection locked="0"/>
    </xf>
    <xf numFmtId="0" fontId="20" fillId="42" borderId="23" xfId="15" applyFill="1" applyBorder="1" applyAlignment="1">
      <alignment vertical="center"/>
    </xf>
    <xf numFmtId="0" fontId="0" fillId="42" borderId="55" xfId="0" applyFill="1" applyBorder="1"/>
    <xf numFmtId="3" fontId="26" fillId="42" borderId="89" xfId="15" applyNumberFormat="1" applyFont="1" applyFill="1" applyBorder="1" applyAlignment="1" applyProtection="1">
      <alignment vertical="center"/>
      <protection locked="0"/>
    </xf>
    <xf numFmtId="3" fontId="26" fillId="42" borderId="24" xfId="15" applyNumberFormat="1" applyFont="1" applyFill="1" applyBorder="1" applyAlignment="1" applyProtection="1">
      <alignment vertical="center"/>
      <protection locked="0"/>
    </xf>
    <xf numFmtId="3" fontId="26" fillId="42" borderId="49" xfId="15" applyNumberFormat="1" applyFont="1" applyFill="1" applyBorder="1" applyAlignment="1" applyProtection="1">
      <alignment vertical="center"/>
      <protection locked="0"/>
    </xf>
    <xf numFmtId="3" fontId="26" fillId="42" borderId="43" xfId="15" applyNumberFormat="1" applyFont="1" applyFill="1" applyBorder="1" applyAlignment="1" applyProtection="1">
      <alignment vertical="center"/>
      <protection locked="0"/>
    </xf>
    <xf numFmtId="3" fontId="26" fillId="42" borderId="55" xfId="15" applyNumberFormat="1" applyFont="1" applyFill="1" applyBorder="1" applyAlignment="1">
      <alignment vertical="center"/>
    </xf>
    <xf numFmtId="180" fontId="33" fillId="0" borderId="190" xfId="15" applyNumberFormat="1" applyFont="1" applyBorder="1" applyAlignment="1">
      <alignment vertical="center"/>
    </xf>
    <xf numFmtId="0" fontId="26" fillId="42" borderId="27" xfId="15" applyFont="1" applyFill="1" applyBorder="1" applyAlignment="1" applyProtection="1">
      <alignment vertical="center"/>
      <protection locked="0"/>
    </xf>
    <xf numFmtId="0" fontId="33" fillId="42" borderId="27" xfId="15" applyFont="1" applyFill="1" applyBorder="1" applyAlignment="1">
      <alignment vertical="center"/>
    </xf>
    <xf numFmtId="0" fontId="33" fillId="42" borderId="191" xfId="15" applyFont="1" applyFill="1" applyBorder="1" applyAlignment="1">
      <alignment horizontal="center" vertical="center"/>
    </xf>
    <xf numFmtId="3" fontId="26" fillId="42" borderId="45" xfId="15" applyNumberFormat="1" applyFont="1" applyFill="1" applyBorder="1" applyAlignment="1" applyProtection="1">
      <alignment vertical="center"/>
      <protection locked="0"/>
    </xf>
    <xf numFmtId="3" fontId="26" fillId="42" borderId="4" xfId="15" applyNumberFormat="1" applyFont="1" applyFill="1" applyBorder="1" applyAlignment="1" applyProtection="1">
      <alignment vertical="center"/>
      <protection locked="0"/>
    </xf>
    <xf numFmtId="3" fontId="26" fillId="42" borderId="42" xfId="15" applyNumberFormat="1" applyFont="1" applyFill="1" applyBorder="1" applyAlignment="1" applyProtection="1">
      <alignment vertical="center"/>
      <protection locked="0"/>
    </xf>
    <xf numFmtId="3" fontId="26" fillId="42" borderId="191" xfId="15" applyNumberFormat="1" applyFont="1" applyFill="1" applyBorder="1" applyAlignment="1">
      <alignment vertical="center"/>
    </xf>
    <xf numFmtId="0" fontId="33" fillId="42" borderId="27" xfId="15" applyFont="1" applyFill="1" applyBorder="1" applyAlignment="1" applyProtection="1">
      <alignment vertical="center"/>
    </xf>
    <xf numFmtId="0" fontId="33" fillId="42" borderId="191" xfId="15" applyFont="1" applyFill="1" applyBorder="1" applyAlignment="1" applyProtection="1">
      <alignment horizontal="center" vertical="center"/>
    </xf>
    <xf numFmtId="180" fontId="33" fillId="0" borderId="192" xfId="15" applyNumberFormat="1" applyFont="1" applyBorder="1" applyAlignment="1">
      <alignment vertical="center"/>
    </xf>
    <xf numFmtId="0" fontId="26" fillId="42" borderId="193" xfId="15" applyFont="1" applyFill="1" applyBorder="1" applyAlignment="1" applyProtection="1">
      <alignment vertical="center"/>
      <protection locked="0"/>
    </xf>
    <xf numFmtId="0" fontId="33" fillId="42" borderId="91" xfId="15" applyFont="1" applyFill="1" applyBorder="1" applyAlignment="1" applyProtection="1">
      <alignment vertical="center"/>
    </xf>
    <xf numFmtId="0" fontId="33" fillId="42" borderId="194" xfId="15" applyFont="1" applyFill="1" applyBorder="1" applyAlignment="1" applyProtection="1">
      <alignment horizontal="center" vertical="center"/>
    </xf>
    <xf numFmtId="3" fontId="26" fillId="42" borderId="148" xfId="15" applyNumberFormat="1" applyFont="1" applyFill="1" applyBorder="1" applyAlignment="1" applyProtection="1">
      <alignment vertical="center"/>
      <protection locked="0"/>
    </xf>
    <xf numFmtId="3" fontId="26" fillId="42" borderId="30" xfId="15" applyNumberFormat="1" applyFont="1" applyFill="1" applyBorder="1" applyAlignment="1" applyProtection="1">
      <alignment vertical="center"/>
      <protection locked="0"/>
    </xf>
    <xf numFmtId="3" fontId="26" fillId="42" borderId="59" xfId="15" applyNumberFormat="1" applyFont="1" applyFill="1" applyBorder="1" applyAlignment="1" applyProtection="1">
      <alignment vertical="center"/>
      <protection locked="0"/>
    </xf>
    <xf numFmtId="3" fontId="26" fillId="42" borderId="194" xfId="15" applyNumberFormat="1" applyFont="1" applyFill="1" applyBorder="1" applyAlignment="1">
      <alignment vertical="center"/>
    </xf>
    <xf numFmtId="0" fontId="26" fillId="42" borderId="119" xfId="15" applyFont="1" applyFill="1" applyBorder="1" applyAlignment="1" applyProtection="1">
      <alignment vertical="center"/>
      <protection locked="0"/>
    </xf>
    <xf numFmtId="0" fontId="33" fillId="42" borderId="23" xfId="15" applyFont="1" applyFill="1" applyBorder="1" applyAlignment="1" applyProtection="1">
      <alignment vertical="center"/>
    </xf>
    <xf numFmtId="0" fontId="33" fillId="42" borderId="55" xfId="15" applyFont="1" applyFill="1" applyBorder="1" applyAlignment="1" applyProtection="1">
      <alignment horizontal="center" vertical="center"/>
    </xf>
    <xf numFmtId="3" fontId="26" fillId="42" borderId="23" xfId="15" applyNumberFormat="1" applyFont="1" applyFill="1" applyBorder="1" applyAlignment="1" applyProtection="1">
      <alignment vertical="center"/>
      <protection locked="0"/>
    </xf>
    <xf numFmtId="0" fontId="26" fillId="42" borderId="195" xfId="15" applyFont="1" applyFill="1" applyBorder="1" applyAlignment="1" applyProtection="1">
      <alignment vertical="center"/>
      <protection locked="0"/>
    </xf>
    <xf numFmtId="3" fontId="26" fillId="42" borderId="27" xfId="15" applyNumberFormat="1" applyFont="1" applyFill="1" applyBorder="1" applyAlignment="1" applyProtection="1">
      <alignment vertical="center"/>
      <protection locked="0"/>
    </xf>
    <xf numFmtId="1" fontId="26" fillId="42" borderId="45" xfId="15" applyNumberFormat="1" applyFont="1" applyFill="1" applyBorder="1" applyAlignment="1" applyProtection="1">
      <alignment vertical="center"/>
      <protection locked="0"/>
    </xf>
    <xf numFmtId="226" fontId="26" fillId="42" borderId="45" xfId="15" applyNumberFormat="1" applyFont="1" applyFill="1" applyBorder="1" applyAlignment="1" applyProtection="1">
      <alignment vertical="center"/>
      <protection locked="0"/>
    </xf>
    <xf numFmtId="49" fontId="55" fillId="42" borderId="92" xfId="15" applyNumberFormat="1" applyFont="1" applyFill="1" applyBorder="1" applyAlignment="1">
      <alignment vertical="center"/>
    </xf>
    <xf numFmtId="3" fontId="26" fillId="42" borderId="92" xfId="15" applyNumberFormat="1" applyFont="1" applyFill="1" applyBorder="1" applyAlignment="1" applyProtection="1">
      <alignment vertical="center"/>
      <protection locked="0"/>
    </xf>
    <xf numFmtId="179" fontId="26" fillId="42" borderId="17" xfId="0" applyNumberFormat="1" applyFont="1" applyFill="1" applyBorder="1" applyAlignment="1" applyProtection="1">
      <alignment vertical="center"/>
      <protection locked="0"/>
    </xf>
    <xf numFmtId="179" fontId="26" fillId="42" borderId="19" xfId="0" applyNumberFormat="1" applyFont="1" applyFill="1" applyBorder="1" applyAlignment="1" applyProtection="1">
      <alignment vertical="center"/>
      <protection locked="0"/>
    </xf>
    <xf numFmtId="179" fontId="26" fillId="42" borderId="21" xfId="0" applyNumberFormat="1" applyFont="1" applyFill="1" applyBorder="1" applyAlignment="1" applyProtection="1">
      <alignment horizontal="right" vertical="center"/>
      <protection locked="0"/>
    </xf>
    <xf numFmtId="176" fontId="26" fillId="42" borderId="58" xfId="0" applyNumberFormat="1" applyFont="1" applyFill="1" applyBorder="1" applyAlignment="1" applyProtection="1">
      <alignment vertical="center"/>
      <protection locked="0"/>
    </xf>
    <xf numFmtId="176" fontId="26" fillId="42" borderId="46" xfId="0" applyNumberFormat="1" applyFont="1" applyFill="1" applyBorder="1" applyAlignment="1" applyProtection="1">
      <alignment vertical="center"/>
      <protection locked="0"/>
    </xf>
    <xf numFmtId="176" fontId="26" fillId="42" borderId="21" xfId="0" applyNumberFormat="1" applyFont="1" applyFill="1" applyBorder="1" applyAlignment="1" applyProtection="1">
      <alignment vertical="center"/>
      <protection locked="0"/>
    </xf>
    <xf numFmtId="176" fontId="26" fillId="42" borderId="17" xfId="0" applyNumberFormat="1" applyFont="1" applyFill="1" applyBorder="1" applyAlignment="1" applyProtection="1">
      <alignment vertical="center"/>
      <protection locked="0"/>
    </xf>
    <xf numFmtId="176" fontId="26" fillId="42" borderId="19" xfId="0" applyNumberFormat="1" applyFont="1" applyFill="1" applyBorder="1" applyAlignment="1" applyProtection="1">
      <alignment vertical="center"/>
      <protection locked="0"/>
    </xf>
    <xf numFmtId="170" fontId="26" fillId="42" borderId="15" xfId="0" applyNumberFormat="1" applyFont="1" applyFill="1" applyBorder="1" applyAlignment="1" applyProtection="1">
      <alignment vertical="center"/>
      <protection locked="0"/>
    </xf>
    <xf numFmtId="176" fontId="26" fillId="42" borderId="1" xfId="0" applyNumberFormat="1" applyFont="1" applyFill="1" applyBorder="1" applyAlignment="1" applyProtection="1">
      <alignment vertical="center"/>
      <protection locked="0"/>
    </xf>
    <xf numFmtId="176" fontId="26" fillId="42" borderId="13" xfId="0" applyNumberFormat="1" applyFont="1" applyFill="1" applyBorder="1" applyAlignment="1" applyProtection="1">
      <alignment vertical="center"/>
      <protection locked="0"/>
    </xf>
    <xf numFmtId="0" fontId="26" fillId="18" borderId="0" xfId="0" applyFont="1" applyFill="1" applyBorder="1" applyAlignment="1" applyProtection="1">
      <alignment vertical="center"/>
      <protection locked="0"/>
    </xf>
    <xf numFmtId="0" fontId="26" fillId="18" borderId="0" xfId="0" applyFont="1" applyFill="1" applyBorder="1" applyAlignment="1">
      <alignment vertical="center"/>
    </xf>
    <xf numFmtId="0" fontId="0" fillId="18" borderId="0" xfId="0" applyFill="1" applyAlignment="1">
      <alignment vertical="center"/>
    </xf>
    <xf numFmtId="0" fontId="26" fillId="18" borderId="2" xfId="0" applyFont="1" applyFill="1" applyBorder="1" applyAlignment="1" applyProtection="1">
      <alignment vertical="center"/>
      <protection locked="0"/>
    </xf>
    <xf numFmtId="0" fontId="33" fillId="18" borderId="2" xfId="0" applyFont="1" applyFill="1" applyBorder="1" applyAlignment="1">
      <alignment vertical="center"/>
    </xf>
    <xf numFmtId="0" fontId="24" fillId="0" borderId="75" xfId="0" applyFont="1" applyBorder="1" applyAlignment="1">
      <alignment horizontal="center" vertical="center"/>
    </xf>
    <xf numFmtId="179" fontId="26" fillId="42" borderId="7" xfId="0" applyNumberFormat="1" applyFont="1" applyFill="1" applyBorder="1" applyAlignment="1" applyProtection="1">
      <alignment vertical="center"/>
      <protection locked="0"/>
    </xf>
    <xf numFmtId="179" fontId="26" fillId="42" borderId="5" xfId="0" applyNumberFormat="1" applyFont="1" applyFill="1" applyBorder="1" applyAlignment="1" applyProtection="1">
      <alignment vertical="center"/>
      <protection locked="0"/>
    </xf>
    <xf numFmtId="179" fontId="26" fillId="42" borderId="34" xfId="0" applyNumberFormat="1" applyFont="1" applyFill="1" applyBorder="1" applyAlignment="1" applyProtection="1">
      <alignment horizontal="right" vertical="center"/>
      <protection locked="0"/>
    </xf>
    <xf numFmtId="176" fontId="26" fillId="42" borderId="76" xfId="0" applyNumberFormat="1" applyFont="1" applyFill="1" applyBorder="1" applyAlignment="1" applyProtection="1">
      <alignment vertical="center"/>
      <protection locked="0"/>
    </xf>
    <xf numFmtId="176" fontId="26" fillId="42" borderId="33" xfId="0" applyNumberFormat="1" applyFont="1" applyFill="1" applyBorder="1" applyAlignment="1" applyProtection="1">
      <alignment vertical="center"/>
      <protection locked="0"/>
    </xf>
    <xf numFmtId="176" fontId="26" fillId="42" borderId="34" xfId="0" applyNumberFormat="1" applyFont="1" applyFill="1" applyBorder="1" applyAlignment="1" applyProtection="1">
      <alignment vertical="center"/>
      <protection locked="0"/>
    </xf>
    <xf numFmtId="176" fontId="26" fillId="42" borderId="7" xfId="0" applyNumberFormat="1" applyFont="1" applyFill="1" applyBorder="1" applyAlignment="1" applyProtection="1">
      <alignment vertical="center"/>
      <protection locked="0"/>
    </xf>
    <xf numFmtId="176" fontId="26" fillId="42" borderId="5" xfId="0" applyNumberFormat="1" applyFont="1" applyFill="1" applyBorder="1" applyAlignment="1" applyProtection="1">
      <alignment vertical="center"/>
      <protection locked="0"/>
    </xf>
    <xf numFmtId="176" fontId="26" fillId="42" borderId="6" xfId="0" applyNumberFormat="1" applyFont="1" applyFill="1" applyBorder="1" applyAlignment="1" applyProtection="1">
      <alignment vertical="center"/>
      <protection locked="0"/>
    </xf>
    <xf numFmtId="176" fontId="26" fillId="42" borderId="12" xfId="0" applyNumberFormat="1" applyFont="1" applyFill="1" applyBorder="1" applyAlignment="1" applyProtection="1">
      <alignment vertical="center"/>
      <protection locked="0"/>
    </xf>
    <xf numFmtId="0" fontId="24" fillId="0" borderId="12" xfId="0" applyFont="1" applyBorder="1" applyAlignment="1">
      <alignment horizontal="center" vertical="center"/>
    </xf>
    <xf numFmtId="176" fontId="26" fillId="42" borderId="75" xfId="0" applyNumberFormat="1" applyFont="1" applyFill="1" applyBorder="1" applyAlignment="1" applyProtection="1">
      <alignment vertical="center"/>
      <protection locked="0"/>
    </xf>
    <xf numFmtId="0" fontId="24" fillId="0" borderId="7" xfId="0" applyFont="1" applyBorder="1" applyAlignment="1">
      <alignment horizontal="center" vertical="center"/>
    </xf>
    <xf numFmtId="176" fontId="26" fillId="3" borderId="76" xfId="0" applyNumberFormat="1" applyFont="1" applyFill="1" applyBorder="1" applyAlignment="1" applyProtection="1">
      <alignment vertical="center"/>
      <protection locked="0"/>
    </xf>
    <xf numFmtId="176" fontId="26" fillId="3" borderId="33" xfId="0" applyNumberFormat="1" applyFont="1" applyFill="1" applyBorder="1" applyAlignment="1" applyProtection="1">
      <alignment vertical="center"/>
      <protection locked="0"/>
    </xf>
    <xf numFmtId="176" fontId="26" fillId="3" borderId="34" xfId="0" applyNumberFormat="1" applyFont="1" applyFill="1" applyBorder="1" applyAlignment="1" applyProtection="1">
      <alignment vertical="center"/>
      <protection locked="0"/>
    </xf>
    <xf numFmtId="176" fontId="33" fillId="42" borderId="0" xfId="0" applyNumberFormat="1" applyFont="1" applyFill="1" applyBorder="1" applyAlignment="1" applyProtection="1">
      <alignment vertical="center"/>
      <protection locked="0"/>
    </xf>
    <xf numFmtId="176" fontId="26" fillId="18" borderId="2" xfId="0" applyNumberFormat="1" applyFont="1" applyFill="1" applyBorder="1" applyAlignment="1" applyProtection="1">
      <alignment vertical="center"/>
      <protection locked="0"/>
    </xf>
    <xf numFmtId="0" fontId="26" fillId="18" borderId="2" xfId="0" applyFont="1" applyFill="1" applyBorder="1" applyAlignment="1" applyProtection="1">
      <alignment vertical="center"/>
    </xf>
    <xf numFmtId="0" fontId="31" fillId="18" borderId="2" xfId="0" applyFont="1" applyFill="1" applyBorder="1" applyAlignment="1" applyProtection="1">
      <alignment vertical="center"/>
    </xf>
    <xf numFmtId="0" fontId="6" fillId="0" borderId="0" xfId="0" applyFont="1"/>
    <xf numFmtId="0" fontId="0" fillId="0" borderId="0" xfId="0"/>
    <xf numFmtId="179" fontId="26" fillId="3" borderId="17" xfId="0" applyNumberFormat="1" applyFont="1" applyFill="1" applyBorder="1" applyAlignment="1" applyProtection="1">
      <alignment vertical="center"/>
      <protection locked="0"/>
    </xf>
    <xf numFmtId="0" fontId="0" fillId="0" borderId="53" xfId="0" applyBorder="1" applyAlignment="1" applyProtection="1">
      <alignment horizontal="center"/>
    </xf>
    <xf numFmtId="0" fontId="5" fillId="0" borderId="0" xfId="0" applyFont="1" applyBorder="1" applyAlignment="1" applyProtection="1">
      <alignment vertical="center"/>
    </xf>
    <xf numFmtId="0" fontId="33" fillId="42" borderId="11" xfId="0" applyFont="1" applyFill="1" applyBorder="1" applyAlignment="1" applyProtection="1">
      <alignment vertical="center"/>
      <protection locked="0"/>
    </xf>
    <xf numFmtId="0" fontId="16" fillId="3" borderId="2" xfId="17" applyFont="1" applyFill="1" applyBorder="1" applyAlignment="1" applyProtection="1">
      <alignment vertical="center"/>
      <protection locked="0"/>
    </xf>
    <xf numFmtId="0" fontId="33" fillId="18" borderId="48" xfId="0" applyFont="1" applyFill="1" applyBorder="1" applyAlignment="1" applyProtection="1">
      <alignment vertical="center"/>
      <protection locked="0"/>
    </xf>
    <xf numFmtId="0" fontId="33" fillId="18" borderId="27" xfId="0" applyFont="1" applyFill="1" applyBorder="1" applyAlignment="1" applyProtection="1">
      <alignment vertical="center"/>
      <protection locked="0"/>
    </xf>
    <xf numFmtId="170" fontId="33" fillId="18" borderId="27" xfId="0" applyNumberFormat="1" applyFont="1" applyFill="1" applyBorder="1" applyAlignment="1" applyProtection="1">
      <alignment horizontal="right" vertical="center"/>
      <protection locked="0"/>
    </xf>
    <xf numFmtId="170" fontId="33" fillId="18" borderId="45" xfId="0" applyNumberFormat="1" applyFont="1" applyFill="1" applyBorder="1" applyAlignment="1" applyProtection="1">
      <alignment horizontal="right" vertical="center"/>
      <protection locked="0"/>
    </xf>
    <xf numFmtId="176" fontId="33" fillId="18" borderId="41" xfId="0" applyNumberFormat="1" applyFont="1" applyFill="1" applyBorder="1" applyAlignment="1" applyProtection="1">
      <alignment horizontal="right" vertical="center"/>
    </xf>
    <xf numFmtId="176" fontId="33" fillId="18" borderId="141" xfId="0" applyNumberFormat="1" applyFont="1" applyFill="1" applyBorder="1" applyAlignment="1" applyProtection="1">
      <alignment horizontal="right" vertical="center"/>
      <protection locked="0"/>
    </xf>
    <xf numFmtId="176" fontId="33" fillId="18" borderId="52" xfId="0" applyNumberFormat="1" applyFont="1" applyFill="1" applyBorder="1" applyAlignment="1" applyProtection="1">
      <alignment horizontal="right" vertical="center"/>
      <protection locked="0"/>
    </xf>
    <xf numFmtId="176" fontId="33" fillId="18" borderId="4" xfId="0" applyNumberFormat="1" applyFont="1" applyFill="1" applyBorder="1" applyAlignment="1" applyProtection="1">
      <alignment horizontal="right" vertical="center"/>
    </xf>
    <xf numFmtId="176" fontId="33" fillId="18" borderId="42" xfId="0" applyNumberFormat="1" applyFont="1" applyFill="1" applyBorder="1" applyAlignment="1" applyProtection="1">
      <alignment horizontal="right" vertical="center"/>
    </xf>
    <xf numFmtId="2" fontId="33" fillId="42" borderId="52" xfId="0" applyNumberFormat="1" applyFont="1" applyFill="1" applyBorder="1" applyAlignment="1" applyProtection="1">
      <alignment horizontal="right" vertical="center"/>
      <protection locked="0"/>
    </xf>
    <xf numFmtId="170" fontId="33" fillId="42" borderId="141" xfId="0" applyNumberFormat="1" applyFont="1" applyFill="1" applyBorder="1" applyAlignment="1" applyProtection="1">
      <alignment horizontal="right" vertical="center"/>
      <protection locked="0"/>
    </xf>
    <xf numFmtId="170" fontId="33" fillId="42" borderId="4" xfId="0" applyNumberFormat="1" applyFont="1" applyFill="1" applyBorder="1" applyAlignment="1" applyProtection="1">
      <alignment horizontal="right" vertical="center"/>
      <protection locked="0"/>
    </xf>
    <xf numFmtId="170" fontId="33" fillId="42" borderId="89" xfId="0" applyNumberFormat="1" applyFont="1" applyFill="1" applyBorder="1" applyAlignment="1" applyProtection="1">
      <alignment horizontal="right" vertical="center"/>
      <protection locked="0"/>
    </xf>
    <xf numFmtId="170" fontId="33" fillId="3" borderId="196" xfId="0" applyNumberFormat="1" applyFont="1" applyFill="1" applyBorder="1" applyAlignment="1" applyProtection="1">
      <alignment horizontal="right" vertical="center"/>
      <protection locked="0"/>
    </xf>
    <xf numFmtId="0" fontId="16" fillId="8" borderId="91" xfId="17" applyFont="1" applyFill="1" applyBorder="1" applyAlignment="1" applyProtection="1">
      <alignment vertical="center"/>
      <protection locked="0"/>
    </xf>
    <xf numFmtId="3" fontId="24" fillId="8" borderId="22" xfId="0" applyNumberFormat="1" applyFont="1" applyFill="1" applyBorder="1" applyAlignment="1" applyProtection="1">
      <alignment horizontal="center" vertical="center"/>
      <protection locked="0"/>
    </xf>
    <xf numFmtId="0" fontId="0" fillId="18" borderId="48" xfId="0" applyFill="1" applyBorder="1" applyAlignment="1" applyProtection="1">
      <alignment vertical="center"/>
    </xf>
    <xf numFmtId="2" fontId="33" fillId="42" borderId="42" xfId="0" applyNumberFormat="1" applyFont="1" applyFill="1" applyBorder="1" applyAlignment="1" applyProtection="1">
      <alignment horizontal="right" vertical="center"/>
      <protection locked="0"/>
    </xf>
    <xf numFmtId="191" fontId="33" fillId="18" borderId="41" xfId="0" applyNumberFormat="1" applyFont="1" applyFill="1" applyBorder="1" applyAlignment="1" applyProtection="1">
      <alignment horizontal="right" vertical="center"/>
    </xf>
    <xf numFmtId="191" fontId="33" fillId="18" borderId="4" xfId="0" applyNumberFormat="1" applyFont="1" applyFill="1" applyBorder="1" applyAlignment="1" applyProtection="1">
      <alignment horizontal="right" vertical="center"/>
    </xf>
    <xf numFmtId="197" fontId="33" fillId="0" borderId="196" xfId="0" applyNumberFormat="1" applyFont="1" applyFill="1" applyBorder="1" applyAlignment="1" applyProtection="1">
      <alignment horizontal="right" vertical="center"/>
      <protection locked="0"/>
    </xf>
    <xf numFmtId="176" fontId="33" fillId="0" borderId="54" xfId="0" applyNumberFormat="1" applyFont="1" applyFill="1" applyBorder="1" applyAlignment="1" applyProtection="1">
      <alignment horizontal="right" vertical="center"/>
    </xf>
    <xf numFmtId="197" fontId="33" fillId="3" borderId="4" xfId="0" applyNumberFormat="1" applyFont="1" applyFill="1" applyBorder="1" applyAlignment="1" applyProtection="1">
      <alignment horizontal="right" vertical="center"/>
      <protection locked="0"/>
    </xf>
    <xf numFmtId="197" fontId="33" fillId="3" borderId="141" xfId="0" applyNumberFormat="1" applyFont="1" applyFill="1" applyBorder="1" applyAlignment="1" applyProtection="1">
      <alignment horizontal="right" vertical="center"/>
      <protection locked="0"/>
    </xf>
    <xf numFmtId="3" fontId="24" fillId="3" borderId="22" xfId="0" applyNumberFormat="1" applyFont="1" applyFill="1" applyBorder="1" applyAlignment="1" applyProtection="1">
      <alignment horizontal="center" vertical="center"/>
      <protection locked="0"/>
    </xf>
    <xf numFmtId="0" fontId="0" fillId="18" borderId="48" xfId="0" applyFill="1" applyBorder="1" applyAlignment="1">
      <alignment vertical="center"/>
    </xf>
    <xf numFmtId="170" fontId="33" fillId="42" borderId="89" xfId="0" applyNumberFormat="1" applyFont="1" applyFill="1" applyBorder="1" applyAlignment="1" applyProtection="1">
      <alignment horizontal="right" vertical="center"/>
    </xf>
    <xf numFmtId="170" fontId="33" fillId="42" borderId="41" xfId="0" applyNumberFormat="1" applyFont="1" applyFill="1" applyBorder="1" applyAlignment="1" applyProtection="1">
      <alignment horizontal="right" vertical="center"/>
      <protection locked="0"/>
    </xf>
    <xf numFmtId="0" fontId="16" fillId="3" borderId="48" xfId="0" applyFont="1" applyFill="1" applyBorder="1" applyAlignment="1" applyProtection="1">
      <alignment vertical="center"/>
      <protection locked="0"/>
    </xf>
    <xf numFmtId="3" fontId="24" fillId="18" borderId="6" xfId="0" applyNumberFormat="1" applyFont="1" applyFill="1" applyBorder="1" applyAlignment="1" applyProtection="1">
      <alignment horizontal="center" vertical="center"/>
      <protection locked="0"/>
    </xf>
    <xf numFmtId="3" fontId="24" fillId="18" borderId="2" xfId="0" applyNumberFormat="1" applyFont="1" applyFill="1" applyBorder="1" applyAlignment="1" applyProtection="1">
      <alignment horizontal="center" vertical="center"/>
      <protection locked="0"/>
    </xf>
    <xf numFmtId="173" fontId="35" fillId="18" borderId="25" xfId="14" applyNumberFormat="1" applyFont="1" applyFill="1" applyBorder="1" applyAlignment="1">
      <alignment horizontal="center" vertical="center"/>
    </xf>
    <xf numFmtId="0" fontId="33" fillId="18" borderId="0" xfId="17" applyFont="1" applyFill="1" applyBorder="1" applyAlignment="1" applyProtection="1">
      <alignment vertical="center"/>
      <protection locked="0"/>
    </xf>
    <xf numFmtId="0" fontId="33" fillId="18" borderId="0" xfId="17" applyFont="1" applyFill="1" applyBorder="1" applyAlignment="1">
      <alignment vertical="center"/>
    </xf>
    <xf numFmtId="0" fontId="33" fillId="18" borderId="8" xfId="17" applyFont="1" applyFill="1" applyBorder="1" applyAlignment="1" applyProtection="1">
      <alignment vertical="center"/>
      <protection locked="0"/>
    </xf>
    <xf numFmtId="0" fontId="0" fillId="18" borderId="8" xfId="0" applyFill="1" applyBorder="1" applyAlignment="1">
      <alignment vertical="center"/>
    </xf>
    <xf numFmtId="0" fontId="0" fillId="18" borderId="0" xfId="0" applyFill="1" applyBorder="1" applyAlignment="1">
      <alignment vertical="center"/>
    </xf>
    <xf numFmtId="0" fontId="16" fillId="18" borderId="48" xfId="0" applyFont="1" applyFill="1" applyBorder="1" applyAlignment="1" applyProtection="1">
      <alignment vertical="center"/>
      <protection locked="0"/>
    </xf>
    <xf numFmtId="0" fontId="16" fillId="18" borderId="48" xfId="0" applyFont="1" applyFill="1" applyBorder="1" applyAlignment="1">
      <alignment vertical="center"/>
    </xf>
    <xf numFmtId="0" fontId="16" fillId="18" borderId="27" xfId="0" applyFont="1" applyFill="1" applyBorder="1" applyAlignment="1" applyProtection="1">
      <alignment vertical="center"/>
      <protection locked="0"/>
    </xf>
    <xf numFmtId="0" fontId="16" fillId="18" borderId="27" xfId="0" applyFont="1" applyFill="1" applyBorder="1" applyAlignment="1">
      <alignment vertical="center"/>
    </xf>
    <xf numFmtId="0" fontId="16" fillId="18" borderId="91" xfId="17" applyFont="1" applyFill="1" applyBorder="1" applyAlignment="1" applyProtection="1">
      <alignment vertical="center"/>
      <protection locked="0"/>
    </xf>
    <xf numFmtId="0" fontId="16" fillId="18" borderId="91" xfId="0" applyFont="1" applyFill="1" applyBorder="1" applyAlignment="1">
      <alignment vertical="center"/>
    </xf>
    <xf numFmtId="0" fontId="5" fillId="0" borderId="0" xfId="0" applyFont="1"/>
    <xf numFmtId="0" fontId="26" fillId="0" borderId="11" xfId="0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9" fontId="74" fillId="42" borderId="5" xfId="0" applyNumberFormat="1" applyFont="1" applyFill="1" applyBorder="1" applyAlignment="1" applyProtection="1">
      <alignment horizontal="centerContinuous" vertical="center"/>
      <protection locked="0"/>
    </xf>
    <xf numFmtId="185" fontId="31" fillId="44" borderId="14" xfId="14" applyNumberFormat="1" applyFont="1" applyFill="1" applyBorder="1" applyAlignment="1">
      <alignment vertical="center"/>
    </xf>
    <xf numFmtId="185" fontId="31" fillId="44" borderId="11" xfId="14" applyNumberFormat="1" applyFont="1" applyFill="1" applyBorder="1" applyAlignment="1">
      <alignment vertical="center"/>
    </xf>
    <xf numFmtId="185" fontId="24" fillId="44" borderId="11" xfId="14" applyNumberFormat="1" applyFont="1" applyFill="1" applyBorder="1" applyAlignment="1">
      <alignment vertical="center"/>
    </xf>
    <xf numFmtId="0" fontId="0" fillId="0" borderId="4" xfId="0" applyBorder="1"/>
    <xf numFmtId="0" fontId="24" fillId="7" borderId="4" xfId="0" applyFont="1" applyFill="1" applyBorder="1" applyAlignment="1">
      <alignment horizontal="center" vertical="center"/>
    </xf>
    <xf numFmtId="0" fontId="142" fillId="0" borderId="4" xfId="0" applyFont="1" applyBorder="1" applyAlignment="1">
      <alignment horizontal="center"/>
    </xf>
    <xf numFmtId="0" fontId="20" fillId="0" borderId="4" xfId="0" applyFont="1" applyBorder="1"/>
    <xf numFmtId="9" fontId="0" fillId="0" borderId="4" xfId="0" applyNumberFormat="1" applyBorder="1" applyAlignment="1">
      <alignment horizontal="center"/>
    </xf>
    <xf numFmtId="9" fontId="0" fillId="0" borderId="4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9" fontId="20" fillId="0" borderId="4" xfId="0" applyNumberFormat="1" applyFont="1" applyBorder="1" applyAlignment="1">
      <alignment horizontal="right"/>
    </xf>
    <xf numFmtId="0" fontId="0" fillId="0" borderId="45" xfId="0" applyBorder="1"/>
    <xf numFmtId="0" fontId="24" fillId="7" borderId="27" xfId="0" applyFont="1" applyFill="1" applyBorder="1" applyAlignment="1">
      <alignment horizontal="center" vertical="center"/>
    </xf>
    <xf numFmtId="0" fontId="24" fillId="7" borderId="54" xfId="0" applyFont="1" applyFill="1" applyBorder="1" applyAlignment="1">
      <alignment horizontal="center" vertical="center"/>
    </xf>
    <xf numFmtId="14" fontId="63" fillId="8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/>
    <xf numFmtId="185" fontId="35" fillId="0" borderId="7" xfId="14" applyNumberFormat="1" applyFont="1" applyBorder="1" applyAlignment="1" applyProtection="1">
      <alignment vertical="center"/>
    </xf>
    <xf numFmtId="185" fontId="35" fillId="0" borderId="17" xfId="14" applyNumberFormat="1" applyFont="1" applyBorder="1" applyAlignment="1" applyProtection="1">
      <alignment vertical="center"/>
    </xf>
    <xf numFmtId="185" fontId="35" fillId="0" borderId="58" xfId="14" applyNumberFormat="1" applyFont="1" applyBorder="1" applyAlignment="1" applyProtection="1">
      <alignment vertical="center"/>
    </xf>
    <xf numFmtId="0" fontId="16" fillId="0" borderId="0" xfId="17" applyFont="1" applyBorder="1" applyAlignment="1" applyProtection="1">
      <alignment vertical="center"/>
    </xf>
    <xf numFmtId="14" fontId="56" fillId="7" borderId="0" xfId="0" applyNumberFormat="1" applyFont="1" applyFill="1" applyBorder="1" applyAlignment="1" applyProtection="1">
      <alignment horizontal="left" vertical="top"/>
    </xf>
    <xf numFmtId="176" fontId="33" fillId="3" borderId="9" xfId="0" applyNumberFormat="1" applyFont="1" applyFill="1" applyBorder="1" applyAlignment="1" applyProtection="1">
      <alignment horizontal="right" vertical="center"/>
      <protection locked="0"/>
    </xf>
    <xf numFmtId="0" fontId="26" fillId="0" borderId="11" xfId="0" applyFont="1" applyBorder="1" applyAlignment="1" applyProtection="1">
      <alignment horizontal="left" vertical="center"/>
    </xf>
    <xf numFmtId="186" fontId="26" fillId="18" borderId="0" xfId="0" applyNumberFormat="1" applyFont="1" applyFill="1" applyBorder="1" applyAlignment="1" applyProtection="1">
      <alignment horizontal="center" vertical="center"/>
      <protection locked="0"/>
    </xf>
    <xf numFmtId="190" fontId="26" fillId="18" borderId="46" xfId="0" applyNumberFormat="1" applyFont="1" applyFill="1" applyBorder="1" applyAlignment="1" applyProtection="1">
      <alignment horizontal="right" vertical="center"/>
      <protection locked="0"/>
    </xf>
    <xf numFmtId="0" fontId="26" fillId="18" borderId="5" xfId="0" applyFont="1" applyFill="1" applyBorder="1" applyAlignment="1" applyProtection="1">
      <alignment vertical="center"/>
      <protection locked="0"/>
    </xf>
    <xf numFmtId="0" fontId="26" fillId="7" borderId="197" xfId="0" applyFont="1" applyFill="1" applyBorder="1" applyAlignment="1" applyProtection="1">
      <alignment horizontal="center"/>
    </xf>
    <xf numFmtId="188" fontId="26" fillId="18" borderId="198" xfId="0" applyNumberFormat="1" applyFont="1" applyFill="1" applyBorder="1" applyAlignment="1" applyProtection="1">
      <alignment horizontal="right" vertical="center"/>
      <protection locked="0"/>
    </xf>
    <xf numFmtId="188" fontId="26" fillId="18" borderId="199" xfId="0" applyNumberFormat="1" applyFont="1" applyFill="1" applyBorder="1" applyAlignment="1" applyProtection="1">
      <alignment horizontal="right" vertical="center"/>
      <protection locked="0"/>
    </xf>
    <xf numFmtId="190" fontId="26" fillId="18" borderId="151" xfId="0" applyNumberFormat="1" applyFont="1" applyFill="1" applyBorder="1" applyAlignment="1" applyProtection="1">
      <alignment horizontal="right"/>
    </xf>
    <xf numFmtId="188" fontId="26" fillId="18" borderId="151" xfId="0" applyNumberFormat="1" applyFont="1" applyFill="1" applyBorder="1" applyAlignment="1" applyProtection="1">
      <alignment horizontal="right" vertical="center"/>
      <protection locked="0"/>
    </xf>
    <xf numFmtId="190" fontId="26" fillId="18" borderId="155" xfId="0" applyNumberFormat="1" applyFont="1" applyFill="1" applyBorder="1" applyAlignment="1" applyProtection="1">
      <alignment horizontal="right" vertical="center"/>
      <protection locked="0"/>
    </xf>
    <xf numFmtId="190" fontId="26" fillId="18" borderId="155" xfId="0" applyNumberFormat="1" applyFont="1" applyFill="1" applyBorder="1" applyAlignment="1" applyProtection="1">
      <alignment horizontal="right"/>
    </xf>
    <xf numFmtId="188" fontId="26" fillId="7" borderId="11" xfId="0" applyNumberFormat="1" applyFont="1" applyFill="1" applyBorder="1" applyAlignment="1" applyProtection="1">
      <alignment horizontal="right"/>
    </xf>
    <xf numFmtId="186" fontId="26" fillId="18" borderId="2" xfId="0" applyNumberFormat="1" applyFont="1" applyFill="1" applyBorder="1" applyAlignment="1" applyProtection="1">
      <alignment horizontal="center"/>
    </xf>
    <xf numFmtId="190" fontId="26" fillId="18" borderId="117" xfId="0" applyNumberFormat="1" applyFont="1" applyFill="1" applyBorder="1" applyAlignment="1" applyProtection="1">
      <alignment horizontal="right"/>
    </xf>
    <xf numFmtId="190" fontId="26" fillId="18" borderId="152" xfId="0" applyNumberFormat="1" applyFont="1" applyFill="1" applyBorder="1" applyAlignment="1" applyProtection="1">
      <alignment horizontal="right"/>
    </xf>
    <xf numFmtId="0" fontId="0" fillId="7" borderId="2" xfId="0" applyFill="1" applyBorder="1" applyAlignment="1" applyProtection="1"/>
    <xf numFmtId="188" fontId="26" fillId="7" borderId="2" xfId="0" applyNumberFormat="1" applyFont="1" applyFill="1" applyBorder="1" applyAlignment="1" applyProtection="1">
      <alignment horizontal="right"/>
    </xf>
    <xf numFmtId="0" fontId="26" fillId="7" borderId="166" xfId="0" applyFont="1" applyFill="1" applyBorder="1" applyAlignment="1" applyProtection="1">
      <alignment horizontal="center"/>
    </xf>
    <xf numFmtId="0" fontId="0" fillId="7" borderId="2" xfId="0" applyFill="1" applyBorder="1" applyAlignment="1" applyProtection="1">
      <alignment horizontal="center"/>
    </xf>
    <xf numFmtId="188" fontId="26" fillId="7" borderId="25" xfId="0" applyNumberFormat="1" applyFont="1" applyFill="1" applyBorder="1" applyAlignment="1" applyProtection="1">
      <alignment horizontal="right"/>
    </xf>
    <xf numFmtId="0" fontId="3" fillId="0" borderId="0" xfId="0" applyFont="1" applyBorder="1" applyAlignment="1">
      <alignment vertical="top"/>
    </xf>
    <xf numFmtId="0" fontId="145" fillId="7" borderId="0" xfId="0" applyFont="1" applyFill="1" applyBorder="1" applyAlignment="1" applyProtection="1">
      <alignment horizontal="left" vertical="top"/>
    </xf>
    <xf numFmtId="0" fontId="33" fillId="0" borderId="5" xfId="15" applyFont="1" applyBorder="1" applyAlignment="1">
      <alignment vertical="center"/>
    </xf>
    <xf numFmtId="0" fontId="16" fillId="0" borderId="185" xfId="15" applyFont="1" applyBorder="1" applyAlignment="1">
      <alignment vertical="center"/>
    </xf>
    <xf numFmtId="170" fontId="33" fillId="4" borderId="19" xfId="0" applyNumberFormat="1" applyFont="1" applyFill="1" applyBorder="1" applyAlignment="1">
      <alignment horizontal="right" vertical="center"/>
    </xf>
    <xf numFmtId="176" fontId="33" fillId="3" borderId="11" xfId="0" applyNumberFormat="1" applyFont="1" applyFill="1" applyBorder="1" applyAlignment="1" applyProtection="1">
      <alignment horizontal="right" vertical="center"/>
      <protection locked="0"/>
    </xf>
    <xf numFmtId="176" fontId="33" fillId="18" borderId="89" xfId="0" applyNumberFormat="1" applyFont="1" applyFill="1" applyBorder="1" applyAlignment="1" applyProtection="1">
      <alignment horizontal="right" vertical="center"/>
    </xf>
    <xf numFmtId="170" fontId="33" fillId="42" borderId="44" xfId="0" applyNumberFormat="1" applyFont="1" applyFill="1" applyBorder="1" applyAlignment="1" applyProtection="1">
      <alignment horizontal="right" vertical="center"/>
      <protection locked="0"/>
    </xf>
    <xf numFmtId="2" fontId="33" fillId="42" borderId="43" xfId="0" applyNumberFormat="1" applyFont="1" applyFill="1" applyBorder="1" applyAlignment="1" applyProtection="1">
      <alignment horizontal="right" vertical="center"/>
      <protection locked="0"/>
    </xf>
    <xf numFmtId="0" fontId="16" fillId="18" borderId="2" xfId="17" applyFont="1" applyFill="1" applyBorder="1" applyAlignment="1" applyProtection="1">
      <alignment vertical="center"/>
      <protection locked="0"/>
    </xf>
    <xf numFmtId="2" fontId="33" fillId="18" borderId="2" xfId="17" applyNumberFormat="1" applyFont="1" applyFill="1" applyBorder="1" applyAlignment="1" applyProtection="1">
      <alignment vertical="center"/>
    </xf>
    <xf numFmtId="0" fontId="33" fillId="18" borderId="2" xfId="17" applyFont="1" applyFill="1" applyBorder="1" applyAlignment="1" applyProtection="1">
      <alignment vertical="center"/>
      <protection locked="0"/>
    </xf>
    <xf numFmtId="0" fontId="33" fillId="18" borderId="91" xfId="17" applyFont="1" applyFill="1" applyBorder="1" applyAlignment="1" applyProtection="1">
      <alignment vertical="center"/>
      <protection locked="0"/>
    </xf>
    <xf numFmtId="0" fontId="0" fillId="18" borderId="91" xfId="0" applyFill="1" applyBorder="1" applyAlignment="1" applyProtection="1">
      <alignment vertical="center"/>
      <protection locked="0"/>
    </xf>
    <xf numFmtId="0" fontId="33" fillId="18" borderId="91" xfId="17" applyFont="1" applyFill="1" applyBorder="1" applyAlignment="1" applyProtection="1">
      <alignment horizontal="right" vertical="center"/>
      <protection locked="0"/>
    </xf>
    <xf numFmtId="0" fontId="33" fillId="18" borderId="92" xfId="0" applyFont="1" applyFill="1" applyBorder="1" applyAlignment="1" applyProtection="1">
      <alignment vertical="center"/>
      <protection locked="0"/>
    </xf>
    <xf numFmtId="0" fontId="33" fillId="18" borderId="78" xfId="0" applyFont="1" applyFill="1" applyBorder="1" applyAlignment="1" applyProtection="1">
      <alignment vertical="center"/>
      <protection locked="0"/>
    </xf>
    <xf numFmtId="2" fontId="33" fillId="18" borderId="59" xfId="0" applyNumberFormat="1" applyFont="1" applyFill="1" applyBorder="1" applyAlignment="1" applyProtection="1">
      <alignment horizontal="right" vertical="center"/>
      <protection locked="0"/>
    </xf>
    <xf numFmtId="0" fontId="33" fillId="18" borderId="90" xfId="17" applyFont="1" applyFill="1" applyBorder="1" applyAlignment="1" applyProtection="1">
      <alignment vertical="center"/>
      <protection locked="0"/>
    </xf>
    <xf numFmtId="170" fontId="33" fillId="18" borderId="79" xfId="0" applyNumberFormat="1" applyFont="1" applyFill="1" applyBorder="1" applyAlignment="1" applyProtection="1">
      <alignment horizontal="right" vertical="center"/>
      <protection locked="0"/>
    </xf>
    <xf numFmtId="170" fontId="33" fillId="18" borderId="30" xfId="0" applyNumberFormat="1" applyFont="1" applyFill="1" applyBorder="1" applyAlignment="1" applyProtection="1">
      <alignment horizontal="right" vertical="center"/>
      <protection locked="0"/>
    </xf>
    <xf numFmtId="170" fontId="33" fillId="18" borderId="59" xfId="0" applyNumberFormat="1" applyFont="1" applyFill="1" applyBorder="1" applyAlignment="1" applyProtection="1">
      <alignment horizontal="right" vertical="center"/>
      <protection locked="0"/>
    </xf>
    <xf numFmtId="0" fontId="33" fillId="18" borderId="47" xfId="17" applyFont="1" applyFill="1" applyBorder="1" applyAlignment="1" applyProtection="1">
      <alignment vertical="center"/>
    </xf>
    <xf numFmtId="0" fontId="33" fillId="18" borderId="26" xfId="17" applyFont="1" applyFill="1" applyBorder="1" applyAlignment="1" applyProtection="1">
      <alignment vertical="center"/>
    </xf>
    <xf numFmtId="0" fontId="0" fillId="18" borderId="27" xfId="0" applyFill="1" applyBorder="1" applyAlignment="1">
      <alignment vertical="center"/>
    </xf>
    <xf numFmtId="0" fontId="16" fillId="0" borderId="27" xfId="0" applyFont="1" applyBorder="1" applyAlignment="1">
      <alignment vertical="center"/>
    </xf>
    <xf numFmtId="0" fontId="31" fillId="7" borderId="0" xfId="0" applyFont="1" applyFill="1" applyBorder="1" applyAlignment="1" applyProtection="1">
      <alignment horizontal="centerContinuous" vertical="center"/>
    </xf>
    <xf numFmtId="0" fontId="0" fillId="7" borderId="0" xfId="0" applyFill="1" applyBorder="1" applyAlignment="1" applyProtection="1">
      <alignment horizontal="centerContinuous"/>
    </xf>
    <xf numFmtId="49" fontId="2" fillId="0" borderId="6" xfId="0" applyNumberFormat="1" applyFont="1" applyBorder="1" applyAlignment="1">
      <alignment horizontal="left"/>
    </xf>
    <xf numFmtId="180" fontId="24" fillId="0" borderId="9" xfId="0" applyNumberFormat="1" applyFont="1" applyBorder="1" applyAlignment="1" applyProtection="1">
      <alignment horizontal="right" vertical="top"/>
    </xf>
    <xf numFmtId="0" fontId="89" fillId="0" borderId="5" xfId="0" applyNumberFormat="1" applyFont="1" applyBorder="1" applyAlignment="1" applyProtection="1">
      <alignment horizontal="right" vertical="top"/>
    </xf>
    <xf numFmtId="0" fontId="89" fillId="0" borderId="53" xfId="0" applyFont="1" applyBorder="1" applyAlignment="1" applyProtection="1">
      <alignment horizontal="right" vertical="top"/>
    </xf>
    <xf numFmtId="0" fontId="16" fillId="0" borderId="0" xfId="0" applyFont="1" applyBorder="1" applyAlignment="1">
      <alignment vertical="center"/>
    </xf>
    <xf numFmtId="0" fontId="16" fillId="0" borderId="63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0" fillId="0" borderId="0" xfId="0"/>
    <xf numFmtId="0" fontId="0" fillId="0" borderId="0" xfId="0"/>
    <xf numFmtId="0" fontId="35" fillId="0" borderId="14" xfId="0" applyFont="1" applyBorder="1" applyAlignment="1">
      <alignment horizontal="centerContinuous" vertical="center"/>
    </xf>
    <xf numFmtId="0" fontId="35" fillId="0" borderId="11" xfId="0" applyFont="1" applyBorder="1" applyAlignment="1">
      <alignment horizontal="centerContinuous" vertical="center"/>
    </xf>
    <xf numFmtId="176" fontId="26" fillId="7" borderId="25" xfId="14" applyNumberFormat="1" applyFont="1" applyFill="1" applyBorder="1" applyAlignment="1">
      <alignment vertical="center"/>
    </xf>
    <xf numFmtId="0" fontId="42" fillId="0" borderId="11" xfId="0" applyFont="1" applyBorder="1" applyAlignment="1">
      <alignment vertical="center"/>
    </xf>
    <xf numFmtId="0" fontId="26" fillId="0" borderId="3" xfId="0" applyFont="1" applyBorder="1"/>
    <xf numFmtId="0" fontId="59" fillId="43" borderId="3" xfId="0" applyFont="1" applyFill="1" applyBorder="1"/>
    <xf numFmtId="0" fontId="1" fillId="0" borderId="0" xfId="0" applyFont="1"/>
    <xf numFmtId="0" fontId="26" fillId="0" borderId="3" xfId="0" applyFont="1" applyFill="1" applyBorder="1" applyAlignment="1">
      <alignment horizontal="center" wrapText="1"/>
    </xf>
    <xf numFmtId="170" fontId="26" fillId="3" borderId="15" xfId="0" applyNumberFormat="1" applyFont="1" applyFill="1" applyBorder="1" applyAlignment="1" applyProtection="1">
      <alignment vertical="center"/>
      <protection locked="0"/>
    </xf>
    <xf numFmtId="176" fontId="26" fillId="3" borderId="154" xfId="0" applyNumberFormat="1" applyFont="1" applyFill="1" applyBorder="1" applyAlignment="1" applyProtection="1">
      <alignment vertical="center"/>
      <protection locked="0"/>
    </xf>
    <xf numFmtId="170" fontId="26" fillId="3" borderId="156" xfId="0" applyNumberFormat="1" applyFont="1" applyFill="1" applyBorder="1" applyAlignment="1" applyProtection="1">
      <alignment vertical="center"/>
      <protection locked="0"/>
    </xf>
    <xf numFmtId="0" fontId="159" fillId="0" borderId="0" xfId="0" applyFont="1"/>
    <xf numFmtId="0" fontId="24" fillId="18" borderId="10" xfId="0" applyFont="1" applyFill="1" applyBorder="1" applyAlignment="1" applyProtection="1">
      <alignment horizontal="center" vertical="center"/>
    </xf>
    <xf numFmtId="176" fontId="26" fillId="42" borderId="18" xfId="0" applyNumberFormat="1" applyFont="1" applyFill="1" applyBorder="1" applyAlignment="1" applyProtection="1">
      <alignment vertical="center"/>
      <protection locked="0"/>
    </xf>
    <xf numFmtId="176" fontId="26" fillId="42" borderId="20" xfId="0" applyNumberFormat="1" applyFont="1" applyFill="1" applyBorder="1" applyAlignment="1" applyProtection="1">
      <alignment vertical="center"/>
      <protection locked="0"/>
    </xf>
    <xf numFmtId="176" fontId="26" fillId="42" borderId="166" xfId="0" applyNumberFormat="1" applyFont="1" applyFill="1" applyBorder="1" applyAlignment="1" applyProtection="1">
      <alignment vertical="center"/>
      <protection locked="0"/>
    </xf>
    <xf numFmtId="176" fontId="26" fillId="42" borderId="16" xfId="0" applyNumberFormat="1" applyFont="1" applyFill="1" applyBorder="1" applyAlignment="1" applyProtection="1">
      <alignment vertical="center"/>
      <protection locked="0"/>
    </xf>
    <xf numFmtId="176" fontId="26" fillId="42" borderId="58" xfId="0" applyNumberFormat="1" applyFont="1" applyFill="1" applyBorder="1" applyAlignment="1" applyProtection="1">
      <alignment horizontal="right"/>
      <protection locked="0"/>
    </xf>
    <xf numFmtId="176" fontId="26" fillId="42" borderId="46" xfId="0" applyNumberFormat="1" applyFont="1" applyFill="1" applyBorder="1" applyAlignment="1" applyProtection="1">
      <alignment horizontal="right"/>
      <protection locked="0"/>
    </xf>
    <xf numFmtId="176" fontId="26" fillId="42" borderId="15" xfId="0" applyNumberFormat="1" applyFont="1" applyFill="1" applyBorder="1" applyAlignment="1" applyProtection="1">
      <alignment horizontal="right"/>
      <protection locked="0"/>
    </xf>
    <xf numFmtId="0" fontId="27" fillId="0" borderId="3" xfId="0" applyFont="1" applyBorder="1" applyAlignment="1">
      <alignment horizontal="right" vertical="center"/>
    </xf>
    <xf numFmtId="0" fontId="27" fillId="0" borderId="3" xfId="0" applyFont="1" applyBorder="1" applyAlignment="1">
      <alignment vertical="center"/>
    </xf>
    <xf numFmtId="0" fontId="35" fillId="0" borderId="3" xfId="0" applyFont="1" applyBorder="1" applyAlignment="1">
      <alignment horizontal="right" vertical="center"/>
    </xf>
    <xf numFmtId="0" fontId="110" fillId="0" borderId="0" xfId="0" applyFont="1"/>
    <xf numFmtId="0" fontId="131" fillId="8" borderId="0" xfId="0" applyFont="1" applyFill="1" applyBorder="1" applyAlignment="1" applyProtection="1">
      <alignment horizontal="center" vertical="center"/>
    </xf>
    <xf numFmtId="2" fontId="39" fillId="4" borderId="104" xfId="0" applyNumberFormat="1" applyFont="1" applyFill="1" applyBorder="1" applyAlignment="1">
      <alignment horizontal="center" vertical="center" wrapText="1"/>
    </xf>
    <xf numFmtId="2" fontId="39" fillId="4" borderId="103" xfId="0" applyNumberFormat="1" applyFont="1" applyFill="1" applyBorder="1" applyAlignment="1">
      <alignment horizontal="center" vertical="center" wrapText="1"/>
    </xf>
    <xf numFmtId="2" fontId="39" fillId="4" borderId="105" xfId="0" applyNumberFormat="1" applyFont="1" applyFill="1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2" fontId="46" fillId="4" borderId="104" xfId="0" applyNumberFormat="1" applyFont="1" applyFill="1" applyBorder="1" applyAlignment="1">
      <alignment horizontal="center" vertical="center"/>
    </xf>
    <xf numFmtId="2" fontId="46" fillId="4" borderId="103" xfId="0" applyNumberFormat="1" applyFont="1" applyFill="1" applyBorder="1" applyAlignment="1">
      <alignment horizontal="center" vertical="center"/>
    </xf>
    <xf numFmtId="2" fontId="46" fillId="4" borderId="105" xfId="0" applyNumberFormat="1" applyFont="1" applyFill="1" applyBorder="1" applyAlignment="1">
      <alignment horizontal="center" vertical="center"/>
    </xf>
    <xf numFmtId="2" fontId="46" fillId="4" borderId="85" xfId="0" applyNumberFormat="1" applyFont="1" applyFill="1" applyBorder="1" applyAlignment="1">
      <alignment horizontal="center" vertical="center"/>
    </xf>
    <xf numFmtId="2" fontId="163" fillId="4" borderId="129" xfId="9" applyNumberFormat="1" applyFont="1" applyFill="1" applyBorder="1" applyAlignment="1" applyProtection="1">
      <alignment horizontal="center" vertical="center" wrapText="1"/>
    </xf>
    <xf numFmtId="2" fontId="163" fillId="4" borderId="132" xfId="9" applyNumberFormat="1" applyFont="1" applyFill="1" applyBorder="1" applyAlignment="1" applyProtection="1">
      <alignment horizontal="center" vertical="center" wrapText="1"/>
    </xf>
    <xf numFmtId="2" fontId="163" fillId="4" borderId="133" xfId="9" applyNumberFormat="1" applyFont="1" applyFill="1" applyBorder="1" applyAlignment="1" applyProtection="1">
      <alignment horizontal="center" vertical="center" wrapText="1"/>
    </xf>
    <xf numFmtId="2" fontId="46" fillId="4" borderId="83" xfId="0" applyNumberFormat="1" applyFont="1" applyFill="1" applyBorder="1" applyAlignment="1">
      <alignment horizontal="center" vertical="center"/>
    </xf>
    <xf numFmtId="2" fontId="46" fillId="4" borderId="86" xfId="0" applyNumberFormat="1" applyFont="1" applyFill="1" applyBorder="1" applyAlignment="1">
      <alignment horizontal="center" vertical="center"/>
    </xf>
    <xf numFmtId="2" fontId="163" fillId="4" borderId="104" xfId="9" applyNumberFormat="1" applyFont="1" applyFill="1" applyBorder="1" applyAlignment="1" applyProtection="1">
      <alignment horizontal="center" vertical="center" wrapText="1"/>
    </xf>
    <xf numFmtId="0" fontId="163" fillId="0" borderId="103" xfId="9" applyFont="1" applyBorder="1" applyAlignment="1" applyProtection="1">
      <alignment vertical="center" wrapText="1"/>
    </xf>
    <xf numFmtId="0" fontId="163" fillId="0" borderId="105" xfId="9" applyFont="1" applyBorder="1" applyAlignment="1" applyProtection="1">
      <alignment vertical="center" wrapText="1"/>
    </xf>
    <xf numFmtId="0" fontId="163" fillId="0" borderId="103" xfId="9" applyFont="1" applyBorder="1" applyAlignment="1" applyProtection="1">
      <alignment horizontal="center" vertical="center" wrapText="1"/>
    </xf>
    <xf numFmtId="0" fontId="163" fillId="0" borderId="105" xfId="9" applyFont="1" applyBorder="1" applyAlignment="1" applyProtection="1">
      <alignment horizontal="center" vertical="center" wrapText="1"/>
    </xf>
    <xf numFmtId="0" fontId="136" fillId="0" borderId="0" xfId="9" applyFont="1" applyBorder="1" applyAlignment="1" applyProtection="1"/>
    <xf numFmtId="0" fontId="0" fillId="0" borderId="0" xfId="0" applyBorder="1" applyAlignment="1"/>
    <xf numFmtId="0" fontId="22" fillId="11" borderId="63" xfId="15" applyFont="1" applyFill="1" applyBorder="1" applyAlignment="1">
      <alignment horizontal="left" vertical="top" wrapText="1"/>
    </xf>
    <xf numFmtId="0" fontId="22" fillId="11" borderId="0" xfId="15" applyFont="1" applyFill="1" applyBorder="1" applyAlignment="1">
      <alignment horizontal="left" vertical="top" wrapText="1"/>
    </xf>
    <xf numFmtId="0" fontId="22" fillId="11" borderId="64" xfId="15" applyFont="1" applyFill="1" applyBorder="1" applyAlignment="1">
      <alignment horizontal="left" vertical="top" wrapText="1"/>
    </xf>
    <xf numFmtId="0" fontId="140" fillId="11" borderId="63" xfId="10" applyFont="1" applyFill="1" applyBorder="1" applyAlignment="1" applyProtection="1">
      <alignment horizontal="left" vertical="center" wrapText="1"/>
    </xf>
    <xf numFmtId="0" fontId="140" fillId="11" borderId="0" xfId="10" applyFont="1" applyFill="1" applyBorder="1" applyAlignment="1" applyProtection="1">
      <alignment horizontal="left" vertical="center" wrapText="1"/>
    </xf>
    <xf numFmtId="0" fontId="140" fillId="11" borderId="64" xfId="10" applyFont="1" applyFill="1" applyBorder="1" applyAlignment="1" applyProtection="1">
      <alignment horizontal="left" vertical="center" wrapText="1"/>
    </xf>
    <xf numFmtId="0" fontId="140" fillId="11" borderId="65" xfId="10" applyFont="1" applyFill="1" applyBorder="1" applyAlignment="1" applyProtection="1">
      <alignment horizontal="left" vertical="center" wrapText="1"/>
    </xf>
    <xf numFmtId="0" fontId="140" fillId="11" borderId="62" xfId="10" applyFont="1" applyFill="1" applyBorder="1" applyAlignment="1" applyProtection="1">
      <alignment horizontal="left" vertical="center" wrapText="1"/>
    </xf>
    <xf numFmtId="0" fontId="140" fillId="11" borderId="66" xfId="10" applyFont="1" applyFill="1" applyBorder="1" applyAlignment="1" applyProtection="1">
      <alignment horizontal="left" vertical="center" wrapText="1"/>
    </xf>
    <xf numFmtId="0" fontId="0" fillId="0" borderId="0" xfId="0"/>
    <xf numFmtId="0" fontId="19" fillId="18" borderId="181" xfId="0" applyFont="1" applyFill="1" applyBorder="1"/>
    <xf numFmtId="0" fontId="19" fillId="18" borderId="181" xfId="0" applyFont="1" applyFill="1" applyBorder="1" applyAlignment="1">
      <alignment horizontal="center"/>
    </xf>
    <xf numFmtId="0" fontId="136" fillId="0" borderId="0" xfId="9" applyFont="1" applyBorder="1" applyAlignment="1" applyProtection="1">
      <alignment vertical="center"/>
    </xf>
    <xf numFmtId="0" fontId="136" fillId="0" borderId="0" xfId="9" applyFont="1" applyAlignment="1" applyProtection="1">
      <alignment vertical="center"/>
    </xf>
    <xf numFmtId="0" fontId="17" fillId="0" borderId="0" xfId="0" applyFont="1" applyAlignment="1">
      <alignment vertical="center"/>
    </xf>
    <xf numFmtId="14" fontId="0" fillId="0" borderId="0" xfId="0" applyNumberFormat="1"/>
    <xf numFmtId="0" fontId="140" fillId="11" borderId="63" xfId="10" applyFont="1" applyFill="1" applyBorder="1" applyAlignment="1" applyProtection="1">
      <alignment horizontal="left" vertical="center"/>
    </xf>
    <xf numFmtId="0" fontId="140" fillId="11" borderId="0" xfId="10" applyFont="1" applyFill="1" applyBorder="1" applyAlignment="1" applyProtection="1">
      <alignment horizontal="left" vertical="center"/>
    </xf>
    <xf numFmtId="0" fontId="24" fillId="6" borderId="12" xfId="0" applyFont="1" applyFill="1" applyBorder="1" applyAlignment="1">
      <alignment horizontal="center" vertical="top"/>
    </xf>
    <xf numFmtId="0" fontId="24" fillId="6" borderId="31" xfId="0" applyFont="1" applyFill="1" applyBorder="1" applyAlignment="1">
      <alignment horizontal="center" vertical="top"/>
    </xf>
    <xf numFmtId="0" fontId="0" fillId="0" borderId="32" xfId="0" applyBorder="1" applyAlignment="1">
      <alignment horizontal="center"/>
    </xf>
    <xf numFmtId="0" fontId="35" fillId="6" borderId="12" xfId="0" applyFont="1" applyFill="1" applyBorder="1" applyAlignment="1">
      <alignment horizontal="center" vertical="top"/>
    </xf>
    <xf numFmtId="0" fontId="35" fillId="6" borderId="31" xfId="0" applyFont="1" applyFill="1" applyBorder="1" applyAlignment="1">
      <alignment horizontal="center" vertical="top"/>
    </xf>
    <xf numFmtId="0" fontId="24" fillId="0" borderId="160" xfId="0" applyFont="1" applyBorder="1" applyAlignment="1">
      <alignment horizontal="center" wrapText="1"/>
    </xf>
    <xf numFmtId="0" fontId="24" fillId="0" borderId="154" xfId="0" applyFont="1" applyBorder="1" applyAlignment="1">
      <alignment horizontal="center" wrapText="1"/>
    </xf>
    <xf numFmtId="0" fontId="24" fillId="0" borderId="156" xfId="0" applyFont="1" applyBorder="1" applyAlignment="1">
      <alignment horizontal="center" wrapText="1"/>
    </xf>
    <xf numFmtId="0" fontId="24" fillId="0" borderId="155" xfId="0" applyFont="1" applyBorder="1" applyAlignment="1">
      <alignment horizontal="center"/>
    </xf>
    <xf numFmtId="0" fontId="24" fillId="0" borderId="161" xfId="0" applyFont="1" applyBorder="1" applyAlignment="1">
      <alignment horizontal="center"/>
    </xf>
    <xf numFmtId="0" fontId="24" fillId="0" borderId="161" xfId="0" applyFont="1" applyBorder="1" applyAlignment="1">
      <alignment horizontal="center" wrapText="1"/>
    </xf>
    <xf numFmtId="0" fontId="24" fillId="0" borderId="155" xfId="0" applyFont="1" applyBorder="1" applyAlignment="1">
      <alignment horizontal="center" wrapText="1"/>
    </xf>
    <xf numFmtId="0" fontId="24" fillId="0" borderId="117" xfId="0" applyFont="1" applyBorder="1" applyAlignment="1">
      <alignment horizontal="center" wrapText="1"/>
    </xf>
    <xf numFmtId="0" fontId="51" fillId="14" borderId="7" xfId="0" applyFont="1" applyFill="1" applyBorder="1" applyAlignment="1">
      <alignment horizontal="center"/>
    </xf>
    <xf numFmtId="0" fontId="51" fillId="14" borderId="8" xfId="0" applyFont="1" applyFill="1" applyBorder="1" applyAlignment="1">
      <alignment horizontal="center"/>
    </xf>
    <xf numFmtId="0" fontId="51" fillId="14" borderId="14" xfId="0" applyFont="1" applyFill="1" applyBorder="1" applyAlignment="1">
      <alignment horizontal="center"/>
    </xf>
    <xf numFmtId="0" fontId="51" fillId="0" borderId="7" xfId="0" applyFont="1" applyBorder="1"/>
    <xf numFmtId="0" fontId="51" fillId="0" borderId="8" xfId="0" applyFont="1" applyBorder="1"/>
    <xf numFmtId="0" fontId="51" fillId="0" borderId="14" xfId="0" applyFont="1" applyBorder="1"/>
    <xf numFmtId="0" fontId="51" fillId="0" borderId="113" xfId="0" applyFont="1" applyBorder="1" applyAlignment="1" applyProtection="1">
      <alignment horizontal="center" vertical="center"/>
    </xf>
    <xf numFmtId="0" fontId="51" fillId="0" borderId="86" xfId="0" applyFont="1" applyBorder="1" applyAlignment="1" applyProtection="1">
      <alignment horizontal="center" vertical="center"/>
    </xf>
    <xf numFmtId="0" fontId="65" fillId="0" borderId="6" xfId="0" applyFont="1" applyBorder="1" applyAlignment="1" applyProtection="1">
      <alignment horizontal="center" vertical="center"/>
    </xf>
    <xf numFmtId="0" fontId="65" fillId="0" borderId="25" xfId="0" applyFont="1" applyBorder="1" applyAlignment="1" applyProtection="1">
      <alignment horizontal="center" vertical="center"/>
    </xf>
    <xf numFmtId="0" fontId="65" fillId="0" borderId="5" xfId="0" applyFont="1" applyBorder="1" applyAlignment="1" applyProtection="1">
      <alignment horizontal="center" vertical="center"/>
    </xf>
    <xf numFmtId="0" fontId="65" fillId="0" borderId="64" xfId="0" applyFont="1" applyBorder="1" applyAlignment="1" applyProtection="1">
      <alignment horizontal="center" vertical="center"/>
    </xf>
    <xf numFmtId="0" fontId="51" fillId="0" borderId="7" xfId="0" applyFont="1" applyBorder="1" applyAlignment="1">
      <alignment horizontal="center"/>
    </xf>
    <xf numFmtId="0" fontId="51" fillId="0" borderId="8" xfId="0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24" fillId="0" borderId="83" xfId="0" applyFont="1" applyBorder="1" applyAlignment="1" applyProtection="1">
      <alignment horizontal="center" vertical="center"/>
    </xf>
    <xf numFmtId="0" fontId="24" fillId="0" borderId="86" xfId="0" applyFont="1" applyBorder="1" applyAlignment="1" applyProtection="1">
      <alignment horizontal="center" vertical="center"/>
    </xf>
    <xf numFmtId="0" fontId="26" fillId="0" borderId="65" xfId="0" applyFont="1" applyBorder="1" applyAlignment="1" applyProtection="1">
      <alignment horizontal="center" vertical="center"/>
    </xf>
    <xf numFmtId="0" fontId="26" fillId="0" borderId="66" xfId="0" applyFont="1" applyBorder="1" applyAlignment="1" applyProtection="1">
      <alignment horizontal="center" vertical="center"/>
    </xf>
    <xf numFmtId="0" fontId="46" fillId="0" borderId="0" xfId="0" applyFont="1" applyAlignment="1">
      <alignment horizontal="center"/>
    </xf>
    <xf numFmtId="0" fontId="51" fillId="0" borderId="128" xfId="0" applyFont="1" applyBorder="1" applyAlignment="1" applyProtection="1">
      <alignment horizontal="center" vertical="center"/>
    </xf>
    <xf numFmtId="49" fontId="65" fillId="0" borderId="7" xfId="0" applyNumberFormat="1" applyFont="1" applyBorder="1" applyAlignment="1" applyProtection="1">
      <alignment horizontal="right" vertical="center"/>
    </xf>
    <xf numFmtId="49" fontId="65" fillId="0" borderId="14" xfId="0" applyNumberFormat="1" applyFont="1" applyBorder="1" applyAlignment="1" applyProtection="1">
      <alignment horizontal="right" vertical="center"/>
    </xf>
    <xf numFmtId="0" fontId="51" fillId="0" borderId="6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24" fillId="0" borderId="83" xfId="0" applyFont="1" applyBorder="1" applyAlignment="1" applyProtection="1">
      <alignment horizontal="left" vertical="center"/>
    </xf>
    <xf numFmtId="0" fontId="24" fillId="0" borderId="85" xfId="0" applyFont="1" applyBorder="1" applyAlignment="1" applyProtection="1">
      <alignment horizontal="left" vertical="center"/>
    </xf>
    <xf numFmtId="49" fontId="65" fillId="0" borderId="5" xfId="0" applyNumberFormat="1" applyFont="1" applyBorder="1" applyAlignment="1" applyProtection="1">
      <alignment horizontal="right" vertical="center"/>
    </xf>
    <xf numFmtId="49" fontId="65" fillId="0" borderId="11" xfId="0" applyNumberFormat="1" applyFont="1" applyBorder="1" applyAlignment="1" applyProtection="1">
      <alignment horizontal="right" vertical="center"/>
    </xf>
    <xf numFmtId="49" fontId="65" fillId="0" borderId="22" xfId="0" applyNumberFormat="1" applyFont="1" applyBorder="1" applyAlignment="1" applyProtection="1">
      <alignment horizontal="right" vertical="center"/>
    </xf>
    <xf numFmtId="49" fontId="65" fillId="0" borderId="36" xfId="0" applyNumberFormat="1" applyFont="1" applyBorder="1" applyAlignment="1" applyProtection="1">
      <alignment horizontal="right" vertical="center"/>
    </xf>
    <xf numFmtId="49" fontId="65" fillId="0" borderId="28" xfId="0" applyNumberFormat="1" applyFont="1" applyBorder="1" applyAlignment="1" applyProtection="1">
      <alignment horizontal="right" vertical="center"/>
    </xf>
    <xf numFmtId="49" fontId="65" fillId="0" borderId="35" xfId="0" applyNumberFormat="1" applyFont="1" applyBorder="1" applyAlignment="1" applyProtection="1">
      <alignment horizontal="right" vertical="center"/>
    </xf>
    <xf numFmtId="49" fontId="65" fillId="0" borderId="102" xfId="0" applyNumberFormat="1" applyFont="1" applyBorder="1" applyAlignment="1" applyProtection="1">
      <alignment horizontal="right" vertical="center"/>
    </xf>
    <xf numFmtId="49" fontId="65" fillId="0" borderId="116" xfId="0" applyNumberFormat="1" applyFont="1" applyBorder="1" applyAlignment="1" applyProtection="1">
      <alignment horizontal="right" vertical="center"/>
    </xf>
    <xf numFmtId="0" fontId="33" fillId="0" borderId="162" xfId="0" applyFont="1" applyFill="1" applyBorder="1" applyAlignment="1" applyProtection="1">
      <alignment horizontal="center" vertical="center" wrapText="1"/>
    </xf>
    <xf numFmtId="0" fontId="33" fillId="0" borderId="46" xfId="0" applyFont="1" applyFill="1" applyBorder="1" applyAlignment="1" applyProtection="1">
      <alignment horizontal="center" vertical="center" wrapText="1"/>
    </xf>
    <xf numFmtId="0" fontId="136" fillId="0" borderId="2" xfId="9" applyFont="1" applyBorder="1" applyAlignment="1" applyProtection="1">
      <alignment vertical="center"/>
    </xf>
    <xf numFmtId="0" fontId="16" fillId="0" borderId="12" xfId="0" applyFont="1" applyBorder="1" applyAlignment="1">
      <alignment horizontal="center" vertical="center"/>
    </xf>
    <xf numFmtId="0" fontId="0" fillId="0" borderId="153" xfId="0" applyBorder="1" applyAlignment="1">
      <alignment horizontal="center"/>
    </xf>
    <xf numFmtId="0" fontId="26" fillId="0" borderId="163" xfId="0" applyFont="1" applyBorder="1" applyAlignment="1" applyProtection="1">
      <alignment horizontal="center" vertical="center" wrapText="1"/>
    </xf>
    <xf numFmtId="0" fontId="26" fillId="0" borderId="164" xfId="0" applyFont="1" applyBorder="1" applyAlignment="1" applyProtection="1">
      <alignment horizontal="center" vertical="center" wrapText="1"/>
    </xf>
    <xf numFmtId="0" fontId="26" fillId="0" borderId="165" xfId="0" applyFont="1" applyBorder="1" applyAlignment="1" applyProtection="1">
      <alignment horizontal="center" vertical="center" wrapText="1"/>
    </xf>
    <xf numFmtId="0" fontId="35" fillId="0" borderId="122" xfId="0" applyFont="1" applyBorder="1" applyAlignment="1" applyProtection="1">
      <alignment horizontal="center" vertical="center"/>
    </xf>
    <xf numFmtId="0" fontId="35" fillId="0" borderId="128" xfId="0" applyFont="1" applyBorder="1" applyAlignment="1" applyProtection="1">
      <alignment horizontal="center" vertical="center"/>
    </xf>
    <xf numFmtId="0" fontId="33" fillId="0" borderId="46" xfId="0" applyFont="1" applyBorder="1" applyAlignment="1" applyProtection="1">
      <alignment horizontal="center" wrapText="1"/>
    </xf>
    <xf numFmtId="0" fontId="0" fillId="0" borderId="0" xfId="0" applyAlignment="1"/>
    <xf numFmtId="0" fontId="136" fillId="0" borderId="2" xfId="9" applyFont="1" applyFill="1" applyBorder="1" applyAlignment="1" applyProtection="1">
      <alignment horizontal="center" vertical="center"/>
    </xf>
    <xf numFmtId="0" fontId="22" fillId="18" borderId="8" xfId="0" applyFont="1" applyFill="1" applyBorder="1" applyAlignment="1" applyProtection="1">
      <alignment horizontal="right" vertical="top"/>
      <protection locked="0"/>
    </xf>
    <xf numFmtId="0" fontId="22" fillId="18" borderId="14" xfId="0" applyFont="1" applyFill="1" applyBorder="1" applyAlignment="1" applyProtection="1">
      <alignment horizontal="right" vertical="top"/>
      <protection locked="0"/>
    </xf>
    <xf numFmtId="0" fontId="16" fillId="18" borderId="2" xfId="0" applyFont="1" applyFill="1" applyBorder="1" applyAlignment="1" applyProtection="1">
      <alignment horizontal="left" vertical="center"/>
      <protection locked="0"/>
    </xf>
    <xf numFmtId="0" fontId="33" fillId="18" borderId="2" xfId="0" applyFont="1" applyFill="1" applyBorder="1" applyAlignment="1" applyProtection="1">
      <alignment horizontal="left" vertical="center"/>
      <protection locked="0"/>
    </xf>
    <xf numFmtId="0" fontId="33" fillId="18" borderId="25" xfId="0" applyFont="1" applyFill="1" applyBorder="1" applyAlignment="1" applyProtection="1">
      <alignment horizontal="left" vertical="center"/>
      <protection locked="0"/>
    </xf>
    <xf numFmtId="167" fontId="36" fillId="4" borderId="6" xfId="0" applyNumberFormat="1" applyFont="1" applyFill="1" applyBorder="1" applyAlignment="1" applyProtection="1">
      <alignment horizontal="center" vertical="center"/>
    </xf>
    <xf numFmtId="167" fontId="36" fillId="4" borderId="25" xfId="0" applyNumberFormat="1" applyFont="1" applyFill="1" applyBorder="1" applyAlignment="1" applyProtection="1">
      <alignment horizontal="center" vertical="center"/>
    </xf>
    <xf numFmtId="0" fontId="33" fillId="4" borderId="62" xfId="0" applyFont="1" applyFill="1" applyBorder="1" applyAlignment="1">
      <alignment horizontal="left" wrapText="1"/>
    </xf>
    <xf numFmtId="0" fontId="0" fillId="0" borderId="62" xfId="0" applyBorder="1" applyAlignment="1">
      <alignment horizontal="left" wrapText="1"/>
    </xf>
    <xf numFmtId="0" fontId="136" fillId="0" borderId="62" xfId="9" applyFont="1" applyBorder="1" applyAlignment="1" applyProtection="1"/>
    <xf numFmtId="0" fontId="136" fillId="0" borderId="62" xfId="9" applyFont="1" applyBorder="1" applyAlignment="1" applyProtection="1">
      <alignment horizontal="right"/>
    </xf>
    <xf numFmtId="0" fontId="51" fillId="7" borderId="115" xfId="0" applyFont="1" applyFill="1" applyBorder="1" applyAlignment="1" applyProtection="1">
      <alignment horizontal="center" vertical="center" textRotation="90"/>
      <protection locked="0"/>
    </xf>
    <xf numFmtId="0" fontId="51" fillId="7" borderId="67" xfId="0" applyFont="1" applyFill="1" applyBorder="1" applyAlignment="1" applyProtection="1">
      <alignment horizontal="center" vertical="center" textRotation="90"/>
      <protection locked="0"/>
    </xf>
    <xf numFmtId="0" fontId="51" fillId="7" borderId="5" xfId="0" applyFont="1" applyFill="1" applyBorder="1" applyAlignment="1" applyProtection="1">
      <alignment horizontal="center" vertical="center" textRotation="90"/>
      <protection locked="0"/>
    </xf>
    <xf numFmtId="0" fontId="51" fillId="7" borderId="71" xfId="0" applyFont="1" applyFill="1" applyBorder="1" applyAlignment="1" applyProtection="1">
      <alignment horizontal="center" vertical="center" textRotation="90"/>
      <protection locked="0"/>
    </xf>
    <xf numFmtId="0" fontId="84" fillId="0" borderId="115" xfId="0" applyFont="1" applyBorder="1" applyAlignment="1">
      <alignment horizontal="center" vertical="center" textRotation="90"/>
    </xf>
    <xf numFmtId="0" fontId="84" fillId="0" borderId="67" xfId="0" applyFont="1" applyBorder="1" applyAlignment="1">
      <alignment horizontal="center" vertical="center" textRotation="90"/>
    </xf>
    <xf numFmtId="0" fontId="84" fillId="0" borderId="71" xfId="0" applyFont="1" applyBorder="1" applyAlignment="1">
      <alignment horizontal="center" vertical="center" textRotation="90"/>
    </xf>
    <xf numFmtId="0" fontId="0" fillId="0" borderId="67" xfId="0" applyBorder="1" applyAlignment="1">
      <alignment horizontal="center" vertical="center" textRotation="90"/>
    </xf>
    <xf numFmtId="0" fontId="0" fillId="0" borderId="71" xfId="0" applyBorder="1" applyAlignment="1">
      <alignment horizontal="center" vertical="center" textRotation="90"/>
    </xf>
    <xf numFmtId="0" fontId="23" fillId="4" borderId="7" xfId="17" applyFont="1" applyFill="1" applyBorder="1" applyAlignment="1" applyProtection="1">
      <alignment horizontal="left" vertical="center"/>
    </xf>
    <xf numFmtId="0" fontId="23" fillId="4" borderId="8" xfId="17" applyFont="1" applyFill="1" applyBorder="1" applyAlignment="1" applyProtection="1">
      <alignment horizontal="left" vertical="center"/>
    </xf>
    <xf numFmtId="0" fontId="23" fillId="4" borderId="5" xfId="17" applyFont="1" applyFill="1" applyBorder="1" applyAlignment="1" applyProtection="1">
      <alignment horizontal="left" vertical="center"/>
    </xf>
    <xf numFmtId="0" fontId="23" fillId="4" borderId="0" xfId="17" applyFont="1" applyFill="1" applyBorder="1" applyAlignment="1" applyProtection="1">
      <alignment horizontal="left" vertical="center"/>
    </xf>
    <xf numFmtId="0" fontId="99" fillId="0" borderId="0" xfId="0" applyFont="1" applyAlignment="1">
      <alignment horizontal="center" textRotation="90"/>
    </xf>
    <xf numFmtId="0" fontId="99" fillId="0" borderId="2" xfId="0" applyFont="1" applyBorder="1" applyAlignment="1">
      <alignment horizontal="center" textRotation="90"/>
    </xf>
    <xf numFmtId="0" fontId="100" fillId="0" borderId="113" xfId="0" applyFont="1" applyBorder="1" applyAlignment="1">
      <alignment horizontal="center" vertical="center" textRotation="90"/>
    </xf>
    <xf numFmtId="0" fontId="100" fillId="0" borderId="5" xfId="0" applyFont="1" applyBorder="1" applyAlignment="1">
      <alignment horizontal="center" vertical="center" textRotation="90"/>
    </xf>
    <xf numFmtId="0" fontId="101" fillId="7" borderId="5" xfId="0" applyFont="1" applyFill="1" applyBorder="1" applyAlignment="1">
      <alignment horizontal="center" vertical="center"/>
    </xf>
    <xf numFmtId="0" fontId="101" fillId="7" borderId="6" xfId="0" applyFont="1" applyFill="1" applyBorder="1" applyAlignment="1">
      <alignment horizontal="center" vertical="center"/>
    </xf>
    <xf numFmtId="14" fontId="65" fillId="0" borderId="62" xfId="0" applyNumberFormat="1" applyFont="1" applyBorder="1" applyAlignment="1">
      <alignment horizontal="center" vertical="top"/>
    </xf>
    <xf numFmtId="0" fontId="32" fillId="8" borderId="8" xfId="0" applyFont="1" applyFill="1" applyBorder="1" applyAlignment="1" applyProtection="1">
      <alignment horizontal="right" vertical="top"/>
      <protection locked="0"/>
    </xf>
    <xf numFmtId="0" fontId="32" fillId="8" borderId="14" xfId="0" applyFont="1" applyFill="1" applyBorder="1" applyAlignment="1" applyProtection="1">
      <alignment horizontal="right" vertical="top"/>
      <protection locked="0"/>
    </xf>
    <xf numFmtId="0" fontId="16" fillId="8" borderId="2" xfId="0" applyFont="1" applyFill="1" applyBorder="1" applyAlignment="1" applyProtection="1">
      <alignment horizontal="left"/>
      <protection locked="0"/>
    </xf>
    <xf numFmtId="0" fontId="33" fillId="8" borderId="2" xfId="0" applyFont="1" applyFill="1" applyBorder="1" applyAlignment="1" applyProtection="1">
      <alignment horizontal="left"/>
      <protection locked="0"/>
    </xf>
    <xf numFmtId="0" fontId="33" fillId="8" borderId="25" xfId="0" applyFont="1" applyFill="1" applyBorder="1" applyAlignment="1" applyProtection="1">
      <alignment horizontal="left"/>
      <protection locked="0"/>
    </xf>
    <xf numFmtId="14" fontId="33" fillId="0" borderId="62" xfId="0" applyNumberFormat="1" applyFont="1" applyBorder="1" applyAlignment="1">
      <alignment horizontal="center" vertical="top"/>
    </xf>
    <xf numFmtId="164" fontId="33" fillId="4" borderId="6" xfId="0" applyNumberFormat="1" applyFont="1" applyFill="1" applyBorder="1" applyAlignment="1">
      <alignment horizontal="center" vertical="center"/>
    </xf>
    <xf numFmtId="164" fontId="33" fillId="4" borderId="25" xfId="0" applyNumberFormat="1" applyFont="1" applyFill="1" applyBorder="1" applyAlignment="1">
      <alignment horizontal="center" vertical="center"/>
    </xf>
    <xf numFmtId="0" fontId="22" fillId="8" borderId="8" xfId="0" applyFont="1" applyFill="1" applyBorder="1" applyAlignment="1" applyProtection="1">
      <alignment horizontal="right" vertical="top"/>
      <protection locked="0"/>
    </xf>
    <xf numFmtId="0" fontId="22" fillId="8" borderId="14" xfId="0" applyFont="1" applyFill="1" applyBorder="1" applyAlignment="1" applyProtection="1">
      <alignment horizontal="right" vertical="top"/>
      <protection locked="0"/>
    </xf>
    <xf numFmtId="0" fontId="18" fillId="8" borderId="2" xfId="0" applyFont="1" applyFill="1" applyBorder="1" applyAlignment="1" applyProtection="1">
      <alignment horizontal="left"/>
      <protection locked="0"/>
    </xf>
    <xf numFmtId="164" fontId="18" fillId="4" borderId="6" xfId="0" applyNumberFormat="1" applyFont="1" applyFill="1" applyBorder="1" applyAlignment="1">
      <alignment horizontal="center" vertical="center"/>
    </xf>
    <xf numFmtId="0" fontId="23" fillId="8" borderId="8" xfId="0" applyFont="1" applyFill="1" applyBorder="1" applyAlignment="1" applyProtection="1">
      <alignment horizontal="left"/>
      <protection locked="0"/>
    </xf>
    <xf numFmtId="0" fontId="23" fillId="8" borderId="14" xfId="0" applyFont="1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 wrapText="1"/>
      <protection locked="0"/>
    </xf>
    <xf numFmtId="0" fontId="0" fillId="8" borderId="25" xfId="0" applyFill="1" applyBorder="1" applyAlignment="1" applyProtection="1">
      <alignment horizontal="left" wrapText="1"/>
      <protection locked="0"/>
    </xf>
    <xf numFmtId="0" fontId="128" fillId="12" borderId="2" xfId="9" applyFont="1" applyFill="1" applyBorder="1" applyAlignment="1" applyProtection="1">
      <alignment horizontal="center" vertical="center"/>
    </xf>
    <xf numFmtId="0" fontId="84" fillId="0" borderId="94" xfId="0" applyFont="1" applyBorder="1" applyAlignment="1">
      <alignment horizontal="center" vertical="center" textRotation="90"/>
    </xf>
    <xf numFmtId="0" fontId="84" fillId="0" borderId="5" xfId="0" applyFont="1" applyBorder="1" applyAlignment="1">
      <alignment horizontal="center" vertical="center" textRotation="90"/>
    </xf>
    <xf numFmtId="0" fontId="102" fillId="0" borderId="113" xfId="0" applyFont="1" applyBorder="1" applyAlignment="1">
      <alignment horizontal="center" vertical="center" textRotation="90"/>
    </xf>
    <xf numFmtId="0" fontId="102" fillId="0" borderId="5" xfId="0" applyFont="1" applyBorder="1" applyAlignment="1">
      <alignment horizontal="center" vertical="center" textRotation="90"/>
    </xf>
    <xf numFmtId="0" fontId="44" fillId="4" borderId="62" xfId="0" applyFont="1" applyFill="1" applyBorder="1" applyAlignment="1">
      <alignment horizontal="left" wrapText="1"/>
    </xf>
    <xf numFmtId="0" fontId="0" fillId="0" borderId="62" xfId="0" applyBorder="1" applyAlignment="1">
      <alignment horizontal="left" vertical="top" wrapText="1"/>
    </xf>
    <xf numFmtId="0" fontId="0" fillId="0" borderId="66" xfId="0" applyBorder="1" applyAlignment="1">
      <alignment horizontal="left" vertical="top" wrapText="1"/>
    </xf>
    <xf numFmtId="0" fontId="0" fillId="0" borderId="0" xfId="0" applyBorder="1" applyAlignment="1">
      <alignment horizontal="center" textRotation="90"/>
    </xf>
    <xf numFmtId="0" fontId="84" fillId="0" borderId="7" xfId="0" applyFont="1" applyBorder="1" applyAlignment="1">
      <alignment horizontal="center" vertical="center" textRotation="90"/>
    </xf>
    <xf numFmtId="0" fontId="0" fillId="0" borderId="5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20" fillId="8" borderId="2" xfId="0" applyFont="1" applyFill="1" applyBorder="1" applyAlignment="1" applyProtection="1">
      <alignment horizontal="left" wrapText="1"/>
      <protection locked="0"/>
    </xf>
    <xf numFmtId="0" fontId="44" fillId="8" borderId="2" xfId="0" applyFont="1" applyFill="1" applyBorder="1" applyAlignment="1" applyProtection="1">
      <alignment horizontal="left" wrapText="1"/>
      <protection locked="0"/>
    </xf>
    <xf numFmtId="0" fontId="44" fillId="8" borderId="25" xfId="0" applyFont="1" applyFill="1" applyBorder="1" applyAlignment="1" applyProtection="1">
      <alignment horizontal="left" wrapText="1"/>
      <protection locked="0"/>
    </xf>
    <xf numFmtId="0" fontId="65" fillId="8" borderId="2" xfId="0" applyFont="1" applyFill="1" applyBorder="1" applyAlignment="1" applyProtection="1">
      <alignment horizontal="left" wrapText="1"/>
      <protection locked="0"/>
    </xf>
    <xf numFmtId="0" fontId="65" fillId="8" borderId="25" xfId="0" applyFont="1" applyFill="1" applyBorder="1" applyAlignment="1" applyProtection="1">
      <alignment horizontal="left" wrapText="1"/>
      <protection locked="0"/>
    </xf>
    <xf numFmtId="0" fontId="44" fillId="4" borderId="62" xfId="0" applyFont="1" applyFill="1" applyBorder="1" applyAlignment="1">
      <alignment horizontal="left" vertical="top" wrapText="1"/>
    </xf>
    <xf numFmtId="0" fontId="44" fillId="4" borderId="66" xfId="0" applyFont="1" applyFill="1" applyBorder="1" applyAlignment="1">
      <alignment horizontal="left" vertical="top" wrapText="1"/>
    </xf>
    <xf numFmtId="0" fontId="32" fillId="8" borderId="8" xfId="0" applyFont="1" applyFill="1" applyBorder="1" applyAlignment="1" applyProtection="1">
      <alignment horizontal="center" vertical="top"/>
      <protection locked="0"/>
    </xf>
    <xf numFmtId="0" fontId="32" fillId="8" borderId="14" xfId="0" applyFont="1" applyFill="1" applyBorder="1" applyAlignment="1" applyProtection="1">
      <alignment horizontal="center" vertical="top"/>
      <protection locked="0"/>
    </xf>
    <xf numFmtId="0" fontId="44" fillId="8" borderId="25" xfId="0" applyFont="1" applyFill="1" applyBorder="1" applyAlignment="1" applyProtection="1">
      <alignment horizontal="left"/>
      <protection locked="0"/>
    </xf>
    <xf numFmtId="0" fontId="35" fillId="8" borderId="8" xfId="0" applyFont="1" applyFill="1" applyBorder="1" applyAlignment="1" applyProtection="1">
      <alignment horizontal="left"/>
      <protection locked="0"/>
    </xf>
    <xf numFmtId="0" fontId="35" fillId="8" borderId="14" xfId="0" applyFont="1" applyFill="1" applyBorder="1" applyAlignment="1" applyProtection="1">
      <alignment horizontal="left"/>
      <protection locked="0"/>
    </xf>
    <xf numFmtId="0" fontId="65" fillId="4" borderId="62" xfId="0" applyFont="1" applyFill="1" applyBorder="1" applyAlignment="1">
      <alignment horizontal="left" vertical="top" wrapText="1"/>
    </xf>
    <xf numFmtId="0" fontId="65" fillId="0" borderId="62" xfId="0" applyFont="1" applyBorder="1" applyAlignment="1">
      <alignment horizontal="left" vertical="top" wrapText="1"/>
    </xf>
    <xf numFmtId="0" fontId="65" fillId="0" borderId="66" xfId="0" applyFont="1" applyBorder="1" applyAlignment="1">
      <alignment horizontal="left" vertical="top" wrapText="1"/>
    </xf>
    <xf numFmtId="0" fontId="20" fillId="4" borderId="62" xfId="0" applyFont="1" applyFill="1" applyBorder="1" applyAlignment="1">
      <alignment horizontal="left" vertical="top" wrapText="1"/>
    </xf>
    <xf numFmtId="0" fontId="20" fillId="4" borderId="62" xfId="0" applyFont="1" applyFill="1" applyBorder="1" applyAlignment="1">
      <alignment horizontal="left" wrapText="1"/>
    </xf>
    <xf numFmtId="6" fontId="69" fillId="10" borderId="0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center" vertical="center" wrapText="1"/>
    </xf>
    <xf numFmtId="0" fontId="41" fillId="0" borderId="97" xfId="0" applyFont="1" applyBorder="1" applyAlignment="1">
      <alignment horizontal="center"/>
    </xf>
    <xf numFmtId="0" fontId="41" fillId="0" borderId="122" xfId="0" applyFont="1" applyBorder="1" applyAlignment="1">
      <alignment horizontal="center"/>
    </xf>
    <xf numFmtId="0" fontId="41" fillId="0" borderId="100" xfId="0" applyFont="1" applyBorder="1" applyAlignment="1">
      <alignment horizontal="center"/>
    </xf>
    <xf numFmtId="8" fontId="69" fillId="0" borderId="0" xfId="0" applyNumberFormat="1" applyFont="1" applyBorder="1" applyAlignment="1">
      <alignment horizontal="center" vertical="center"/>
    </xf>
    <xf numFmtId="8" fontId="69" fillId="10" borderId="0" xfId="0" applyNumberFormat="1" applyFont="1" applyFill="1" applyBorder="1" applyAlignment="1" applyProtection="1">
      <alignment horizontal="center" vertical="center"/>
      <protection locked="0"/>
    </xf>
    <xf numFmtId="0" fontId="69" fillId="0" borderId="0" xfId="0" applyFont="1" applyBorder="1" applyAlignment="1">
      <alignment horizontal="center" vertical="center" wrapText="1"/>
    </xf>
    <xf numFmtId="6" fontId="120" fillId="7" borderId="129" xfId="0" applyNumberFormat="1" applyFont="1" applyFill="1" applyBorder="1" applyAlignment="1">
      <alignment horizontal="center" vertical="center"/>
    </xf>
    <xf numFmtId="6" fontId="120" fillId="7" borderId="132" xfId="0" applyNumberFormat="1" applyFont="1" applyFill="1" applyBorder="1" applyAlignment="1">
      <alignment horizontal="center" vertical="center"/>
    </xf>
    <xf numFmtId="6" fontId="120" fillId="7" borderId="133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2" fillId="0" borderId="0" xfId="0" applyFont="1"/>
  </cellXfs>
  <cellStyles count="107">
    <cellStyle name="20% - Akzent1" xfId="18"/>
    <cellStyle name="20% - Akzent2" xfId="19"/>
    <cellStyle name="20% - Akzent3" xfId="20"/>
    <cellStyle name="20% - Akzent4" xfId="21"/>
    <cellStyle name="20% - Akzent5" xfId="22"/>
    <cellStyle name="20% - Akzent6" xfId="23"/>
    <cellStyle name="40% - Akzent1" xfId="24"/>
    <cellStyle name="40% - Akzent2" xfId="25"/>
    <cellStyle name="40% - Akzent3" xfId="26"/>
    <cellStyle name="40% - Akzent4" xfId="27"/>
    <cellStyle name="40% - Akzent5" xfId="28"/>
    <cellStyle name="40% - Akzent6" xfId="29"/>
    <cellStyle name="60% - Akzent1" xfId="30"/>
    <cellStyle name="60% - Akzent2" xfId="31"/>
    <cellStyle name="60% - Akzent3" xfId="32"/>
    <cellStyle name="60% - Akzent4" xfId="33"/>
    <cellStyle name="60% - Akzent5" xfId="34"/>
    <cellStyle name="60% - Akzent6" xfId="35"/>
    <cellStyle name="Akzent1 2" xfId="36"/>
    <cellStyle name="Akzent2 2" xfId="37"/>
    <cellStyle name="Akzent3" xfId="1" builtinId="37"/>
    <cellStyle name="Akzent3 2" xfId="38"/>
    <cellStyle name="Akzent4 2" xfId="39"/>
    <cellStyle name="Akzent5 2" xfId="40"/>
    <cellStyle name="Akzent6 2" xfId="41"/>
    <cellStyle name="Ausgabe 2" xfId="43"/>
    <cellStyle name="Ausgabe 3" xfId="42"/>
    <cellStyle name="Berechnung 2" xfId="45"/>
    <cellStyle name="Berechnung 3" xfId="44"/>
    <cellStyle name="Dezimal (2)" xfId="46"/>
    <cellStyle name="Dezimal [1]" xfId="47"/>
    <cellStyle name="Dezimal [1] 2" xfId="48"/>
    <cellStyle name="Dezimal [1] 2 2" xfId="49"/>
    <cellStyle name="Dezimal [1] 3" xfId="50"/>
    <cellStyle name="Eingabe 2" xfId="51"/>
    <cellStyle name="Ergebnis 2" xfId="52"/>
    <cellStyle name="Erklärender Text 2" xfId="53"/>
    <cellStyle name="Euro" xfId="2"/>
    <cellStyle name="Euro 2" xfId="54"/>
    <cellStyle name="Euro 2 2" xfId="55"/>
    <cellStyle name="Euro 3" xfId="56"/>
    <cellStyle name="Euro 4" xfId="57"/>
    <cellStyle name="Euro_Tabak_Kalkulation 2010 Auflagen 15_55_71_72_101116" xfId="58"/>
    <cellStyle name="europrom3" xfId="3"/>
    <cellStyle name="europrom3 2" xfId="59"/>
    <cellStyle name="gelb oR" xfId="4"/>
    <cellStyle name="gelb uR" xfId="5"/>
    <cellStyle name="gelbesEingabefeld" xfId="6"/>
    <cellStyle name="grau,gesperrt" xfId="7"/>
    <cellStyle name="grün,gesperrt" xfId="8"/>
    <cellStyle name="Gut 2" xfId="60"/>
    <cellStyle name="Hyperlink 2" xfId="10"/>
    <cellStyle name="Hyperlink 3" xfId="61"/>
    <cellStyle name="Komma" xfId="11" builtinId="3"/>
    <cellStyle name="Komma 2" xfId="62"/>
    <cellStyle name="Link" xfId="9" builtinId="8"/>
    <cellStyle name="Matrix" xfId="12"/>
    <cellStyle name="Matrix1" xfId="13"/>
    <cellStyle name="MatrixNr" xfId="63"/>
    <cellStyle name="Neutral 2" xfId="64"/>
    <cellStyle name="Notiz 2" xfId="65"/>
    <cellStyle name="Notiz 2 2" xfId="66"/>
    <cellStyle name="Notiz 3" xfId="67"/>
    <cellStyle name="Notiz 4" xfId="68"/>
    <cellStyle name="Prozent" xfId="14" builtinId="5"/>
    <cellStyle name="Prozent 2" xfId="69"/>
    <cellStyle name="Prozent 3" xfId="70"/>
    <cellStyle name="Schlecht 2" xfId="71"/>
    <cellStyle name="Spaltenüberschrift" xfId="72"/>
    <cellStyle name="Standard" xfId="0" builtinId="0"/>
    <cellStyle name="Standard 2" xfId="15"/>
    <cellStyle name="Standard 2 2" xfId="73"/>
    <cellStyle name="Standard 2 3" xfId="74"/>
    <cellStyle name="Standard 3" xfId="16"/>
    <cellStyle name="Standard 4" xfId="75"/>
    <cellStyle name="Standard 4 2" xfId="92"/>
    <cellStyle name="Standard 4 2 2" xfId="95"/>
    <cellStyle name="Standard 4 2 2 2" xfId="100"/>
    <cellStyle name="Standard 4 2 2 3" xfId="105"/>
    <cellStyle name="Standard 4 2 3" xfId="97"/>
    <cellStyle name="Standard 4 2 4" xfId="102"/>
    <cellStyle name="Standard 4 3" xfId="94"/>
    <cellStyle name="Standard 4 3 2" xfId="99"/>
    <cellStyle name="Standard 4 3 3" xfId="104"/>
    <cellStyle name="Standard 4 4" xfId="96"/>
    <cellStyle name="Standard 4 5" xfId="101"/>
    <cellStyle name="Standard 5" xfId="93"/>
    <cellStyle name="Standard 5 2" xfId="98"/>
    <cellStyle name="Standard 5 3" xfId="103"/>
    <cellStyle name="Standard neu" xfId="76"/>
    <cellStyle name="Standard_db" xfId="17"/>
    <cellStyle name="Stil 1" xfId="77"/>
    <cellStyle name="Text" xfId="78"/>
    <cellStyle name="Text 2" xfId="79"/>
    <cellStyle name="Text 2 2" xfId="80"/>
    <cellStyle name="Text 3" xfId="81"/>
    <cellStyle name="Überschrift 1 2" xfId="82"/>
    <cellStyle name="Überschrift 2 2" xfId="83"/>
    <cellStyle name="Überschrift 3 2" xfId="84"/>
    <cellStyle name="Überschrift 4 2" xfId="85"/>
    <cellStyle name="Überschrift 5" xfId="86"/>
    <cellStyle name="Verknüpfte Zelle 2" xfId="88"/>
    <cellStyle name="Verknüpfte Zelle 3" xfId="87"/>
    <cellStyle name="Währung" xfId="106" builtinId="4"/>
    <cellStyle name="Währung 2" xfId="89"/>
    <cellStyle name="Warnender Text 2" xfId="90"/>
    <cellStyle name="Zelle überprüfen 2" xfId="9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0F0F0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6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chartsheet" Target="chartsheets/sheet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hartsheet" Target="chartsheets/sheet1.xml"/><Relationship Id="rId14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Vollkosten</a:t>
            </a:r>
            <a:r>
              <a:rPr lang="de-DE" sz="26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1)</a:t>
            </a:r>
            <a:r>
              <a:rPr lang="de-DE" sz="2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wichtiger Futterbauverfahren 2021</a:t>
            </a:r>
            <a:endParaRPr lang="de-DE" sz="1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im Vergleich mit Vollkosten verschiedener Kraftfuttermittel</a:t>
            </a:r>
            <a:r>
              <a:rPr lang="de-DE" sz="1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2)</a:t>
            </a:r>
          </a:p>
        </c:rich>
      </c:tx>
      <c:layout>
        <c:manualLayout>
          <c:xMode val="edge"/>
          <c:yMode val="edge"/>
          <c:x val="0.22811712941564188"/>
          <c:y val="5.708896748432208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4079030257079E-2"/>
          <c:y val="0.1046622750757626"/>
          <c:w val="0.90487570613946433"/>
          <c:h val="0.6883185894507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'Grafik-(a)'!$A$32</c:f>
              <c:strCache>
                <c:ptCount val="1"/>
                <c:pt idx="0">
                  <c:v>Vollkosten abzgl. Ausgleichsleistungen u. Prämien aus Zahlungsansprüchen (ZA)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2E-44B0-B022-6643579B54FE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2E-44B0-B022-6643579B54FE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2E-44B0-B022-6643579B54F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2E-44B0-B022-6643579B54FE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9E3-4025-A607-60570A28D8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'Grafik-(a)'!$B$31:$S$31</c:f>
              <c:strCache>
                <c:ptCount val="18"/>
                <c:pt idx="0">
                  <c:v>Grünfütterung 4 Nutz. </c:v>
                </c:pt>
                <c:pt idx="1">
                  <c:v>Grasil. 4 Nutz </c:v>
                </c:pt>
                <c:pt idx="2">
                  <c:v>Grassil. 3 Nutz. LU</c:v>
                </c:pt>
                <c:pt idx="3">
                  <c:v>Grassil. 5 Nutz.</c:v>
                </c:pt>
                <c:pt idx="4">
                  <c:v>Standw. ext.</c:v>
                </c:pt>
                <c:pt idx="5">
                  <c:v>intensiv</c:v>
                </c:pt>
                <c:pt idx="6">
                  <c:v>Heu 3 Nutz.</c:v>
                </c:pt>
                <c:pt idx="7">
                  <c:v>Grascobs </c:v>
                </c:pt>
                <c:pt idx="8">
                  <c:v>Kleegras grün </c:v>
                </c:pt>
                <c:pt idx="9">
                  <c:v>Kleegras Silage LU</c:v>
                </c:pt>
                <c:pt idx="10">
                  <c:v>Zwisch.frucht Raps
 grün</c:v>
                </c:pt>
                <c:pt idx="11">
                  <c:v>Silomais intensiv</c:v>
                </c:pt>
                <c:pt idx="12">
                  <c:v>GPS Weizen</c:v>
                </c:pt>
                <c:pt idx="14">
                  <c:v>Futtergerste</c:v>
                </c:pt>
                <c:pt idx="15">
                  <c:v>MLF 14:3</c:v>
                </c:pt>
                <c:pt idx="16">
                  <c:v>MLF 18:3</c:v>
                </c:pt>
                <c:pt idx="17">
                  <c:v>MLF 20:4</c:v>
                </c:pt>
              </c:strCache>
            </c:strRef>
          </c:cat>
          <c:val>
            <c:numRef>
              <c:f>'Grafik-(a)'!$B$32:$S$32</c:f>
              <c:numCache>
                <c:formatCode>0.00</c:formatCode>
                <c:ptCount val="18"/>
                <c:pt idx="0">
                  <c:v>0.33676891480745774</c:v>
                </c:pt>
                <c:pt idx="1">
                  <c:v>0.48847902145439115</c:v>
                </c:pt>
                <c:pt idx="2">
                  <c:v>0.48013868533352216</c:v>
                </c:pt>
                <c:pt idx="3">
                  <c:v>0.44268918749600461</c:v>
                </c:pt>
                <c:pt idx="4">
                  <c:v>0.41312982643961721</c:v>
                </c:pt>
                <c:pt idx="5">
                  <c:v>0.34926243133055968</c:v>
                </c:pt>
                <c:pt idx="6">
                  <c:v>0.4976239487878798</c:v>
                </c:pt>
                <c:pt idx="7">
                  <c:v>0.62546186154475447</c:v>
                </c:pt>
                <c:pt idx="8">
                  <c:v>0.25684143961641381</c:v>
                </c:pt>
                <c:pt idx="9">
                  <c:v>0.3891120504814467</c:v>
                </c:pt>
                <c:pt idx="10">
                  <c:v>0.17353765038799251</c:v>
                </c:pt>
                <c:pt idx="11">
                  <c:v>0.3189531250874062</c:v>
                </c:pt>
                <c:pt idx="12">
                  <c:v>0.3633892071462087</c:v>
                </c:pt>
                <c:pt idx="14">
                  <c:v>0.44444444444444448</c:v>
                </c:pt>
                <c:pt idx="15">
                  <c:v>0.48805970149253741</c:v>
                </c:pt>
                <c:pt idx="16">
                  <c:v>0.5</c:v>
                </c:pt>
                <c:pt idx="17">
                  <c:v>0.52142857142857146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2E-44B0-B022-6643579B54FE}"/>
            </c:ext>
          </c:extLst>
        </c:ser>
        <c:ser>
          <c:idx val="1"/>
          <c:order val="1"/>
          <c:tx>
            <c:strRef>
              <c:f>'Grafik-(a)'!$A$33</c:f>
              <c:strCache>
                <c:ptCount val="1"/>
                <c:pt idx="0">
                  <c:v>Vollkosten abzgl. Ausgl.leist, Prämien aus ZA, Lohnansatz, Gebäude und Lagerraum</c:v>
                </c:pt>
              </c:strCache>
            </c:strRef>
          </c:tx>
          <c:spPr>
            <a:solidFill>
              <a:srgbClr val="3333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3333CC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'Grafik-(a)'!$B$31:$S$31</c:f>
              <c:strCache>
                <c:ptCount val="18"/>
                <c:pt idx="0">
                  <c:v>Grünfütterung 4 Nutz. </c:v>
                </c:pt>
                <c:pt idx="1">
                  <c:v>Grasil. 4 Nutz </c:v>
                </c:pt>
                <c:pt idx="2">
                  <c:v>Grassil. 3 Nutz. LU</c:v>
                </c:pt>
                <c:pt idx="3">
                  <c:v>Grassil. 5 Nutz.</c:v>
                </c:pt>
                <c:pt idx="4">
                  <c:v>Standw. ext.</c:v>
                </c:pt>
                <c:pt idx="5">
                  <c:v>intensiv</c:v>
                </c:pt>
                <c:pt idx="6">
                  <c:v>Heu 3 Nutz.</c:v>
                </c:pt>
                <c:pt idx="7">
                  <c:v>Grascobs </c:v>
                </c:pt>
                <c:pt idx="8">
                  <c:v>Kleegras grün </c:v>
                </c:pt>
                <c:pt idx="9">
                  <c:v>Kleegras Silage LU</c:v>
                </c:pt>
                <c:pt idx="10">
                  <c:v>Zwisch.frucht Raps
 grün</c:v>
                </c:pt>
                <c:pt idx="11">
                  <c:v>Silomais intensiv</c:v>
                </c:pt>
                <c:pt idx="12">
                  <c:v>GPS Weizen</c:v>
                </c:pt>
                <c:pt idx="14">
                  <c:v>Futtergerste</c:v>
                </c:pt>
                <c:pt idx="15">
                  <c:v>MLF 14:3</c:v>
                </c:pt>
                <c:pt idx="16">
                  <c:v>MLF 18:3</c:v>
                </c:pt>
                <c:pt idx="17">
                  <c:v>MLF 20:4</c:v>
                </c:pt>
              </c:strCache>
            </c:strRef>
          </c:cat>
          <c:val>
            <c:numRef>
              <c:f>'Grafik-(a)'!$B$33:$N$33</c:f>
            </c:numRef>
          </c:val>
          <c:extLst>
            <c:ext xmlns:c16="http://schemas.microsoft.com/office/drawing/2014/chart" uri="{C3380CC4-5D6E-409C-BE32-E72D297353CC}">
              <c16:uniqueId val="{00000009-642E-44B0-B022-6643579B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169636224"/>
        <c:axId val="169637760"/>
      </c:barChart>
      <c:catAx>
        <c:axId val="1696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637760"/>
        <c:crosses val="autoZero"/>
        <c:auto val="0"/>
        <c:lblAlgn val="ctr"/>
        <c:lblOffset val="100"/>
        <c:noMultiLvlLbl val="0"/>
      </c:catAx>
      <c:valAx>
        <c:axId val="1696377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€/10 MJ NEL</a:t>
                </a:r>
              </a:p>
            </c:rich>
          </c:tx>
          <c:layout>
            <c:manualLayout>
              <c:xMode val="edge"/>
              <c:yMode val="edge"/>
              <c:x val="5.2026045245859603E-2"/>
              <c:y val="6.279724099075119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636224"/>
        <c:crosses val="autoZero"/>
        <c:crossBetween val="between"/>
        <c:majorUnit val="0.05"/>
      </c:valAx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Footer>&amp;LLEL Schwäbisch Gmünd, Abtlg II
LVVG Aulendorf&amp;Z
&amp;R&amp;D
11a</c:oddFooter>
    </c:headerFooter>
    <c:pageMargins b="0.984251969" l="0.78740157499999996" r="0.3" t="0.984251969" header="0.4921259845" footer="0.492125984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Vollkosten</a:t>
            </a:r>
            <a:r>
              <a:rPr lang="de-DE" sz="2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1)</a:t>
            </a:r>
            <a:r>
              <a:rPr lang="de-DE" sz="2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wichtiger pflanzliche Substrate für Biogasanlagen</a:t>
            </a:r>
            <a:r>
              <a:rPr lang="de-DE" sz="2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2)</a:t>
            </a:r>
            <a:r>
              <a:rPr lang="de-DE" sz="2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2021</a:t>
            </a:r>
          </a:p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 sz="2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 sz="2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3378267193342978"/>
          <c:y val="2.71800356619174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362941457995429E-2"/>
          <c:y val="0.14050400892533549"/>
          <c:w val="0.92428222000505367"/>
          <c:h val="0.52131832277124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'Grafik-(b)'!$C$27:$K$27</c:f>
              <c:strCache>
                <c:ptCount val="9"/>
                <c:pt idx="0">
                  <c:v>Silomais Biogas ex Silo</c:v>
                </c:pt>
                <c:pt idx="1">
                  <c:v>GPS Tritic. Biogas ex Silo</c:v>
                </c:pt>
                <c:pt idx="2">
                  <c:v>Kleegrassilage Biogas ex Silo</c:v>
                </c:pt>
                <c:pt idx="3">
                  <c:v>Grassil. Biogas ex Silo</c:v>
                </c:pt>
                <c:pt idx="4">
                  <c:v>Grünroggensil. Vorfrucht Biogas ex Silo</c:v>
                </c:pt>
                <c:pt idx="5">
                  <c:v>Grünroggen ZWF + Silomais HF Biogas ex Silo</c:v>
                </c:pt>
                <c:pt idx="6">
                  <c:v>GPS+Sudangras ex Silo</c:v>
                </c:pt>
                <c:pt idx="7">
                  <c:v>Zuckerhirse Hauptfrucht ex Silo</c:v>
                </c:pt>
                <c:pt idx="8">
                  <c:v>Durchw. Silphie ex Silo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B0-4A2F-8FF5-018C9CDB22C1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B0-4A2F-8FF5-018C9CDB22C1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B0-4A2F-8FF5-018C9CDB22C1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B0-4A2F-8FF5-018C9CDB2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'Grafik-(b)'!$C$27:$N$27</c:f>
              <c:strCache>
                <c:ptCount val="8"/>
                <c:pt idx="0">
                  <c:v>Silomais Biogas ex Silo</c:v>
                </c:pt>
                <c:pt idx="1">
                  <c:v>GPS Tritic. Biogas ex Silo</c:v>
                </c:pt>
                <c:pt idx="2">
                  <c:v>Kleegrassilage Biogas ex Silo</c:v>
                </c:pt>
                <c:pt idx="3">
                  <c:v>Grassil. Biogas ex Silo</c:v>
                </c:pt>
                <c:pt idx="4">
                  <c:v>Grünroggensil. Vorfrucht Biogas ex Silo</c:v>
                </c:pt>
                <c:pt idx="5">
                  <c:v>Grünroggen ZWF + Silomais HF Biogas ex Silo</c:v>
                </c:pt>
                <c:pt idx="6">
                  <c:v>Zuckerhirse Hauptfrucht ex Silo</c:v>
                </c:pt>
                <c:pt idx="7">
                  <c:v>Durchw. Silphie ex Silo</c:v>
                </c:pt>
              </c:strCache>
            </c:strRef>
          </c:cat>
          <c:val>
            <c:numRef>
              <c:f>'Grafik-(b)'!$C$28:$K$28</c:f>
              <c:numCache>
                <c:formatCode>0.00</c:formatCode>
                <c:ptCount val="8"/>
                <c:pt idx="0">
                  <c:v>0.59707093777009557</c:v>
                </c:pt>
                <c:pt idx="1">
                  <c:v>0.65371105563243137</c:v>
                </c:pt>
                <c:pt idx="2">
                  <c:v>0.76332629797986884</c:v>
                </c:pt>
                <c:pt idx="3">
                  <c:v>0.71732005354156259</c:v>
                </c:pt>
                <c:pt idx="4">
                  <c:v>0.48125348723930644</c:v>
                </c:pt>
                <c:pt idx="5">
                  <c:v>0.59916186104614377</c:v>
                </c:pt>
                <c:pt idx="6">
                  <c:v>0.7093859881692326</c:v>
                </c:pt>
                <c:pt idx="7">
                  <c:v>0.73154526572134904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B0-4A2F-8FF5-018C9CDB22C1}"/>
            </c:ext>
          </c:extLst>
        </c:ser>
        <c:ser>
          <c:idx val="1"/>
          <c:order val="1"/>
          <c:tx>
            <c:strRef>
              <c:f>'Grafik-(b)'!$B$29</c:f>
              <c:strCache>
                <c:ptCount val="1"/>
                <c:pt idx="0">
                  <c:v>Vollkosten abzgl. Ausgl.leist, Prämien aus ZA, Lohnansatz, Gebäude und Lagerraum</c:v>
                </c:pt>
              </c:strCache>
            </c:strRef>
          </c:tx>
          <c:spPr>
            <a:solidFill>
              <a:srgbClr val="3333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3333CC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'Grafik-(b)'!$C$27:$N$27</c:f>
              <c:strCache>
                <c:ptCount val="8"/>
                <c:pt idx="0">
                  <c:v>Silomais Biogas ex Silo</c:v>
                </c:pt>
                <c:pt idx="1">
                  <c:v>GPS Tritic. Biogas ex Silo</c:v>
                </c:pt>
                <c:pt idx="2">
                  <c:v>Kleegrassilage Biogas ex Silo</c:v>
                </c:pt>
                <c:pt idx="3">
                  <c:v>Grassil. Biogas ex Silo</c:v>
                </c:pt>
                <c:pt idx="4">
                  <c:v>Grünroggensil. Vorfrucht Biogas ex Silo</c:v>
                </c:pt>
                <c:pt idx="5">
                  <c:v>Grünroggen ZWF + Silomais HF Biogas ex Silo</c:v>
                </c:pt>
                <c:pt idx="6">
                  <c:v>Zuckerhirse Hauptfrucht ex Silo</c:v>
                </c:pt>
                <c:pt idx="7">
                  <c:v>Durchw. Silphie ex Silo</c:v>
                </c:pt>
              </c:strCache>
            </c:strRef>
          </c:cat>
          <c:val>
            <c:numRef>
              <c:f>'Grafik-(b)'!$C$29:$N$29</c:f>
            </c:numRef>
          </c:val>
          <c:extLst>
            <c:ext xmlns:c16="http://schemas.microsoft.com/office/drawing/2014/chart" uri="{C3380CC4-5D6E-409C-BE32-E72D297353CC}">
              <c16:uniqueId val="{00000009-15B0-4A2F-8FF5-018C9CDB2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172500096"/>
        <c:axId val="172501632"/>
      </c:barChart>
      <c:catAx>
        <c:axId val="17250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50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2501632"/>
        <c:scaling>
          <c:orientation val="minMax"/>
          <c:min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€/m³ Methan</a:t>
                </a:r>
              </a:p>
            </c:rich>
          </c:tx>
          <c:layout>
            <c:manualLayout>
              <c:xMode val="edge"/>
              <c:yMode val="edge"/>
              <c:x val="5.1174911163758934E-2"/>
              <c:y val="8.624038413183267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500096"/>
        <c:crosses val="autoZero"/>
        <c:crossBetween val="between"/>
        <c:majorUnit val="0.1"/>
      </c:valAx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Footer>&amp;LLEL Schwäbisch Gmünd, Abtlg II
LVVG Aulendorf&amp;Z
&amp;R&amp;D
11b</c:oddFooter>
    </c:headerFooter>
    <c:pageMargins b="0.984251969" l="0.78740157499999996" r="0.3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Vollkosten</a:t>
            </a:r>
            <a:r>
              <a:rPr lang="de-DE" sz="16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1)</a:t>
            </a:r>
            <a:r>
              <a:rPr lang="de-DE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Biogaskoferment Silomais je ha nach Silo (vor Fermenter)</a:t>
            </a:r>
            <a:endParaRPr lang="de-DE" sz="2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 Abhängigkeit vom Ertragsniveau</a:t>
            </a:r>
          </a:p>
        </c:rich>
      </c:tx>
      <c:layout>
        <c:manualLayout>
          <c:xMode val="edge"/>
          <c:yMode val="edge"/>
          <c:x val="0.1083333379010576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8718381112984822"/>
          <c:w val="0.56562500000000004"/>
          <c:h val="0.563237774030354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'28)Silomais Biogas ex Silo (b)'!$D$27</c:f>
              <c:strCache>
                <c:ptCount val="1"/>
                <c:pt idx="0">
                  <c:v>Summe variable Kosten (Summe Z.14 bis Z.21)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(b)'!$M$27:$O$27</c:f>
              <c:numCache>
                <c:formatCode>#,##0\ </c:formatCode>
                <c:ptCount val="3"/>
                <c:pt idx="0">
                  <c:v>1124.3356796239054</c:v>
                </c:pt>
                <c:pt idx="1">
                  <c:v>1241.7298631327099</c:v>
                </c:pt>
                <c:pt idx="2">
                  <c:v>1358.8556699272581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E-49E7-982D-5CB1A96978AF}"/>
            </c:ext>
          </c:extLst>
        </c:ser>
        <c:ser>
          <c:idx val="1"/>
          <c:order val="1"/>
          <c:tx>
            <c:strRef>
              <c:f>'28)Silomais Biogas ex Silo (b)'!$E$30</c:f>
              <c:strCache>
                <c:ptCount val="1"/>
                <c:pt idx="0">
                  <c:v>Zinsansatz Umlaufvermögen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(b)'!$M$30:$O$30</c:f>
              <c:numCache>
                <c:formatCode>#,##0\ \ </c:formatCode>
                <c:ptCount val="3"/>
                <c:pt idx="0">
                  <c:v>7.0270979976494088</c:v>
                </c:pt>
                <c:pt idx="1">
                  <c:v>7.7608116445794364</c:v>
                </c:pt>
                <c:pt idx="2">
                  <c:v>8.4928479370453616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E-49E7-982D-5CB1A96978AF}"/>
            </c:ext>
          </c:extLst>
        </c:ser>
        <c:ser>
          <c:idx val="2"/>
          <c:order val="2"/>
          <c:tx>
            <c:strRef>
              <c:f>'28)Silomais Biogas ex Silo (b)'!$E$37</c:f>
              <c:strCache>
                <c:ptCount val="1"/>
                <c:pt idx="0">
                  <c:v>Lohnansatz (für ständige AK)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(b)'!$M$37:$O$37</c:f>
              <c:numCache>
                <c:formatCode>#,##0\ \ </c:formatCode>
                <c:ptCount val="3"/>
                <c:pt idx="0">
                  <c:v>361.49399999999997</c:v>
                </c:pt>
                <c:pt idx="1">
                  <c:v>406.20300000000003</c:v>
                </c:pt>
                <c:pt idx="2">
                  <c:v>436.34499999999997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4E-49E7-982D-5CB1A96978AF}"/>
            </c:ext>
          </c:extLst>
        </c:ser>
        <c:ser>
          <c:idx val="4"/>
          <c:order val="3"/>
          <c:tx>
            <c:strRef>
              <c:f>'28)Silomais Biogas ex Silo (b)'!$E$39</c:f>
              <c:strCache>
                <c:ptCount val="1"/>
                <c:pt idx="0">
                  <c:v>Feste Maschinenkosten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(b)'!$M$39:$O$39</c:f>
              <c:numCache>
                <c:formatCode>#,##0\ \ </c:formatCode>
                <c:ptCount val="3"/>
                <c:pt idx="0">
                  <c:v>474.92314405092588</c:v>
                </c:pt>
                <c:pt idx="1">
                  <c:v>474.92314405092588</c:v>
                </c:pt>
                <c:pt idx="2">
                  <c:v>474.92314405092588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E-49E7-982D-5CB1A96978AF}"/>
            </c:ext>
          </c:extLst>
        </c:ser>
        <c:ser>
          <c:idx val="5"/>
          <c:order val="4"/>
          <c:tx>
            <c:strRef>
              <c:f>'28)Silomais Biogas ex Silo (b)'!$E$40</c:f>
              <c:strCache>
                <c:ptCount val="1"/>
                <c:pt idx="0">
                  <c:v>Feste Gebäudekosten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(b)'!$M$40:$O$40</c:f>
              <c:numCache>
                <c:formatCode>#,##0\ \ </c:formatCode>
                <c:ptCount val="3"/>
                <c:pt idx="0">
                  <c:v>69.02</c:v>
                </c:pt>
                <c:pt idx="1">
                  <c:v>69.02</c:v>
                </c:pt>
                <c:pt idx="2">
                  <c:v>69.02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4E-49E7-982D-5CB1A96978AF}"/>
            </c:ext>
          </c:extLst>
        </c:ser>
        <c:ser>
          <c:idx val="6"/>
          <c:order val="5"/>
          <c:tx>
            <c:strRef>
              <c:f>'28)Silomais Biogas ex Silo (b)'!$E$41</c:f>
              <c:strCache>
                <c:ptCount val="1"/>
                <c:pt idx="0">
                  <c:v>Kosten für Fläche und Zahlungsanspruch (Pachtansatz)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(b)'!$M$41:$O$41</c:f>
              <c:numCache>
                <c:formatCode>#,##0\ \ </c:formatCode>
                <c:ptCount val="3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4E-49E7-982D-5CB1A96978AF}"/>
            </c:ext>
          </c:extLst>
        </c:ser>
        <c:ser>
          <c:idx val="7"/>
          <c:order val="6"/>
          <c:tx>
            <c:strRef>
              <c:f>'28)Silomais Biogas ex Silo (b)'!$E$42</c:f>
              <c:strCache>
                <c:ptCount val="1"/>
                <c:pt idx="0">
                  <c:v>sonstige Festkosten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(b)'!$M$42:$O$42</c:f>
              <c:numCache>
                <c:formatCode>#,##0\ \ </c:formatCode>
                <c:ptCount val="3"/>
                <c:pt idx="0">
                  <c:v>128.80000000000001</c:v>
                </c:pt>
                <c:pt idx="1">
                  <c:v>128.80000000000001</c:v>
                </c:pt>
                <c:pt idx="2">
                  <c:v>128.80000000000001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4E-49E7-982D-5CB1A969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479616"/>
        <c:axId val="154490368"/>
      </c:barChart>
      <c:lineChart>
        <c:grouping val="standard"/>
        <c:varyColors val="0"/>
        <c:ser>
          <c:idx val="8"/>
          <c:order val="7"/>
          <c:tx>
            <c:v>€/t TM abzgl. Prämien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'28)Silomais Biogas ex Silo (b)'!$M$75:$O$75</c:f>
              <c:numCache>
                <c:formatCode>0\ "€/t TM"</c:formatCode>
                <c:ptCount val="3"/>
                <c:pt idx="0">
                  <c:v>218.88676619902537</c:v>
                </c:pt>
                <c:pt idx="1">
                  <c:v>191.0627000864306</c:v>
                </c:pt>
                <c:pt idx="2">
                  <c:v>171.62795126923106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4E-49E7-982D-5CB1A969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92288"/>
        <c:axId val="154498176"/>
      </c:lineChart>
      <c:catAx>
        <c:axId val="15447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Ertrag in t TM netto einsiliert je ha</a:t>
                </a:r>
              </a:p>
            </c:rich>
          </c:tx>
          <c:layout>
            <c:manualLayout>
              <c:xMode val="edge"/>
              <c:yMode val="edge"/>
              <c:x val="0.18333332419788478"/>
              <c:y val="0.822934159809974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49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903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Vollkosten (€/ha)</a:t>
                </a:r>
              </a:p>
            </c:rich>
          </c:tx>
          <c:layout>
            <c:manualLayout>
              <c:xMode val="edge"/>
              <c:yMode val="edge"/>
              <c:x val="0"/>
              <c:y val="0.106239539550642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479616"/>
        <c:crosses val="autoZero"/>
        <c:crossBetween val="between"/>
      </c:valAx>
      <c:catAx>
        <c:axId val="15449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54498176"/>
        <c:crosses val="autoZero"/>
        <c:auto val="1"/>
        <c:lblAlgn val="ctr"/>
        <c:lblOffset val="100"/>
        <c:noMultiLvlLbl val="0"/>
      </c:catAx>
      <c:valAx>
        <c:axId val="154498176"/>
        <c:scaling>
          <c:orientation val="minMax"/>
          <c:max val="160"/>
          <c:min val="0"/>
        </c:scaling>
        <c:delete val="0"/>
        <c:axPos val="r"/>
        <c:numFmt formatCode="0\ &quot;€/t TM&quot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492288"/>
        <c:crosses val="max"/>
        <c:crossBetween val="between"/>
        <c:majorUnit val="2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</c:legendEntry>
      <c:layout>
        <c:manualLayout>
          <c:xMode val="edge"/>
          <c:yMode val="edge"/>
          <c:x val="0.72185431334771255"/>
          <c:y val="0.18989265891289644"/>
          <c:w val="0.2762535525475569"/>
          <c:h val="0.54058184815476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Vergleich der Vollkosten verschiedener Maisprodukte</a:t>
            </a:r>
          </a:p>
        </c:rich>
      </c:tx>
      <c:layout>
        <c:manualLayout>
          <c:xMode val="edge"/>
          <c:yMode val="edge"/>
          <c:x val="0.1437499986316926"/>
          <c:y val="1.68283928858124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5E-2"/>
          <c:y val="0.20033670033670034"/>
          <c:w val="0.81874999999999998"/>
          <c:h val="0.698653198653198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'Vergleich Maisprodukte'!$A$17:$B$17</c:f>
              <c:strCache>
                <c:ptCount val="2"/>
                <c:pt idx="0">
                  <c:v>Vollkosten nach Prämien aus ZA</c:v>
                </c:pt>
                <c:pt idx="1">
                  <c:v>€/ha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\ \€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'Vergleich Maisprodukte'!$C$3:$F$3</c:f>
              <c:strCache>
                <c:ptCount val="4"/>
                <c:pt idx="0">
                  <c:v>Silomais intensiv</c:v>
                </c:pt>
                <c:pt idx="1">
                  <c:v>Mais LKS</c:v>
                </c:pt>
                <c:pt idx="2">
                  <c:v>Mais CCM</c:v>
                </c:pt>
                <c:pt idx="3">
                  <c:v>Feuchtmais</c:v>
                </c:pt>
              </c:strCache>
            </c:strRef>
          </c:cat>
          <c:val>
            <c:numRef>
              <c:f>'Vergleich Maisprodukte'!$C$17:$F$17</c:f>
              <c:numCache>
                <c:formatCode>#,##0</c:formatCode>
                <c:ptCount val="4"/>
                <c:pt idx="0">
                  <c:v>2841.7670899975105</c:v>
                </c:pt>
                <c:pt idx="1">
                  <c:v>2321.1063186678366</c:v>
                </c:pt>
                <c:pt idx="2">
                  <c:v>2036.6016344935947</c:v>
                </c:pt>
                <c:pt idx="3">
                  <c:v>2300.6822789144803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7-4102-9E7B-2716ADC42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81696"/>
        <c:axId val="157991680"/>
      </c:barChart>
      <c:lineChart>
        <c:grouping val="standard"/>
        <c:varyColors val="0"/>
        <c:ser>
          <c:idx val="0"/>
          <c:order val="1"/>
          <c:tx>
            <c:strRef>
              <c:f>'Vergleich Maisprodukte'!$A$20:$B$20</c:f>
              <c:strCache>
                <c:ptCount val="2"/>
                <c:pt idx="0">
                  <c:v>Vollkosten nach Prämien aus ZA</c:v>
                </c:pt>
                <c:pt idx="1">
                  <c:v>€/10 MJ NEL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'Vergleich Maisprodukte'!$C$3:$F$3</c:f>
              <c:strCache>
                <c:ptCount val="4"/>
                <c:pt idx="0">
                  <c:v>Silomais intensiv</c:v>
                </c:pt>
                <c:pt idx="1">
                  <c:v>Mais LKS</c:v>
                </c:pt>
                <c:pt idx="2">
                  <c:v>Mais CCM</c:v>
                </c:pt>
                <c:pt idx="3">
                  <c:v>Feuchtmais</c:v>
                </c:pt>
              </c:strCache>
            </c:strRef>
          </c:cat>
          <c:val>
            <c:numRef>
              <c:f>'Vergleich Maisprodukte'!$C$20:$F$20</c:f>
              <c:numCache>
                <c:formatCode>0.00</c:formatCode>
                <c:ptCount val="4"/>
                <c:pt idx="0">
                  <c:v>0.3189531250874062</c:v>
                </c:pt>
                <c:pt idx="1">
                  <c:v>0.29296503622677261</c:v>
                </c:pt>
                <c:pt idx="2">
                  <c:v>0.25720658846582251</c:v>
                </c:pt>
                <c:pt idx="3">
                  <c:v>0.30247181324282207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7-4102-9E7B-2716ADC42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93600"/>
        <c:axId val="157999488"/>
      </c:lineChart>
      <c:catAx>
        <c:axId val="157981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91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991680"/>
        <c:scaling>
          <c:orientation val="minMax"/>
          <c:max val="3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€/ha</a:t>
                </a:r>
              </a:p>
            </c:rich>
          </c:tx>
          <c:layout>
            <c:manualLayout>
              <c:xMode val="edge"/>
              <c:yMode val="edge"/>
              <c:x val="4.3750042417529923E-2"/>
              <c:y val="0.134679948503162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81696"/>
        <c:crosses val="autoZero"/>
        <c:crossBetween val="between"/>
      </c:valAx>
      <c:catAx>
        <c:axId val="15799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99488"/>
        <c:crossesAt val="0.2"/>
        <c:auto val="0"/>
        <c:lblAlgn val="ctr"/>
        <c:lblOffset val="100"/>
        <c:noMultiLvlLbl val="0"/>
      </c:catAx>
      <c:valAx>
        <c:axId val="157999488"/>
        <c:scaling>
          <c:orientation val="minMax"/>
          <c:max val="0.28000000000000003"/>
          <c:min val="0.1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€/Energieeinheit (10 MJ NEL)</a:t>
                </a:r>
              </a:p>
            </c:rich>
          </c:tx>
          <c:layout>
            <c:manualLayout>
              <c:xMode val="edge"/>
              <c:yMode val="edge"/>
              <c:x val="0.80621997523035183"/>
              <c:y val="0.10437799575174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93600"/>
        <c:crosses val="max"/>
        <c:crossBetween val="between"/>
        <c:majorUnit val="0.02"/>
      </c:valAx>
      <c:spPr>
        <a:gradFill rotWithShape="0">
          <a:gsLst>
            <a:gs pos="0">
              <a:srgbClr val="FFFF99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51751882298416"/>
          <c:y val="8.5626561160140335E-2"/>
          <c:w val="0.5184135865701831"/>
          <c:h val="9.17438108762445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m146"/>
  <sheetViews>
    <sheetView zoomScale="94" workbookViewId="0"/>
  </sheetViews>
  <sheetProtection content="1" objects="1"/>
  <pageMargins left="0.78740157480314965" right="0.78740157480314965" top="0.98425196850393704" bottom="0.98425196850393704" header="0.51181102362204722" footer="0.51181102362204722"/>
  <pageSetup paperSize="9" firstPageNumber="149" orientation="landscape" horizontalDpi="1200" verticalDpi="1200" r:id="rId1"/>
  <headerFooter alignWithMargins="0">
    <oddHeader>&amp;A</oddHeader>
    <oddFooter>&amp;LLEL Schwäb. Gmünd, Abt. II&amp;C134&amp;R&amp;F   &amp;A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m148"/>
  <sheetViews>
    <sheetView zoomScale="88" workbookViewId="0"/>
  </sheetViews>
  <sheetProtection content="1" objects="1"/>
  <pageMargins left="0.78740157480314965" right="0.78740157480314965" top="0.98425196850393704" bottom="0.98425196850393704" header="0.51181102362204722" footer="0.51181102362204722"/>
  <pageSetup paperSize="9" firstPageNumber="148" orientation="landscape" useFirstPageNumber="1" r:id="rId1"/>
  <headerFooter alignWithMargins="0">
    <oddHeader>&amp;A</oddHeader>
    <oddFooter>&amp;LLEL Schwäb. Gmünd, Abt. II&amp;C135&amp;R&amp;F   &amp;A</oddFooter>
  </headerFooter>
  <drawing r:id="rId2"/>
</chartsheet>
</file>

<file path=xl/ctrlProps/ctrlProp1.xml><?xml version="1.0" encoding="utf-8"?>
<formControlPr xmlns="http://schemas.microsoft.com/office/spreadsheetml/2009/9/main" objectType="Drop" dropLines="3" dropStyle="combo" dx="17" fmlaLink="V8" fmlaRange="$T$9:$T$10" noThreeD="1" sel="1" val="0"/>
</file>

<file path=xl/ctrlProps/ctrlProp10.xml><?xml version="1.0" encoding="utf-8"?>
<formControlPr xmlns="http://schemas.microsoft.com/office/spreadsheetml/2009/9/main" objectType="Drop" dropLines="10" dropStyle="combo" dx="17" fmlaLink="$B$49" fmlaRange="Arbeitsgänge!$C$27:$C$80" noThreeD="1" sel="9" val="7"/>
</file>

<file path=xl/ctrlProps/ctrlProp100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1000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01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002.xml><?xml version="1.0" encoding="utf-8"?>
<formControlPr xmlns="http://schemas.microsoft.com/office/spreadsheetml/2009/9/main" objectType="Drop" dropLines="10" dropStyle="combo" dx="17" fmlaLink="$B$47" fmlaRange="Arbeitsgänge!$C$27:$C$80" noThreeD="1" sel="15" val="6"/>
</file>

<file path=xl/ctrlProps/ctrlProp1003.xml><?xml version="1.0" encoding="utf-8"?>
<formControlPr xmlns="http://schemas.microsoft.com/office/spreadsheetml/2009/9/main" objectType="Drop" dropLines="10" dropStyle="combo" dx="17" fmlaLink="$B$48" fmlaRange="Arbeitsgänge!$C$27:$C$80" noThreeD="1" sel="16" val="14"/>
</file>

<file path=xl/ctrlProps/ctrlProp1004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1005.xml><?xml version="1.0" encoding="utf-8"?>
<formControlPr xmlns="http://schemas.microsoft.com/office/spreadsheetml/2009/9/main" objectType="Drop" dropLines="10" dropStyle="combo" dx="17" fmlaLink="$B$50" fmlaRange="Arbeitsgänge!$C$27:$C$80" noThreeD="1" sel="7" val="2"/>
</file>

<file path=xl/ctrlProps/ctrlProp1006.xml><?xml version="1.0" encoding="utf-8"?>
<formControlPr xmlns="http://schemas.microsoft.com/office/spreadsheetml/2009/9/main" objectType="Drop" dropLines="10" dropStyle="combo" dx="17" fmlaLink="$B$51" fmlaRange="Arbeitsgänge!$C$27:$C$80" noThreeD="1" sel="22" val="12"/>
</file>

<file path=xl/ctrlProps/ctrlProp1007.xml><?xml version="1.0" encoding="utf-8"?>
<formControlPr xmlns="http://schemas.microsoft.com/office/spreadsheetml/2009/9/main" objectType="Drop" dropLines="10" dropStyle="combo" dx="17" fmlaLink="$B$52" fmlaRange="Arbeitsgänge!$C$27:$C$80" noThreeD="1" sel="23" val="20"/>
</file>

<file path=xl/ctrlProps/ctrlProp1008.xml><?xml version="1.0" encoding="utf-8"?>
<formControlPr xmlns="http://schemas.microsoft.com/office/spreadsheetml/2009/9/main" objectType="Drop" dropLines="10" dropStyle="combo" dx="17" fmlaLink="$B$53" fmlaRange="Arbeitsgänge!$C$27:$C$80" noThreeD="1" sel="0" val="20"/>
</file>

<file path=xl/ctrlProps/ctrlProp1009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01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010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11.xml><?xml version="1.0" encoding="utf-8"?>
<formControlPr xmlns="http://schemas.microsoft.com/office/spreadsheetml/2009/9/main" objectType="CheckBox" checked="Checked" fmlaLink="$R$10" lockText="1" noThreeD="1"/>
</file>

<file path=xl/ctrlProps/ctrlProp1012.xml><?xml version="1.0" encoding="utf-8"?>
<formControlPr xmlns="http://schemas.microsoft.com/office/spreadsheetml/2009/9/main" objectType="CheckBox" fmlaLink="$R$19" lockText="1" noThreeD="1"/>
</file>

<file path=xl/ctrlProps/ctrlProp1013.xml><?xml version="1.0" encoding="utf-8"?>
<formControlPr xmlns="http://schemas.microsoft.com/office/spreadsheetml/2009/9/main" objectType="CheckBox" fmlaLink="$R$20" lockText="1" noThreeD="1"/>
</file>

<file path=xl/ctrlProps/ctrlProp1014.xml><?xml version="1.0" encoding="utf-8"?>
<formControlPr xmlns="http://schemas.microsoft.com/office/spreadsheetml/2009/9/main" objectType="CheckBox" fmlaLink="$R$21" lockText="1" noThreeD="1"/>
</file>

<file path=xl/ctrlProps/ctrlProp1015.xml><?xml version="1.0" encoding="utf-8"?>
<formControlPr xmlns="http://schemas.microsoft.com/office/spreadsheetml/2009/9/main" objectType="CheckBox" fmlaLink="$R$22" lockText="1" noThreeD="1"/>
</file>

<file path=xl/ctrlProps/ctrlProp1016.xml><?xml version="1.0" encoding="utf-8"?>
<formControlPr xmlns="http://schemas.microsoft.com/office/spreadsheetml/2009/9/main" objectType="CheckBox" fmlaLink="$R$23" lockText="1" noThreeD="1"/>
</file>

<file path=xl/ctrlProps/ctrlProp1017.xml><?xml version="1.0" encoding="utf-8"?>
<formControlPr xmlns="http://schemas.microsoft.com/office/spreadsheetml/2009/9/main" objectType="CheckBox" fmlaLink="$U$19" lockText="1" noThreeD="1"/>
</file>

<file path=xl/ctrlProps/ctrlProp1018.xml><?xml version="1.0" encoding="utf-8"?>
<formControlPr xmlns="http://schemas.microsoft.com/office/spreadsheetml/2009/9/main" objectType="CheckBox" fmlaLink="$U$20" lockText="1" noThreeD="1"/>
</file>

<file path=xl/ctrlProps/ctrlProp1019.xml><?xml version="1.0" encoding="utf-8"?>
<formControlPr xmlns="http://schemas.microsoft.com/office/spreadsheetml/2009/9/main" objectType="CheckBox" fmlaLink="$U$21" lockText="1" noThreeD="1"/>
</file>

<file path=xl/ctrlProps/ctrlProp10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020.xml><?xml version="1.0" encoding="utf-8"?>
<formControlPr xmlns="http://schemas.microsoft.com/office/spreadsheetml/2009/9/main" objectType="CheckBox" fmlaLink="$U$22" lockText="1" noThreeD="1"/>
</file>

<file path=xl/ctrlProps/ctrlProp1021.xml><?xml version="1.0" encoding="utf-8"?>
<formControlPr xmlns="http://schemas.microsoft.com/office/spreadsheetml/2009/9/main" objectType="CheckBox" fmlaLink="$U$23" lockText="1" noThreeD="1"/>
</file>

<file path=xl/ctrlProps/ctrlProp1022.xml><?xml version="1.0" encoding="utf-8"?>
<formControlPr xmlns="http://schemas.microsoft.com/office/spreadsheetml/2009/9/main" objectType="CheckBox" fmlaLink="$X$19" lockText="1" noThreeD="1"/>
</file>

<file path=xl/ctrlProps/ctrlProp1023.xml><?xml version="1.0" encoding="utf-8"?>
<formControlPr xmlns="http://schemas.microsoft.com/office/spreadsheetml/2009/9/main" objectType="CheckBox" fmlaLink="$X$20" lockText="1" noThreeD="1"/>
</file>

<file path=xl/ctrlProps/ctrlProp1024.xml><?xml version="1.0" encoding="utf-8"?>
<formControlPr xmlns="http://schemas.microsoft.com/office/spreadsheetml/2009/9/main" objectType="CheckBox" fmlaLink="$X$21" lockText="1" noThreeD="1"/>
</file>

<file path=xl/ctrlProps/ctrlProp1025.xml><?xml version="1.0" encoding="utf-8"?>
<formControlPr xmlns="http://schemas.microsoft.com/office/spreadsheetml/2009/9/main" objectType="CheckBox" fmlaLink="$X$22" lockText="1" noThreeD="1"/>
</file>

<file path=xl/ctrlProps/ctrlProp1026.xml><?xml version="1.0" encoding="utf-8"?>
<formControlPr xmlns="http://schemas.microsoft.com/office/spreadsheetml/2009/9/main" objectType="CheckBox" fmlaLink="$X$23" lockText="1" noThreeD="1"/>
</file>

<file path=xl/ctrlProps/ctrlProp1027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2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029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103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030.xml><?xml version="1.0" encoding="utf-8"?>
<formControlPr xmlns="http://schemas.microsoft.com/office/spreadsheetml/2009/9/main" objectType="Drop" dropLines="10" dropStyle="combo" dx="17" fmlaLink="$B$48" fmlaRange="Arbeitsgänge!$C$27:$C$80" noThreeD="1" sel="15" val="9"/>
</file>

<file path=xl/ctrlProps/ctrlProp1031.xml><?xml version="1.0" encoding="utf-8"?>
<formControlPr xmlns="http://schemas.microsoft.com/office/spreadsheetml/2009/9/main" objectType="Drop" dropLines="10" dropStyle="combo" dx="17" fmlaLink="$B$49" fmlaRange="Arbeitsgänge!$C$27:$C$80" noThreeD="1" sel="16" val="19"/>
</file>

<file path=xl/ctrlProps/ctrlProp1032.xml><?xml version="1.0" encoding="utf-8"?>
<formControlPr xmlns="http://schemas.microsoft.com/office/spreadsheetml/2009/9/main" objectType="Drop" dropLines="10" dropStyle="combo" dx="17" fmlaLink="$B$50" fmlaRange="Arbeitsgänge!$C$27:$C$80" noThreeD="1" sel="0" val="0"/>
</file>

<file path=xl/ctrlProps/ctrlProp1033.xml><?xml version="1.0" encoding="utf-8"?>
<formControlPr xmlns="http://schemas.microsoft.com/office/spreadsheetml/2009/9/main" objectType="Drop" dropLines="10" dropStyle="combo" dx="17" fmlaLink="$B$51" fmlaRange="Arbeitsgänge!$C$27:$C$80" noThreeD="1" sel="0" val="43"/>
</file>

<file path=xl/ctrlProps/ctrlProp1034.xml><?xml version="1.0" encoding="utf-8"?>
<formControlPr xmlns="http://schemas.microsoft.com/office/spreadsheetml/2009/9/main" objectType="Drop" dropLines="10" dropStyle="combo" dx="17" fmlaLink="$B$52" fmlaRange="Arbeitsgänge!$C$27:$C$80" noThreeD="1" sel="0" val="34"/>
</file>

<file path=xl/ctrlProps/ctrlProp1035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1036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03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38.xml><?xml version="1.0" encoding="utf-8"?>
<formControlPr xmlns="http://schemas.microsoft.com/office/spreadsheetml/2009/9/main" objectType="CheckBox" fmlaLink="$R$10" lockText="1" noThreeD="1"/>
</file>

<file path=xl/ctrlProps/ctrlProp1039.xml><?xml version="1.0" encoding="utf-8"?>
<formControlPr xmlns="http://schemas.microsoft.com/office/spreadsheetml/2009/9/main" objectType="CheckBox" fmlaLink="$R$19" lockText="1" noThreeD="1"/>
</file>

<file path=xl/ctrlProps/ctrlProp104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1040.xml><?xml version="1.0" encoding="utf-8"?>
<formControlPr xmlns="http://schemas.microsoft.com/office/spreadsheetml/2009/9/main" objectType="CheckBox" fmlaLink="$R$19" lockText="1" noThreeD="1"/>
</file>

<file path=xl/ctrlProps/ctrlProp1041.xml><?xml version="1.0" encoding="utf-8"?>
<formControlPr xmlns="http://schemas.microsoft.com/office/spreadsheetml/2009/9/main" objectType="CheckBox" fmlaLink="$R$19" lockText="1" noThreeD="1"/>
</file>

<file path=xl/ctrlProps/ctrlProp1042.xml><?xml version="1.0" encoding="utf-8"?>
<formControlPr xmlns="http://schemas.microsoft.com/office/spreadsheetml/2009/9/main" objectType="CheckBox" fmlaLink="$R$20" lockText="1" noThreeD="1"/>
</file>

<file path=xl/ctrlProps/ctrlProp1043.xml><?xml version="1.0" encoding="utf-8"?>
<formControlPr xmlns="http://schemas.microsoft.com/office/spreadsheetml/2009/9/main" objectType="CheckBox" fmlaLink="$R$21" lockText="1" noThreeD="1"/>
</file>

<file path=xl/ctrlProps/ctrlProp1044.xml><?xml version="1.0" encoding="utf-8"?>
<formControlPr xmlns="http://schemas.microsoft.com/office/spreadsheetml/2009/9/main" objectType="CheckBox" fmlaLink="$R$22" lockText="1" noThreeD="1"/>
</file>

<file path=xl/ctrlProps/ctrlProp1045.xml><?xml version="1.0" encoding="utf-8"?>
<formControlPr xmlns="http://schemas.microsoft.com/office/spreadsheetml/2009/9/main" objectType="CheckBox" fmlaLink="$R$23" lockText="1" noThreeD="1"/>
</file>

<file path=xl/ctrlProps/ctrlProp1046.xml><?xml version="1.0" encoding="utf-8"?>
<formControlPr xmlns="http://schemas.microsoft.com/office/spreadsheetml/2009/9/main" objectType="CheckBox" fmlaLink="$U$19" lockText="1" noThreeD="1"/>
</file>

<file path=xl/ctrlProps/ctrlProp1047.xml><?xml version="1.0" encoding="utf-8"?>
<formControlPr xmlns="http://schemas.microsoft.com/office/spreadsheetml/2009/9/main" objectType="CheckBox" fmlaLink="$U$20" lockText="1" noThreeD="1"/>
</file>

<file path=xl/ctrlProps/ctrlProp1048.xml><?xml version="1.0" encoding="utf-8"?>
<formControlPr xmlns="http://schemas.microsoft.com/office/spreadsheetml/2009/9/main" objectType="CheckBox" fmlaLink="$U$21" lockText="1" noThreeD="1"/>
</file>

<file path=xl/ctrlProps/ctrlProp1049.xml><?xml version="1.0" encoding="utf-8"?>
<formControlPr xmlns="http://schemas.microsoft.com/office/spreadsheetml/2009/9/main" objectType="CheckBox" fmlaLink="$U$22" lockText="1" noThreeD="1"/>
</file>

<file path=xl/ctrlProps/ctrlProp105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1050.xml><?xml version="1.0" encoding="utf-8"?>
<formControlPr xmlns="http://schemas.microsoft.com/office/spreadsheetml/2009/9/main" objectType="CheckBox" fmlaLink="$U$23" lockText="1" noThreeD="1"/>
</file>

<file path=xl/ctrlProps/ctrlProp1051.xml><?xml version="1.0" encoding="utf-8"?>
<formControlPr xmlns="http://schemas.microsoft.com/office/spreadsheetml/2009/9/main" objectType="CheckBox" fmlaLink="$X$19" lockText="1" noThreeD="1"/>
</file>

<file path=xl/ctrlProps/ctrlProp1052.xml><?xml version="1.0" encoding="utf-8"?>
<formControlPr xmlns="http://schemas.microsoft.com/office/spreadsheetml/2009/9/main" objectType="CheckBox" fmlaLink="$X$20" lockText="1" noThreeD="1"/>
</file>

<file path=xl/ctrlProps/ctrlProp1053.xml><?xml version="1.0" encoding="utf-8"?>
<formControlPr xmlns="http://schemas.microsoft.com/office/spreadsheetml/2009/9/main" objectType="CheckBox" fmlaLink="$X$21" lockText="1" noThreeD="1"/>
</file>

<file path=xl/ctrlProps/ctrlProp1054.xml><?xml version="1.0" encoding="utf-8"?>
<formControlPr xmlns="http://schemas.microsoft.com/office/spreadsheetml/2009/9/main" objectType="CheckBox" fmlaLink="$X$22" lockText="1" noThreeD="1"/>
</file>

<file path=xl/ctrlProps/ctrlProp1055.xml><?xml version="1.0" encoding="utf-8"?>
<formControlPr xmlns="http://schemas.microsoft.com/office/spreadsheetml/2009/9/main" objectType="CheckBox" fmlaLink="$X$23" lockText="1" noThreeD="1"/>
</file>

<file path=xl/ctrlProps/ctrlProp105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5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058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1059.xml><?xml version="1.0" encoding="utf-8"?>
<formControlPr xmlns="http://schemas.microsoft.com/office/spreadsheetml/2009/9/main" objectType="Drop" dropLines="10" dropStyle="combo" dx="17" fmlaLink="$B$48" fmlaRange="Arbeitsgänge!$C$27:$C$80" noThreeD="1" sel="15" val="9"/>
</file>

<file path=xl/ctrlProps/ctrlProp106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1060.xml><?xml version="1.0" encoding="utf-8"?>
<formControlPr xmlns="http://schemas.microsoft.com/office/spreadsheetml/2009/9/main" objectType="Drop" dropLines="10" dropStyle="combo" dx="17" fmlaLink="$B$49" fmlaRange="Arbeitsgänge!$C$27:$C$80" noThreeD="1" sel="16" val="19"/>
</file>

<file path=xl/ctrlProps/ctrlProp1061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1062.xml><?xml version="1.0" encoding="utf-8"?>
<formControlPr xmlns="http://schemas.microsoft.com/office/spreadsheetml/2009/9/main" objectType="Drop" dropLines="10" dropStyle="combo" dx="17" fmlaLink="$B$51" fmlaRange="Arbeitsgänge!$C$27:$C$80" noThreeD="1" sel="23" val="0"/>
</file>

<file path=xl/ctrlProps/ctrlProp1063.xml><?xml version="1.0" encoding="utf-8"?>
<formControlPr xmlns="http://schemas.microsoft.com/office/spreadsheetml/2009/9/main" objectType="Drop" dropLines="10" dropStyle="combo" dx="17" fmlaLink="$B$52" fmlaRange="Arbeitsgänge!$C$27:$C$80" noThreeD="1" sel="0" val="34"/>
</file>

<file path=xl/ctrlProps/ctrlProp1064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1065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066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67.xml><?xml version="1.0" encoding="utf-8"?>
<formControlPr xmlns="http://schemas.microsoft.com/office/spreadsheetml/2009/9/main" objectType="CheckBox" checked="Checked" fmlaLink="$R$10" lockText="1" noThreeD="1"/>
</file>

<file path=xl/ctrlProps/ctrlProp1068.xml><?xml version="1.0" encoding="utf-8"?>
<formControlPr xmlns="http://schemas.microsoft.com/office/spreadsheetml/2009/9/main" objectType="CheckBox" fmlaLink="$R$19" lockText="1" noThreeD="1"/>
</file>

<file path=xl/ctrlProps/ctrlProp1069.xml><?xml version="1.0" encoding="utf-8"?>
<formControlPr xmlns="http://schemas.microsoft.com/office/spreadsheetml/2009/9/main" objectType="CheckBox" fmlaLink="$R$19" lockText="1" noThreeD="1"/>
</file>

<file path=xl/ctrlProps/ctrlProp107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1070.xml><?xml version="1.0" encoding="utf-8"?>
<formControlPr xmlns="http://schemas.microsoft.com/office/spreadsheetml/2009/9/main" objectType="CheckBox" fmlaLink="$R$19" lockText="1" noThreeD="1"/>
</file>

<file path=xl/ctrlProps/ctrlProp1071.xml><?xml version="1.0" encoding="utf-8"?>
<formControlPr xmlns="http://schemas.microsoft.com/office/spreadsheetml/2009/9/main" objectType="CheckBox" fmlaLink="$R$20" lockText="1" noThreeD="1"/>
</file>

<file path=xl/ctrlProps/ctrlProp1072.xml><?xml version="1.0" encoding="utf-8"?>
<formControlPr xmlns="http://schemas.microsoft.com/office/spreadsheetml/2009/9/main" objectType="CheckBox" fmlaLink="$R$21" lockText="1" noThreeD="1"/>
</file>

<file path=xl/ctrlProps/ctrlProp1073.xml><?xml version="1.0" encoding="utf-8"?>
<formControlPr xmlns="http://schemas.microsoft.com/office/spreadsheetml/2009/9/main" objectType="CheckBox" fmlaLink="$R$22" lockText="1" noThreeD="1"/>
</file>

<file path=xl/ctrlProps/ctrlProp1074.xml><?xml version="1.0" encoding="utf-8"?>
<formControlPr xmlns="http://schemas.microsoft.com/office/spreadsheetml/2009/9/main" objectType="CheckBox" fmlaLink="$R$23" lockText="1" noThreeD="1"/>
</file>

<file path=xl/ctrlProps/ctrlProp1075.xml><?xml version="1.0" encoding="utf-8"?>
<formControlPr xmlns="http://schemas.microsoft.com/office/spreadsheetml/2009/9/main" objectType="CheckBox" fmlaLink="$U$19" lockText="1" noThreeD="1"/>
</file>

<file path=xl/ctrlProps/ctrlProp1076.xml><?xml version="1.0" encoding="utf-8"?>
<formControlPr xmlns="http://schemas.microsoft.com/office/spreadsheetml/2009/9/main" objectType="CheckBox" fmlaLink="$U$20" lockText="1" noThreeD="1"/>
</file>

<file path=xl/ctrlProps/ctrlProp1077.xml><?xml version="1.0" encoding="utf-8"?>
<formControlPr xmlns="http://schemas.microsoft.com/office/spreadsheetml/2009/9/main" objectType="CheckBox" fmlaLink="$U$21" lockText="1" noThreeD="1"/>
</file>

<file path=xl/ctrlProps/ctrlProp1078.xml><?xml version="1.0" encoding="utf-8"?>
<formControlPr xmlns="http://schemas.microsoft.com/office/spreadsheetml/2009/9/main" objectType="CheckBox" fmlaLink="$U$22" lockText="1" noThreeD="1"/>
</file>

<file path=xl/ctrlProps/ctrlProp1079.xml><?xml version="1.0" encoding="utf-8"?>
<formControlPr xmlns="http://schemas.microsoft.com/office/spreadsheetml/2009/9/main" objectType="CheckBox" fmlaLink="$U$23" lockText="1" noThreeD="1"/>
</file>

<file path=xl/ctrlProps/ctrlProp108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1080.xml><?xml version="1.0" encoding="utf-8"?>
<formControlPr xmlns="http://schemas.microsoft.com/office/spreadsheetml/2009/9/main" objectType="CheckBox" fmlaLink="$X$19" lockText="1" noThreeD="1"/>
</file>

<file path=xl/ctrlProps/ctrlProp1081.xml><?xml version="1.0" encoding="utf-8"?>
<formControlPr xmlns="http://schemas.microsoft.com/office/spreadsheetml/2009/9/main" objectType="CheckBox" fmlaLink="$X$20" lockText="1" noThreeD="1"/>
</file>

<file path=xl/ctrlProps/ctrlProp1082.xml><?xml version="1.0" encoding="utf-8"?>
<formControlPr xmlns="http://schemas.microsoft.com/office/spreadsheetml/2009/9/main" objectType="CheckBox" fmlaLink="$X$21" lockText="1" noThreeD="1"/>
</file>

<file path=xl/ctrlProps/ctrlProp1083.xml><?xml version="1.0" encoding="utf-8"?>
<formControlPr xmlns="http://schemas.microsoft.com/office/spreadsheetml/2009/9/main" objectType="CheckBox" fmlaLink="$X$22" lockText="1" noThreeD="1"/>
</file>

<file path=xl/ctrlProps/ctrlProp1084.xml><?xml version="1.0" encoding="utf-8"?>
<formControlPr xmlns="http://schemas.microsoft.com/office/spreadsheetml/2009/9/main" objectType="CheckBox" fmlaLink="$X$23" lockText="1" noThreeD="1"/>
</file>

<file path=xl/ctrlProps/ctrlProp1085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86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087.xml><?xml version="1.0" encoding="utf-8"?>
<formControlPr xmlns="http://schemas.microsoft.com/office/spreadsheetml/2009/9/main" objectType="Drop" dropLines="10" dropStyle="combo" dx="17" fmlaLink="$B$47" fmlaRange="Arbeitsgänge!$C$27:$C$80" noThreeD="1" sel="15" val="0"/>
</file>

<file path=xl/ctrlProps/ctrlProp1088.xml><?xml version="1.0" encoding="utf-8"?>
<formControlPr xmlns="http://schemas.microsoft.com/office/spreadsheetml/2009/9/main" objectType="Drop" dropLines="10" dropStyle="combo" dx="17" fmlaLink="$B$48" fmlaRange="Arbeitsgänge!$C$27:$C$80" noThreeD="1" sel="16" val="9"/>
</file>

<file path=xl/ctrlProps/ctrlProp1089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109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090.xml><?xml version="1.0" encoding="utf-8"?>
<formControlPr xmlns="http://schemas.microsoft.com/office/spreadsheetml/2009/9/main" objectType="Drop" dropLines="10" dropStyle="combo" dx="17" fmlaLink="$B$50" fmlaRange="Arbeitsgänge!$C$27:$C$80" noThreeD="1" sel="7" val="0"/>
</file>

<file path=xl/ctrlProps/ctrlProp1091.xml><?xml version="1.0" encoding="utf-8"?>
<formControlPr xmlns="http://schemas.microsoft.com/office/spreadsheetml/2009/9/main" objectType="Drop" dropLines="10" dropStyle="combo" dx="17" fmlaLink="$B$51" fmlaRange="Arbeitsgänge!$C$27:$C$80" noThreeD="1" sel="0" val="9"/>
</file>

<file path=xl/ctrlProps/ctrlProp1092.xml><?xml version="1.0" encoding="utf-8"?>
<formControlPr xmlns="http://schemas.microsoft.com/office/spreadsheetml/2009/9/main" objectType="Drop" dropLines="10" dropStyle="combo" dx="17" fmlaLink="$B$52" fmlaRange="Arbeitsgänge!$C$27:$C$80" noThreeD="1" sel="0" val="15"/>
</file>

<file path=xl/ctrlProps/ctrlProp1093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1094.xml><?xml version="1.0" encoding="utf-8"?>
<formControlPr xmlns="http://schemas.microsoft.com/office/spreadsheetml/2009/9/main" objectType="Drop" dropLines="10" dropStyle="combo" dx="17" fmlaLink="$B$54" fmlaRange="Arbeitsgänge!$C$27:$C$80" noThreeD="1" sel="0" val="20"/>
</file>

<file path=xl/ctrlProps/ctrlProp1095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96.xml><?xml version="1.0" encoding="utf-8"?>
<formControlPr xmlns="http://schemas.microsoft.com/office/spreadsheetml/2009/9/main" objectType="CheckBox" fmlaLink="$R$10" lockText="1" noThreeD="1"/>
</file>

<file path=xl/ctrlProps/ctrlProp1097.xml><?xml version="1.0" encoding="utf-8"?>
<formControlPr xmlns="http://schemas.microsoft.com/office/spreadsheetml/2009/9/main" objectType="CheckBox" fmlaLink="$R$19" lockText="1" noThreeD="1"/>
</file>

<file path=xl/ctrlProps/ctrlProp1098.xml><?xml version="1.0" encoding="utf-8"?>
<formControlPr xmlns="http://schemas.microsoft.com/office/spreadsheetml/2009/9/main" objectType="CheckBox" fmlaLink="$R$20" lockText="1" noThreeD="1"/>
</file>

<file path=xl/ctrlProps/ctrlProp1099.xml><?xml version="1.0" encoding="utf-8"?>
<formControlPr xmlns="http://schemas.microsoft.com/office/spreadsheetml/2009/9/main" objectType="CheckBox" fmlaLink="$R$21" lockText="1" noThreeD="1"/>
</file>

<file path=xl/ctrlProps/ctrlProp11.xml><?xml version="1.0" encoding="utf-8"?>
<formControlPr xmlns="http://schemas.microsoft.com/office/spreadsheetml/2009/9/main" objectType="Drop" dropLines="10" dropStyle="combo" dx="17" fmlaLink="$B$50" fmlaRange="Arbeitsgänge!$C$27:$C$80" noThreeD="1" sel="34" val="33"/>
</file>

<file path=xl/ctrlProps/ctrlProp110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100.xml><?xml version="1.0" encoding="utf-8"?>
<formControlPr xmlns="http://schemas.microsoft.com/office/spreadsheetml/2009/9/main" objectType="CheckBox" fmlaLink="$R$22" lockText="1" noThreeD="1"/>
</file>

<file path=xl/ctrlProps/ctrlProp1101.xml><?xml version="1.0" encoding="utf-8"?>
<formControlPr xmlns="http://schemas.microsoft.com/office/spreadsheetml/2009/9/main" objectType="CheckBox" fmlaLink="$R$23" lockText="1" noThreeD="1"/>
</file>

<file path=xl/ctrlProps/ctrlProp1102.xml><?xml version="1.0" encoding="utf-8"?>
<formControlPr xmlns="http://schemas.microsoft.com/office/spreadsheetml/2009/9/main" objectType="CheckBox" fmlaLink="$U$19" lockText="1" noThreeD="1"/>
</file>

<file path=xl/ctrlProps/ctrlProp1103.xml><?xml version="1.0" encoding="utf-8"?>
<formControlPr xmlns="http://schemas.microsoft.com/office/spreadsheetml/2009/9/main" objectType="CheckBox" fmlaLink="$U$20" lockText="1" noThreeD="1"/>
</file>

<file path=xl/ctrlProps/ctrlProp1104.xml><?xml version="1.0" encoding="utf-8"?>
<formControlPr xmlns="http://schemas.microsoft.com/office/spreadsheetml/2009/9/main" objectType="CheckBox" fmlaLink="$U$21" lockText="1" noThreeD="1"/>
</file>

<file path=xl/ctrlProps/ctrlProp1105.xml><?xml version="1.0" encoding="utf-8"?>
<formControlPr xmlns="http://schemas.microsoft.com/office/spreadsheetml/2009/9/main" objectType="CheckBox" fmlaLink="$U$22" lockText="1" noThreeD="1"/>
</file>

<file path=xl/ctrlProps/ctrlProp1106.xml><?xml version="1.0" encoding="utf-8"?>
<formControlPr xmlns="http://schemas.microsoft.com/office/spreadsheetml/2009/9/main" objectType="CheckBox" fmlaLink="$U$23" lockText="1" noThreeD="1"/>
</file>

<file path=xl/ctrlProps/ctrlProp1107.xml><?xml version="1.0" encoding="utf-8"?>
<formControlPr xmlns="http://schemas.microsoft.com/office/spreadsheetml/2009/9/main" objectType="CheckBox" fmlaLink="$X$19" lockText="1" noThreeD="1"/>
</file>

<file path=xl/ctrlProps/ctrlProp1108.xml><?xml version="1.0" encoding="utf-8"?>
<formControlPr xmlns="http://schemas.microsoft.com/office/spreadsheetml/2009/9/main" objectType="CheckBox" fmlaLink="$X$20" lockText="1" noThreeD="1"/>
</file>

<file path=xl/ctrlProps/ctrlProp1109.xml><?xml version="1.0" encoding="utf-8"?>
<formControlPr xmlns="http://schemas.microsoft.com/office/spreadsheetml/2009/9/main" objectType="CheckBox" fmlaLink="$X$21" lockText="1" noThreeD="1"/>
</file>

<file path=xl/ctrlProps/ctrlProp111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1110.xml><?xml version="1.0" encoding="utf-8"?>
<formControlPr xmlns="http://schemas.microsoft.com/office/spreadsheetml/2009/9/main" objectType="CheckBox" fmlaLink="$X$22" lockText="1" noThreeD="1"/>
</file>

<file path=xl/ctrlProps/ctrlProp1111.xml><?xml version="1.0" encoding="utf-8"?>
<formControlPr xmlns="http://schemas.microsoft.com/office/spreadsheetml/2009/9/main" objectType="CheckBox" fmlaLink="$X$23" lockText="1" noThreeD="1"/>
</file>

<file path=xl/ctrlProps/ctrlProp111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13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114.xml><?xml version="1.0" encoding="utf-8"?>
<formControlPr xmlns="http://schemas.microsoft.com/office/spreadsheetml/2009/9/main" objectType="Drop" dropLines="10" dropStyle="combo" dx="17" fmlaLink="$B$47" fmlaRange="Arbeitsgänge!$C$27:$C$80" noThreeD="1" sel="15" val="0"/>
</file>

<file path=xl/ctrlProps/ctrlProp1115.xml><?xml version="1.0" encoding="utf-8"?>
<formControlPr xmlns="http://schemas.microsoft.com/office/spreadsheetml/2009/9/main" objectType="Drop" dropLines="10" dropStyle="combo" dx="17" fmlaLink="$B$48" fmlaRange="Arbeitsgänge!$C$27:$C$80" noThreeD="1" sel="16" val="9"/>
</file>

<file path=xl/ctrlProps/ctrlProp1116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1117.xml><?xml version="1.0" encoding="utf-8"?>
<formControlPr xmlns="http://schemas.microsoft.com/office/spreadsheetml/2009/9/main" objectType="Drop" dropLines="10" dropStyle="combo" dx="17" fmlaLink="$B$50" fmlaRange="Arbeitsgänge!$C$27:$C$80" noThreeD="1" sel="7" val="0"/>
</file>

<file path=xl/ctrlProps/ctrlProp1118.xml><?xml version="1.0" encoding="utf-8"?>
<formControlPr xmlns="http://schemas.microsoft.com/office/spreadsheetml/2009/9/main" objectType="Drop" dropLines="10" dropStyle="combo" dx="17" fmlaLink="$B$51" fmlaRange="Arbeitsgänge!$C$27:$C$80" noThreeD="1" sel="22" val="19"/>
</file>

<file path=xl/ctrlProps/ctrlProp1119.xml><?xml version="1.0" encoding="utf-8"?>
<formControlPr xmlns="http://schemas.microsoft.com/office/spreadsheetml/2009/9/main" objectType="Drop" dropLines="10" dropStyle="combo" dx="17" fmlaLink="$B$52" fmlaRange="Arbeitsgänge!$C$27:$C$80" noThreeD="1" sel="23" val="15"/>
</file>

<file path=xl/ctrlProps/ctrlProp112.xml><?xml version="1.0" encoding="utf-8"?>
<formControlPr xmlns="http://schemas.microsoft.com/office/spreadsheetml/2009/9/main" objectType="Drop" dropLines="10" dropStyle="combo" dx="17" fmlaLink="$B$49" fmlaRange="Arbeitsgänge!$C$27:$C$80" noThreeD="1" sel="29" val="26"/>
</file>

<file path=xl/ctrlProps/ctrlProp1120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112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122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123.xml><?xml version="1.0" encoding="utf-8"?>
<formControlPr xmlns="http://schemas.microsoft.com/office/spreadsheetml/2009/9/main" objectType="CheckBox" checked="Checked" fmlaLink="$R$10" lockText="1" noThreeD="1"/>
</file>

<file path=xl/ctrlProps/ctrlProp1124.xml><?xml version="1.0" encoding="utf-8"?>
<formControlPr xmlns="http://schemas.microsoft.com/office/spreadsheetml/2009/9/main" objectType="CheckBox" fmlaLink="$R$19" lockText="1" noThreeD="1"/>
</file>

<file path=xl/ctrlProps/ctrlProp1125.xml><?xml version="1.0" encoding="utf-8"?>
<formControlPr xmlns="http://schemas.microsoft.com/office/spreadsheetml/2009/9/main" objectType="CheckBox" fmlaLink="$R$20" lockText="1" noThreeD="1"/>
</file>

<file path=xl/ctrlProps/ctrlProp1126.xml><?xml version="1.0" encoding="utf-8"?>
<formControlPr xmlns="http://schemas.microsoft.com/office/spreadsheetml/2009/9/main" objectType="CheckBox" fmlaLink="$R$21" lockText="1" noThreeD="1"/>
</file>

<file path=xl/ctrlProps/ctrlProp1127.xml><?xml version="1.0" encoding="utf-8"?>
<formControlPr xmlns="http://schemas.microsoft.com/office/spreadsheetml/2009/9/main" objectType="CheckBox" fmlaLink="$R$22" lockText="1" noThreeD="1"/>
</file>

<file path=xl/ctrlProps/ctrlProp1128.xml><?xml version="1.0" encoding="utf-8"?>
<formControlPr xmlns="http://schemas.microsoft.com/office/spreadsheetml/2009/9/main" objectType="CheckBox" fmlaLink="$R$23" lockText="1" noThreeD="1"/>
</file>

<file path=xl/ctrlProps/ctrlProp1129.xml><?xml version="1.0" encoding="utf-8"?>
<formControlPr xmlns="http://schemas.microsoft.com/office/spreadsheetml/2009/9/main" objectType="CheckBox" fmlaLink="$U$19" lockText="1" noThreeD="1"/>
</file>

<file path=xl/ctrlProps/ctrlProp113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1130.xml><?xml version="1.0" encoding="utf-8"?>
<formControlPr xmlns="http://schemas.microsoft.com/office/spreadsheetml/2009/9/main" objectType="CheckBox" fmlaLink="$U$20" lockText="1" noThreeD="1"/>
</file>

<file path=xl/ctrlProps/ctrlProp1131.xml><?xml version="1.0" encoding="utf-8"?>
<formControlPr xmlns="http://schemas.microsoft.com/office/spreadsheetml/2009/9/main" objectType="CheckBox" fmlaLink="$U$21" lockText="1" noThreeD="1"/>
</file>

<file path=xl/ctrlProps/ctrlProp1132.xml><?xml version="1.0" encoding="utf-8"?>
<formControlPr xmlns="http://schemas.microsoft.com/office/spreadsheetml/2009/9/main" objectType="CheckBox" fmlaLink="$U$22" lockText="1" noThreeD="1"/>
</file>

<file path=xl/ctrlProps/ctrlProp1133.xml><?xml version="1.0" encoding="utf-8"?>
<formControlPr xmlns="http://schemas.microsoft.com/office/spreadsheetml/2009/9/main" objectType="CheckBox" fmlaLink="$U$23" lockText="1" noThreeD="1"/>
</file>

<file path=xl/ctrlProps/ctrlProp1134.xml><?xml version="1.0" encoding="utf-8"?>
<formControlPr xmlns="http://schemas.microsoft.com/office/spreadsheetml/2009/9/main" objectType="CheckBox" fmlaLink="$X$19" lockText="1" noThreeD="1"/>
</file>

<file path=xl/ctrlProps/ctrlProp1135.xml><?xml version="1.0" encoding="utf-8"?>
<formControlPr xmlns="http://schemas.microsoft.com/office/spreadsheetml/2009/9/main" objectType="CheckBox" fmlaLink="$X$20" lockText="1" noThreeD="1"/>
</file>

<file path=xl/ctrlProps/ctrlProp1136.xml><?xml version="1.0" encoding="utf-8"?>
<formControlPr xmlns="http://schemas.microsoft.com/office/spreadsheetml/2009/9/main" objectType="CheckBox" fmlaLink="$X$21" lockText="1" noThreeD="1"/>
</file>

<file path=xl/ctrlProps/ctrlProp1137.xml><?xml version="1.0" encoding="utf-8"?>
<formControlPr xmlns="http://schemas.microsoft.com/office/spreadsheetml/2009/9/main" objectType="CheckBox" fmlaLink="$X$22" lockText="1" noThreeD="1"/>
</file>

<file path=xl/ctrlProps/ctrlProp1138.xml><?xml version="1.0" encoding="utf-8"?>
<formControlPr xmlns="http://schemas.microsoft.com/office/spreadsheetml/2009/9/main" objectType="CheckBox" fmlaLink="$X$23" lockText="1" noThreeD="1"/>
</file>

<file path=xl/ctrlProps/ctrlProp1139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4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14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141.xml><?xml version="1.0" encoding="utf-8"?>
<formControlPr xmlns="http://schemas.microsoft.com/office/spreadsheetml/2009/9/main" objectType="Drop" dropLines="10" dropStyle="combo" dx="17" fmlaLink="$B$47" fmlaRange="Arbeitsgänge!$C$27:$C$80" noThreeD="1" sel="3" val="7"/>
</file>

<file path=xl/ctrlProps/ctrlProp1142.xml><?xml version="1.0" encoding="utf-8"?>
<formControlPr xmlns="http://schemas.microsoft.com/office/spreadsheetml/2009/9/main" objectType="Drop" dropLines="10" dropStyle="combo" dx="17" fmlaLink="$B$48" fmlaRange="Arbeitsgänge!$C$27:$C$80" noThreeD="1" sel="12" val="9"/>
</file>

<file path=xl/ctrlProps/ctrlProp1143.xml><?xml version="1.0" encoding="utf-8"?>
<formControlPr xmlns="http://schemas.microsoft.com/office/spreadsheetml/2009/9/main" objectType="Drop" dropLines="10" dropStyle="combo" dx="17" fmlaLink="$B$49" fmlaRange="Arbeitsgänge!$C$27:$C$80" noThreeD="1" sel="15" val="12"/>
</file>

<file path=xl/ctrlProps/ctrlProp1144.xml><?xml version="1.0" encoding="utf-8"?>
<formControlPr xmlns="http://schemas.microsoft.com/office/spreadsheetml/2009/9/main" objectType="Drop" dropLines="10" dropStyle="combo" dx="17" fmlaLink="$B$50" fmlaRange="Arbeitsgänge!$C$27:$C$80" noThreeD="1" sel="16" val="18"/>
</file>

<file path=xl/ctrlProps/ctrlProp1145.xml><?xml version="1.0" encoding="utf-8"?>
<formControlPr xmlns="http://schemas.microsoft.com/office/spreadsheetml/2009/9/main" objectType="Drop" dropLines="10" dropStyle="combo" dx="17" fmlaLink="$B$51" fmlaRange="Arbeitsgänge!$C$27:$C$80" noThreeD="1" sel="46" val="44"/>
</file>

<file path=xl/ctrlProps/ctrlProp1146.xml><?xml version="1.0" encoding="utf-8"?>
<formControlPr xmlns="http://schemas.microsoft.com/office/spreadsheetml/2009/9/main" objectType="Drop" dropLines="10" dropStyle="combo" dx="17" fmlaLink="$B$52" fmlaRange="Arbeitsgänge!$C$27:$C$80" noThreeD="1" sel="47" val="44"/>
</file>

<file path=xl/ctrlProps/ctrlProp1147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1148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14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15.xml><?xml version="1.0" encoding="utf-8"?>
<formControlPr xmlns="http://schemas.microsoft.com/office/spreadsheetml/2009/9/main" objectType="Drop" dropLines="10" dropStyle="combo" dx="17" fmlaLink="$B$52" fmlaRange="Arbeitsgänge!$C$27:$C$80" noThreeD="1" sel="52" val="41"/>
</file>

<file path=xl/ctrlProps/ctrlProp1150.xml><?xml version="1.0" encoding="utf-8"?>
<formControlPr xmlns="http://schemas.microsoft.com/office/spreadsheetml/2009/9/main" objectType="CheckBox" checked="Checked" fmlaLink="$R$10" lockText="1" noThreeD="1"/>
</file>

<file path=xl/ctrlProps/ctrlProp1151.xml><?xml version="1.0" encoding="utf-8"?>
<formControlPr xmlns="http://schemas.microsoft.com/office/spreadsheetml/2009/9/main" objectType="Drop" dropLines="10" dropStyle="combo" dx="17" fmlaLink="$B$40" fmlaRange="#REF!" noThreeD="1" sel="0" val="0"/>
</file>

<file path=xl/ctrlProps/ctrlProp1152.xml><?xml version="1.0" encoding="utf-8"?>
<formControlPr xmlns="http://schemas.microsoft.com/office/spreadsheetml/2009/9/main" objectType="Drop" dropLines="10" dropStyle="combo" dx="17" fmlaLink="$B$41" fmlaRange="#REF!" noThreeD="1" sel="0" val="0"/>
</file>

<file path=xl/ctrlProps/ctrlProp1153.xml><?xml version="1.0" encoding="utf-8"?>
<formControlPr xmlns="http://schemas.microsoft.com/office/spreadsheetml/2009/9/main" objectType="Drop" dropLines="10" dropStyle="combo" dx="17" fmlaLink="$B$39" fmlaRange="#REF!" noThreeD="1" sel="0" val="0"/>
</file>

<file path=xl/ctrlProps/ctrlProp1154.xml><?xml version="1.0" encoding="utf-8"?>
<formControlPr xmlns="http://schemas.microsoft.com/office/spreadsheetml/2009/9/main" objectType="CheckBox" fmlaLink="$R$19" lockText="1" noThreeD="1"/>
</file>

<file path=xl/ctrlProps/ctrlProp1155.xml><?xml version="1.0" encoding="utf-8"?>
<formControlPr xmlns="http://schemas.microsoft.com/office/spreadsheetml/2009/9/main" objectType="CheckBox" fmlaLink="$R$19" lockText="1" noThreeD="1"/>
</file>

<file path=xl/ctrlProps/ctrlProp1156.xml><?xml version="1.0" encoding="utf-8"?>
<formControlPr xmlns="http://schemas.microsoft.com/office/spreadsheetml/2009/9/main" objectType="CheckBox" fmlaLink="$R$19" lockText="1" noThreeD="1"/>
</file>

<file path=xl/ctrlProps/ctrlProp1157.xml><?xml version="1.0" encoding="utf-8"?>
<formControlPr xmlns="http://schemas.microsoft.com/office/spreadsheetml/2009/9/main" objectType="CheckBox" fmlaLink="$R$20" lockText="1" noThreeD="1"/>
</file>

<file path=xl/ctrlProps/ctrlProp1158.xml><?xml version="1.0" encoding="utf-8"?>
<formControlPr xmlns="http://schemas.microsoft.com/office/spreadsheetml/2009/9/main" objectType="CheckBox" fmlaLink="$R$21" lockText="1" noThreeD="1"/>
</file>

<file path=xl/ctrlProps/ctrlProp1159.xml><?xml version="1.0" encoding="utf-8"?>
<formControlPr xmlns="http://schemas.microsoft.com/office/spreadsheetml/2009/9/main" objectType="CheckBox" fmlaLink="$R$22" lockText="1" noThreeD="1"/>
</file>

<file path=xl/ctrlProps/ctrlProp116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1160.xml><?xml version="1.0" encoding="utf-8"?>
<formControlPr xmlns="http://schemas.microsoft.com/office/spreadsheetml/2009/9/main" objectType="CheckBox" fmlaLink="$R$23" lockText="1" noThreeD="1"/>
</file>

<file path=xl/ctrlProps/ctrlProp1161.xml><?xml version="1.0" encoding="utf-8"?>
<formControlPr xmlns="http://schemas.microsoft.com/office/spreadsheetml/2009/9/main" objectType="CheckBox" fmlaLink="$U$19" lockText="1" noThreeD="1"/>
</file>

<file path=xl/ctrlProps/ctrlProp1162.xml><?xml version="1.0" encoding="utf-8"?>
<formControlPr xmlns="http://schemas.microsoft.com/office/spreadsheetml/2009/9/main" objectType="CheckBox" fmlaLink="$U$20" lockText="1" noThreeD="1"/>
</file>

<file path=xl/ctrlProps/ctrlProp1163.xml><?xml version="1.0" encoding="utf-8"?>
<formControlPr xmlns="http://schemas.microsoft.com/office/spreadsheetml/2009/9/main" objectType="CheckBox" fmlaLink="$U$21" lockText="1" noThreeD="1"/>
</file>

<file path=xl/ctrlProps/ctrlProp1164.xml><?xml version="1.0" encoding="utf-8"?>
<formControlPr xmlns="http://schemas.microsoft.com/office/spreadsheetml/2009/9/main" objectType="CheckBox" fmlaLink="$U$22" lockText="1" noThreeD="1"/>
</file>

<file path=xl/ctrlProps/ctrlProp1165.xml><?xml version="1.0" encoding="utf-8"?>
<formControlPr xmlns="http://schemas.microsoft.com/office/spreadsheetml/2009/9/main" objectType="CheckBox" fmlaLink="$U$23" lockText="1" noThreeD="1"/>
</file>

<file path=xl/ctrlProps/ctrlProp1166.xml><?xml version="1.0" encoding="utf-8"?>
<formControlPr xmlns="http://schemas.microsoft.com/office/spreadsheetml/2009/9/main" objectType="CheckBox" fmlaLink="$X$19" lockText="1" noThreeD="1"/>
</file>

<file path=xl/ctrlProps/ctrlProp1167.xml><?xml version="1.0" encoding="utf-8"?>
<formControlPr xmlns="http://schemas.microsoft.com/office/spreadsheetml/2009/9/main" objectType="CheckBox" fmlaLink="$X$20" lockText="1" noThreeD="1"/>
</file>

<file path=xl/ctrlProps/ctrlProp1168.xml><?xml version="1.0" encoding="utf-8"?>
<formControlPr xmlns="http://schemas.microsoft.com/office/spreadsheetml/2009/9/main" objectType="CheckBox" fmlaLink="$X$21" lockText="1" noThreeD="1"/>
</file>

<file path=xl/ctrlProps/ctrlProp1169.xml><?xml version="1.0" encoding="utf-8"?>
<formControlPr xmlns="http://schemas.microsoft.com/office/spreadsheetml/2009/9/main" objectType="CheckBox" fmlaLink="$X$22" lockText="1" noThreeD="1"/>
</file>

<file path=xl/ctrlProps/ctrlProp11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170.xml><?xml version="1.0" encoding="utf-8"?>
<formControlPr xmlns="http://schemas.microsoft.com/office/spreadsheetml/2009/9/main" objectType="CheckBox" fmlaLink="$X$23" lockText="1" noThreeD="1"/>
</file>

<file path=xl/ctrlProps/ctrlProp1171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72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173.xml><?xml version="1.0" encoding="utf-8"?>
<formControlPr xmlns="http://schemas.microsoft.com/office/spreadsheetml/2009/9/main" objectType="Drop" dropLines="10" dropStyle="combo" dx="17" fmlaLink="$B$47" fmlaRange="Arbeitsgänge!$C$27:$C$80" noThreeD="1" sel="1" val="9"/>
</file>

<file path=xl/ctrlProps/ctrlProp1174.xml><?xml version="1.0" encoding="utf-8"?>
<formControlPr xmlns="http://schemas.microsoft.com/office/spreadsheetml/2009/9/main" objectType="Drop" dropLines="10" dropStyle="combo" dx="17" fmlaLink="$B$48" fmlaRange="Arbeitsgänge!$C$27:$C$80" noThreeD="1" sel="3" val="0"/>
</file>

<file path=xl/ctrlProps/ctrlProp1175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1176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177.xml><?xml version="1.0" encoding="utf-8"?>
<formControlPr xmlns="http://schemas.microsoft.com/office/spreadsheetml/2009/9/main" objectType="Drop" dropLines="10" dropStyle="combo" dx="17" fmlaLink="$B$51" fmlaRange="Arbeitsgänge!$C$27:$C$80" noThreeD="1" sel="16" val="7"/>
</file>

<file path=xl/ctrlProps/ctrlProp1178.xml><?xml version="1.0" encoding="utf-8"?>
<formControlPr xmlns="http://schemas.microsoft.com/office/spreadsheetml/2009/9/main" objectType="Drop" dropLines="10" dropStyle="combo" dx="17" fmlaLink="$B$52" fmlaRange="Arbeitsgänge!$C$27:$C$80" noThreeD="1" sel="22" val="14"/>
</file>

<file path=xl/ctrlProps/ctrlProp1179.xml><?xml version="1.0" encoding="utf-8"?>
<formControlPr xmlns="http://schemas.microsoft.com/office/spreadsheetml/2009/9/main" objectType="Drop" dropLines="10" dropStyle="combo" dx="17" fmlaLink="$B$53" fmlaRange="Arbeitsgänge!$C$27:$C$80" noThreeD="1" sel="23" val="0"/>
</file>

<file path=xl/ctrlProps/ctrlProp11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180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181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182.xml><?xml version="1.0" encoding="utf-8"?>
<formControlPr xmlns="http://schemas.microsoft.com/office/spreadsheetml/2009/9/main" objectType="CheckBox" checked="Checked" fmlaLink="$R$10" lockText="1" noThreeD="1"/>
</file>

<file path=xl/ctrlProps/ctrlProp1183.xml><?xml version="1.0" encoding="utf-8"?>
<formControlPr xmlns="http://schemas.microsoft.com/office/spreadsheetml/2009/9/main" objectType="CheckBox" fmlaLink="$R$19" lockText="1" noThreeD="1"/>
</file>

<file path=xl/ctrlProps/ctrlProp1184.xml><?xml version="1.0" encoding="utf-8"?>
<formControlPr xmlns="http://schemas.microsoft.com/office/spreadsheetml/2009/9/main" objectType="CheckBox" fmlaLink="$R$20" lockText="1" noThreeD="1"/>
</file>

<file path=xl/ctrlProps/ctrlProp1185.xml><?xml version="1.0" encoding="utf-8"?>
<formControlPr xmlns="http://schemas.microsoft.com/office/spreadsheetml/2009/9/main" objectType="CheckBox" fmlaLink="$R$21" lockText="1" noThreeD="1"/>
</file>

<file path=xl/ctrlProps/ctrlProp1186.xml><?xml version="1.0" encoding="utf-8"?>
<formControlPr xmlns="http://schemas.microsoft.com/office/spreadsheetml/2009/9/main" objectType="CheckBox" fmlaLink="$R$22" lockText="1" noThreeD="1"/>
</file>

<file path=xl/ctrlProps/ctrlProp1187.xml><?xml version="1.0" encoding="utf-8"?>
<formControlPr xmlns="http://schemas.microsoft.com/office/spreadsheetml/2009/9/main" objectType="CheckBox" fmlaLink="$R$23" lockText="1" noThreeD="1"/>
</file>

<file path=xl/ctrlProps/ctrlProp1188.xml><?xml version="1.0" encoding="utf-8"?>
<formControlPr xmlns="http://schemas.microsoft.com/office/spreadsheetml/2009/9/main" objectType="CheckBox" fmlaLink="$U$19" lockText="1" noThreeD="1"/>
</file>

<file path=xl/ctrlProps/ctrlProp1189.xml><?xml version="1.0" encoding="utf-8"?>
<formControlPr xmlns="http://schemas.microsoft.com/office/spreadsheetml/2009/9/main" objectType="CheckBox" fmlaLink="$U$20" lockText="1" noThreeD="1"/>
</file>

<file path=xl/ctrlProps/ctrlProp119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190.xml><?xml version="1.0" encoding="utf-8"?>
<formControlPr xmlns="http://schemas.microsoft.com/office/spreadsheetml/2009/9/main" objectType="CheckBox" fmlaLink="$U$21" lockText="1" noThreeD="1"/>
</file>

<file path=xl/ctrlProps/ctrlProp1191.xml><?xml version="1.0" encoding="utf-8"?>
<formControlPr xmlns="http://schemas.microsoft.com/office/spreadsheetml/2009/9/main" objectType="CheckBox" fmlaLink="$U$22" lockText="1" noThreeD="1"/>
</file>

<file path=xl/ctrlProps/ctrlProp1192.xml><?xml version="1.0" encoding="utf-8"?>
<formControlPr xmlns="http://schemas.microsoft.com/office/spreadsheetml/2009/9/main" objectType="CheckBox" fmlaLink="$U$23" lockText="1" noThreeD="1"/>
</file>

<file path=xl/ctrlProps/ctrlProp1193.xml><?xml version="1.0" encoding="utf-8"?>
<formControlPr xmlns="http://schemas.microsoft.com/office/spreadsheetml/2009/9/main" objectType="CheckBox" fmlaLink="$X$19" lockText="1" noThreeD="1"/>
</file>

<file path=xl/ctrlProps/ctrlProp1194.xml><?xml version="1.0" encoding="utf-8"?>
<formControlPr xmlns="http://schemas.microsoft.com/office/spreadsheetml/2009/9/main" objectType="CheckBox" fmlaLink="$X$20" lockText="1" noThreeD="1"/>
</file>

<file path=xl/ctrlProps/ctrlProp1195.xml><?xml version="1.0" encoding="utf-8"?>
<formControlPr xmlns="http://schemas.microsoft.com/office/spreadsheetml/2009/9/main" objectType="CheckBox" fmlaLink="$X$21" lockText="1" noThreeD="1"/>
</file>

<file path=xl/ctrlProps/ctrlProp1196.xml><?xml version="1.0" encoding="utf-8"?>
<formControlPr xmlns="http://schemas.microsoft.com/office/spreadsheetml/2009/9/main" objectType="CheckBox" fmlaLink="$X$22" lockText="1" noThreeD="1"/>
</file>

<file path=xl/ctrlProps/ctrlProp1197.xml><?xml version="1.0" encoding="utf-8"?>
<formControlPr xmlns="http://schemas.microsoft.com/office/spreadsheetml/2009/9/main" objectType="CheckBox" fmlaLink="$X$23" lockText="1" noThreeD="1"/>
</file>

<file path=xl/ctrlProps/ctrlProp119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9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2.xml><?xml version="1.0" encoding="utf-8"?>
<formControlPr xmlns="http://schemas.microsoft.com/office/spreadsheetml/2009/9/main" objectType="Drop" dropLines="10" dropStyle="combo" dx="17" fmlaLink="$B$51" fmlaRange="Arbeitsgänge!$C$27:$C$80" noThreeD="1" sel="42" val="33"/>
</file>

<file path=xl/ctrlProps/ctrlProp120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200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201.xml><?xml version="1.0" encoding="utf-8"?>
<formControlPr xmlns="http://schemas.microsoft.com/office/spreadsheetml/2009/9/main" objectType="Drop" dropLines="10" dropStyle="combo" dx="17" fmlaLink="$B$48" fmlaRange="Arbeitsgänge!$C$27:$C$80" noThreeD="1" sel="10" val="7"/>
</file>

<file path=xl/ctrlProps/ctrlProp1202.xml><?xml version="1.0" encoding="utf-8"?>
<formControlPr xmlns="http://schemas.microsoft.com/office/spreadsheetml/2009/9/main" objectType="Drop" dropLines="10" dropStyle="combo" dx="17" fmlaLink="$B$49" fmlaRange="Arbeitsgänge!$C$27:$C$80" noThreeD="1" sel="15" val="11"/>
</file>

<file path=xl/ctrlProps/ctrlProp1203.xml><?xml version="1.0" encoding="utf-8"?>
<formControlPr xmlns="http://schemas.microsoft.com/office/spreadsheetml/2009/9/main" objectType="Drop" dropLines="10" dropStyle="combo" dx="17" fmlaLink="$B$50" fmlaRange="Arbeitsgänge!$C$27:$C$80" noThreeD="1" sel="16" val="0"/>
</file>

<file path=xl/ctrlProps/ctrlProp1204.xml><?xml version="1.0" encoding="utf-8"?>
<formControlPr xmlns="http://schemas.microsoft.com/office/spreadsheetml/2009/9/main" objectType="Drop" dropLines="10" dropStyle="combo" dx="17" fmlaLink="$B$51" fmlaRange="Arbeitsgänge!$C$27:$C$80" noThreeD="1" sel="43" val="13"/>
</file>

<file path=xl/ctrlProps/ctrlProp1205.xml><?xml version="1.0" encoding="utf-8"?>
<formControlPr xmlns="http://schemas.microsoft.com/office/spreadsheetml/2009/9/main" objectType="Drop" dropLines="10" dropStyle="combo" dx="17" fmlaLink="$B$52" fmlaRange="Arbeitsgänge!$C$27:$C$80" noThreeD="1" sel="45" val="42"/>
</file>

<file path=xl/ctrlProps/ctrlProp1206.xml><?xml version="1.0" encoding="utf-8"?>
<formControlPr xmlns="http://schemas.microsoft.com/office/spreadsheetml/2009/9/main" objectType="Drop" dropLines="10" dropStyle="combo" dx="17" fmlaLink="$B$53" fmlaRange="Arbeitsgänge!$C$27:$C$80" noThreeD="1" sel="44" val="42"/>
</file>

<file path=xl/ctrlProps/ctrlProp1207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208.xml><?xml version="1.0" encoding="utf-8"?>
<formControlPr xmlns="http://schemas.microsoft.com/office/spreadsheetml/2009/9/main" objectType="Drop" dropLines="10" dropStyle="combo" dx="17" fmlaLink="$B$55" fmlaRange="Arbeitsgänge!$C$27:$C$80" noThreeD="1" sel="0" val="43"/>
</file>

<file path=xl/ctrlProps/ctrlProp1209.xml><?xml version="1.0" encoding="utf-8"?>
<formControlPr xmlns="http://schemas.microsoft.com/office/spreadsheetml/2009/9/main" objectType="CheckBox" checked="Checked" fmlaLink="$R$10" lockText="1" noThreeD="1"/>
</file>

<file path=xl/ctrlProps/ctrlProp121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210.xml><?xml version="1.0" encoding="utf-8"?>
<formControlPr xmlns="http://schemas.microsoft.com/office/spreadsheetml/2009/9/main" objectType="CheckBox" fmlaLink="$R$19" lockText="1" noThreeD="1"/>
</file>

<file path=xl/ctrlProps/ctrlProp1211.xml><?xml version="1.0" encoding="utf-8"?>
<formControlPr xmlns="http://schemas.microsoft.com/office/spreadsheetml/2009/9/main" objectType="CheckBox" fmlaLink="$R$19" lockText="1" noThreeD="1"/>
</file>

<file path=xl/ctrlProps/ctrlProp1212.xml><?xml version="1.0" encoding="utf-8"?>
<formControlPr xmlns="http://schemas.microsoft.com/office/spreadsheetml/2009/9/main" objectType="CheckBox" fmlaLink="$R$19" lockText="1" noThreeD="1"/>
</file>

<file path=xl/ctrlProps/ctrlProp1213.xml><?xml version="1.0" encoding="utf-8"?>
<formControlPr xmlns="http://schemas.microsoft.com/office/spreadsheetml/2009/9/main" objectType="CheckBox" fmlaLink="$R$20" lockText="1" noThreeD="1"/>
</file>

<file path=xl/ctrlProps/ctrlProp1214.xml><?xml version="1.0" encoding="utf-8"?>
<formControlPr xmlns="http://schemas.microsoft.com/office/spreadsheetml/2009/9/main" objectType="CheckBox" fmlaLink="$R$21" lockText="1" noThreeD="1"/>
</file>

<file path=xl/ctrlProps/ctrlProp1215.xml><?xml version="1.0" encoding="utf-8"?>
<formControlPr xmlns="http://schemas.microsoft.com/office/spreadsheetml/2009/9/main" objectType="CheckBox" fmlaLink="$R$22" lockText="1" noThreeD="1"/>
</file>

<file path=xl/ctrlProps/ctrlProp1216.xml><?xml version="1.0" encoding="utf-8"?>
<formControlPr xmlns="http://schemas.microsoft.com/office/spreadsheetml/2009/9/main" objectType="CheckBox" fmlaLink="$R$23" lockText="1" noThreeD="1"/>
</file>

<file path=xl/ctrlProps/ctrlProp1217.xml><?xml version="1.0" encoding="utf-8"?>
<formControlPr xmlns="http://schemas.microsoft.com/office/spreadsheetml/2009/9/main" objectType="CheckBox" fmlaLink="$U$19" lockText="1" noThreeD="1"/>
</file>

<file path=xl/ctrlProps/ctrlProp1218.xml><?xml version="1.0" encoding="utf-8"?>
<formControlPr xmlns="http://schemas.microsoft.com/office/spreadsheetml/2009/9/main" objectType="CheckBox" fmlaLink="$U$20" lockText="1" noThreeD="1"/>
</file>

<file path=xl/ctrlProps/ctrlProp1219.xml><?xml version="1.0" encoding="utf-8"?>
<formControlPr xmlns="http://schemas.microsoft.com/office/spreadsheetml/2009/9/main" objectType="CheckBox" fmlaLink="$U$21" lockText="1" noThreeD="1"/>
</file>

<file path=xl/ctrlProps/ctrlProp122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1220.xml><?xml version="1.0" encoding="utf-8"?>
<formControlPr xmlns="http://schemas.microsoft.com/office/spreadsheetml/2009/9/main" objectType="CheckBox" fmlaLink="$U$22" lockText="1" noThreeD="1"/>
</file>

<file path=xl/ctrlProps/ctrlProp1221.xml><?xml version="1.0" encoding="utf-8"?>
<formControlPr xmlns="http://schemas.microsoft.com/office/spreadsheetml/2009/9/main" objectType="CheckBox" fmlaLink="$U$23" lockText="1" noThreeD="1"/>
</file>

<file path=xl/ctrlProps/ctrlProp1222.xml><?xml version="1.0" encoding="utf-8"?>
<formControlPr xmlns="http://schemas.microsoft.com/office/spreadsheetml/2009/9/main" objectType="CheckBox" fmlaLink="$X$19" lockText="1" noThreeD="1"/>
</file>

<file path=xl/ctrlProps/ctrlProp1223.xml><?xml version="1.0" encoding="utf-8"?>
<formControlPr xmlns="http://schemas.microsoft.com/office/spreadsheetml/2009/9/main" objectType="CheckBox" fmlaLink="$X$20" lockText="1" noThreeD="1"/>
</file>

<file path=xl/ctrlProps/ctrlProp1224.xml><?xml version="1.0" encoding="utf-8"?>
<formControlPr xmlns="http://schemas.microsoft.com/office/spreadsheetml/2009/9/main" objectType="CheckBox" fmlaLink="$X$21" lockText="1" noThreeD="1"/>
</file>

<file path=xl/ctrlProps/ctrlProp1225.xml><?xml version="1.0" encoding="utf-8"?>
<formControlPr xmlns="http://schemas.microsoft.com/office/spreadsheetml/2009/9/main" objectType="CheckBox" fmlaLink="$X$22" lockText="1" noThreeD="1"/>
</file>

<file path=xl/ctrlProps/ctrlProp1226.xml><?xml version="1.0" encoding="utf-8"?>
<formControlPr xmlns="http://schemas.microsoft.com/office/spreadsheetml/2009/9/main" objectType="CheckBox" fmlaLink="$X$23" lockText="1" noThreeD="1"/>
</file>

<file path=xl/ctrlProps/ctrlProp1227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22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229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23.xml><?xml version="1.0" encoding="utf-8"?>
<formControlPr xmlns="http://schemas.microsoft.com/office/spreadsheetml/2009/9/main" objectType="Drop" dropLines="10" dropStyle="combo" dx="17" fmlaLink="$B$49" fmlaRange="Arbeitsgänge!$C$27:$C$80" noThreeD="1" sel="29" val="26"/>
</file>

<file path=xl/ctrlProps/ctrlProp1230.xml><?xml version="1.0" encoding="utf-8"?>
<formControlPr xmlns="http://schemas.microsoft.com/office/spreadsheetml/2009/9/main" objectType="Drop" dropLines="10" dropStyle="combo" dx="17" fmlaLink="$B$48" fmlaRange="Arbeitsgänge!$C$27:$C$80" noThreeD="1" sel="10" val="3"/>
</file>

<file path=xl/ctrlProps/ctrlProp1231.xml><?xml version="1.0" encoding="utf-8"?>
<formControlPr xmlns="http://schemas.microsoft.com/office/spreadsheetml/2009/9/main" objectType="Drop" dropLines="10" dropStyle="combo" dx="17" fmlaLink="$B$49" fmlaRange="Arbeitsgänge!$C$27:$C$80" noThreeD="1" sel="15" val="11"/>
</file>

<file path=xl/ctrlProps/ctrlProp1232.xml><?xml version="1.0" encoding="utf-8"?>
<formControlPr xmlns="http://schemas.microsoft.com/office/spreadsheetml/2009/9/main" objectType="Drop" dropLines="10" dropStyle="combo" dx="17" fmlaLink="$B$50" fmlaRange="Arbeitsgänge!$C$27:$C$80" noThreeD="1" sel="16" val="0"/>
</file>

<file path=xl/ctrlProps/ctrlProp1233.xml><?xml version="1.0" encoding="utf-8"?>
<formControlPr xmlns="http://schemas.microsoft.com/office/spreadsheetml/2009/9/main" objectType="Drop" dropLines="10" dropStyle="combo" dx="17" fmlaLink="$B$51" fmlaRange="Arbeitsgänge!$C$27:$C$80" noThreeD="1" sel="22" val="20"/>
</file>

<file path=xl/ctrlProps/ctrlProp1234.xml><?xml version="1.0" encoding="utf-8"?>
<formControlPr xmlns="http://schemas.microsoft.com/office/spreadsheetml/2009/9/main" objectType="Drop" dropLines="10" dropStyle="combo" dx="17" fmlaLink="$B$52" fmlaRange="Arbeitsgänge!$C$27:$C$80" noThreeD="1" sel="23" val="14"/>
</file>

<file path=xl/ctrlProps/ctrlProp1235.xml><?xml version="1.0" encoding="utf-8"?>
<formControlPr xmlns="http://schemas.microsoft.com/office/spreadsheetml/2009/9/main" objectType="Drop" dropLines="10" dropStyle="combo" dx="17" fmlaLink="$B$53" fmlaRange="Arbeitsgänge!$C$27:$C$80" noThreeD="1" sel="52" val="43"/>
</file>

<file path=xl/ctrlProps/ctrlProp1236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23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238.xml><?xml version="1.0" encoding="utf-8"?>
<formControlPr xmlns="http://schemas.microsoft.com/office/spreadsheetml/2009/9/main" objectType="CheckBox" checked="Checked" fmlaLink="$R$10" lockText="1" noThreeD="1"/>
</file>

<file path=xl/ctrlProps/ctrlProp1239.xml><?xml version="1.0" encoding="utf-8"?>
<formControlPr xmlns="http://schemas.microsoft.com/office/spreadsheetml/2009/9/main" objectType="CheckBox" fmlaLink="$R$19" lockText="1" noThreeD="1"/>
</file>

<file path=xl/ctrlProps/ctrlProp124.xml><?xml version="1.0" encoding="utf-8"?>
<formControlPr xmlns="http://schemas.microsoft.com/office/spreadsheetml/2009/9/main" objectType="Drop" dropLines="10" dropStyle="combo" dx="17" fmlaLink="$B$50" fmlaRange="Arbeitsgänge!$C$27:$C$80" noThreeD="1" sel="30" val="29"/>
</file>

<file path=xl/ctrlProps/ctrlProp1240.xml><?xml version="1.0" encoding="utf-8"?>
<formControlPr xmlns="http://schemas.microsoft.com/office/spreadsheetml/2009/9/main" objectType="CheckBox" fmlaLink="$R$19" lockText="1" noThreeD="1"/>
</file>

<file path=xl/ctrlProps/ctrlProp1241.xml><?xml version="1.0" encoding="utf-8"?>
<formControlPr xmlns="http://schemas.microsoft.com/office/spreadsheetml/2009/9/main" objectType="CheckBox" fmlaLink="$R$19" lockText="1" noThreeD="1"/>
</file>

<file path=xl/ctrlProps/ctrlProp1242.xml><?xml version="1.0" encoding="utf-8"?>
<formControlPr xmlns="http://schemas.microsoft.com/office/spreadsheetml/2009/9/main" objectType="CheckBox" fmlaLink="$R$20" lockText="1" noThreeD="1"/>
</file>

<file path=xl/ctrlProps/ctrlProp1243.xml><?xml version="1.0" encoding="utf-8"?>
<formControlPr xmlns="http://schemas.microsoft.com/office/spreadsheetml/2009/9/main" objectType="CheckBox" fmlaLink="$R$21" lockText="1" noThreeD="1"/>
</file>

<file path=xl/ctrlProps/ctrlProp1244.xml><?xml version="1.0" encoding="utf-8"?>
<formControlPr xmlns="http://schemas.microsoft.com/office/spreadsheetml/2009/9/main" objectType="CheckBox" fmlaLink="$R$22" lockText="1" noThreeD="1"/>
</file>

<file path=xl/ctrlProps/ctrlProp1245.xml><?xml version="1.0" encoding="utf-8"?>
<formControlPr xmlns="http://schemas.microsoft.com/office/spreadsheetml/2009/9/main" objectType="CheckBox" fmlaLink="$R$23" lockText="1" noThreeD="1"/>
</file>

<file path=xl/ctrlProps/ctrlProp1246.xml><?xml version="1.0" encoding="utf-8"?>
<formControlPr xmlns="http://schemas.microsoft.com/office/spreadsheetml/2009/9/main" objectType="CheckBox" fmlaLink="$U$19" lockText="1" noThreeD="1"/>
</file>

<file path=xl/ctrlProps/ctrlProp1247.xml><?xml version="1.0" encoding="utf-8"?>
<formControlPr xmlns="http://schemas.microsoft.com/office/spreadsheetml/2009/9/main" objectType="CheckBox" fmlaLink="$U$20" lockText="1" noThreeD="1"/>
</file>

<file path=xl/ctrlProps/ctrlProp1248.xml><?xml version="1.0" encoding="utf-8"?>
<formControlPr xmlns="http://schemas.microsoft.com/office/spreadsheetml/2009/9/main" objectType="CheckBox" fmlaLink="$U$21" lockText="1" noThreeD="1"/>
</file>

<file path=xl/ctrlProps/ctrlProp1249.xml><?xml version="1.0" encoding="utf-8"?>
<formControlPr xmlns="http://schemas.microsoft.com/office/spreadsheetml/2009/9/main" objectType="CheckBox" fmlaLink="$U$22" lockText="1" noThreeD="1"/>
</file>

<file path=xl/ctrlProps/ctrlProp125.xml><?xml version="1.0" encoding="utf-8"?>
<formControlPr xmlns="http://schemas.microsoft.com/office/spreadsheetml/2009/9/main" objectType="Drop" dropLines="10" dropStyle="combo" dx="17" fmlaLink="$B$51" fmlaRange="Arbeitsgänge!$C$27:$C$80" noThreeD="1" sel="31" val="30"/>
</file>

<file path=xl/ctrlProps/ctrlProp1250.xml><?xml version="1.0" encoding="utf-8"?>
<formControlPr xmlns="http://schemas.microsoft.com/office/spreadsheetml/2009/9/main" objectType="CheckBox" fmlaLink="$U$23" lockText="1" noThreeD="1"/>
</file>

<file path=xl/ctrlProps/ctrlProp1251.xml><?xml version="1.0" encoding="utf-8"?>
<formControlPr xmlns="http://schemas.microsoft.com/office/spreadsheetml/2009/9/main" objectType="CheckBox" fmlaLink="$X$19" lockText="1" noThreeD="1"/>
</file>

<file path=xl/ctrlProps/ctrlProp1252.xml><?xml version="1.0" encoding="utf-8"?>
<formControlPr xmlns="http://schemas.microsoft.com/office/spreadsheetml/2009/9/main" objectType="CheckBox" fmlaLink="$X$20" lockText="1" noThreeD="1"/>
</file>

<file path=xl/ctrlProps/ctrlProp1253.xml><?xml version="1.0" encoding="utf-8"?>
<formControlPr xmlns="http://schemas.microsoft.com/office/spreadsheetml/2009/9/main" objectType="CheckBox" fmlaLink="$X$21" lockText="1" noThreeD="1"/>
</file>

<file path=xl/ctrlProps/ctrlProp1254.xml><?xml version="1.0" encoding="utf-8"?>
<formControlPr xmlns="http://schemas.microsoft.com/office/spreadsheetml/2009/9/main" objectType="CheckBox" fmlaLink="$X$22" lockText="1" noThreeD="1"/>
</file>

<file path=xl/ctrlProps/ctrlProp1255.xml><?xml version="1.0" encoding="utf-8"?>
<formControlPr xmlns="http://schemas.microsoft.com/office/spreadsheetml/2009/9/main" objectType="CheckBox" fmlaLink="$X$23" lockText="1" noThreeD="1"/>
</file>

<file path=xl/ctrlProps/ctrlProp1256.xml><?xml version="1.0" encoding="utf-8"?>
<formControlPr xmlns="http://schemas.microsoft.com/office/spreadsheetml/2009/9/main" objectType="CheckBox" checked="Checked" fmlaLink="$R$10" lockText="1" noThreeD="1"/>
</file>

<file path=xl/ctrlProps/ctrlProp1257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25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259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26.xml><?xml version="1.0" encoding="utf-8"?>
<formControlPr xmlns="http://schemas.microsoft.com/office/spreadsheetml/2009/9/main" objectType="Drop" dropLines="10" dropStyle="combo" dx="17" fmlaLink="$B$52" fmlaRange="Arbeitsgänge!$C$27:$C$80" noThreeD="1" sel="42" val="41"/>
</file>

<file path=xl/ctrlProps/ctrlProp1260.xml><?xml version="1.0" encoding="utf-8"?>
<formControlPr xmlns="http://schemas.microsoft.com/office/spreadsheetml/2009/9/main" objectType="Drop" dropLines="10" dropStyle="combo" dx="17" fmlaLink="$B$48" fmlaRange="Arbeitsgänge!$C$27:$C$80" noThreeD="1" sel="9" val="3"/>
</file>

<file path=xl/ctrlProps/ctrlProp1261.xml><?xml version="1.0" encoding="utf-8"?>
<formControlPr xmlns="http://schemas.microsoft.com/office/spreadsheetml/2009/9/main" objectType="Drop" dropLines="10" dropStyle="combo" dx="17" fmlaLink="$B$49" fmlaRange="Arbeitsgänge!$C$27:$C$80" noThreeD="1" sel="6" val="11"/>
</file>

<file path=xl/ctrlProps/ctrlProp1262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263.xml><?xml version="1.0" encoding="utf-8"?>
<formControlPr xmlns="http://schemas.microsoft.com/office/spreadsheetml/2009/9/main" objectType="Drop" dropLines="10" dropStyle="combo" dx="17" fmlaLink="$B$51" fmlaRange="Arbeitsgänge!$C$27:$C$80" noThreeD="1" sel="16" val="20"/>
</file>

<file path=xl/ctrlProps/ctrlProp1264.xml><?xml version="1.0" encoding="utf-8"?>
<formControlPr xmlns="http://schemas.microsoft.com/office/spreadsheetml/2009/9/main" objectType="Drop" dropLines="10" dropStyle="combo" dx="17" fmlaLink="$B$52" fmlaRange="Arbeitsgänge!$C$27:$C$80" noThreeD="1" sel="22" val="21"/>
</file>

<file path=xl/ctrlProps/ctrlProp1265.xml><?xml version="1.0" encoding="utf-8"?>
<formControlPr xmlns="http://schemas.microsoft.com/office/spreadsheetml/2009/9/main" objectType="Drop" dropLines="10" dropStyle="combo" dx="17" fmlaLink="$B$53" fmlaRange="Arbeitsgänge!$C$27:$C$80" noThreeD="1" sel="23" val="43"/>
</file>

<file path=xl/ctrlProps/ctrlProp1266.xml><?xml version="1.0" encoding="utf-8"?>
<formControlPr xmlns="http://schemas.microsoft.com/office/spreadsheetml/2009/9/main" objectType="Drop" dropLines="10" dropStyle="combo" dx="17" fmlaLink="$B$54" fmlaRange="Arbeitsgänge!$C$27:$C$80" noThreeD="1" sel="42" val="33"/>
</file>

<file path=xl/ctrlProps/ctrlProp126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268.xml><?xml version="1.0" encoding="utf-8"?>
<formControlPr xmlns="http://schemas.microsoft.com/office/spreadsheetml/2009/9/main" objectType="CheckBox" fmlaLink="$R$19" lockText="1" noThreeD="1"/>
</file>

<file path=xl/ctrlProps/ctrlProp1269.xml><?xml version="1.0" encoding="utf-8"?>
<formControlPr xmlns="http://schemas.microsoft.com/office/spreadsheetml/2009/9/main" objectType="CheckBox" fmlaLink="$R$20" lockText="1" noThreeD="1"/>
</file>

<file path=xl/ctrlProps/ctrlProp127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1270.xml><?xml version="1.0" encoding="utf-8"?>
<formControlPr xmlns="http://schemas.microsoft.com/office/spreadsheetml/2009/9/main" objectType="CheckBox" fmlaLink="$R$21" lockText="1" noThreeD="1"/>
</file>

<file path=xl/ctrlProps/ctrlProp1271.xml><?xml version="1.0" encoding="utf-8"?>
<formControlPr xmlns="http://schemas.microsoft.com/office/spreadsheetml/2009/9/main" objectType="CheckBox" fmlaLink="$R$22" lockText="1" noThreeD="1"/>
</file>

<file path=xl/ctrlProps/ctrlProp1272.xml><?xml version="1.0" encoding="utf-8"?>
<formControlPr xmlns="http://schemas.microsoft.com/office/spreadsheetml/2009/9/main" objectType="CheckBox" fmlaLink="$R$23" lockText="1" noThreeD="1"/>
</file>

<file path=xl/ctrlProps/ctrlProp1273.xml><?xml version="1.0" encoding="utf-8"?>
<formControlPr xmlns="http://schemas.microsoft.com/office/spreadsheetml/2009/9/main" objectType="CheckBox" fmlaLink="$U$19" lockText="1" noThreeD="1"/>
</file>

<file path=xl/ctrlProps/ctrlProp1274.xml><?xml version="1.0" encoding="utf-8"?>
<formControlPr xmlns="http://schemas.microsoft.com/office/spreadsheetml/2009/9/main" objectType="CheckBox" fmlaLink="$U$20" lockText="1" noThreeD="1"/>
</file>

<file path=xl/ctrlProps/ctrlProp1275.xml><?xml version="1.0" encoding="utf-8"?>
<formControlPr xmlns="http://schemas.microsoft.com/office/spreadsheetml/2009/9/main" objectType="CheckBox" fmlaLink="$U$21" lockText="1" noThreeD="1"/>
</file>

<file path=xl/ctrlProps/ctrlProp1276.xml><?xml version="1.0" encoding="utf-8"?>
<formControlPr xmlns="http://schemas.microsoft.com/office/spreadsheetml/2009/9/main" objectType="CheckBox" fmlaLink="$U$22" lockText="1" noThreeD="1"/>
</file>

<file path=xl/ctrlProps/ctrlProp1277.xml><?xml version="1.0" encoding="utf-8"?>
<formControlPr xmlns="http://schemas.microsoft.com/office/spreadsheetml/2009/9/main" objectType="CheckBox" fmlaLink="$U$23" lockText="1" noThreeD="1"/>
</file>

<file path=xl/ctrlProps/ctrlProp1278.xml><?xml version="1.0" encoding="utf-8"?>
<formControlPr xmlns="http://schemas.microsoft.com/office/spreadsheetml/2009/9/main" objectType="CheckBox" fmlaLink="$X$19" lockText="1" noThreeD="1"/>
</file>

<file path=xl/ctrlProps/ctrlProp1279.xml><?xml version="1.0" encoding="utf-8"?>
<formControlPr xmlns="http://schemas.microsoft.com/office/spreadsheetml/2009/9/main" objectType="CheckBox" fmlaLink="$X$20" lockText="1" noThreeD="1"/>
</file>

<file path=xl/ctrlProps/ctrlProp128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280.xml><?xml version="1.0" encoding="utf-8"?>
<formControlPr xmlns="http://schemas.microsoft.com/office/spreadsheetml/2009/9/main" objectType="CheckBox" fmlaLink="$X$21" lockText="1" noThreeD="1"/>
</file>

<file path=xl/ctrlProps/ctrlProp1281.xml><?xml version="1.0" encoding="utf-8"?>
<formControlPr xmlns="http://schemas.microsoft.com/office/spreadsheetml/2009/9/main" objectType="CheckBox" fmlaLink="$X$22" lockText="1" noThreeD="1"/>
</file>

<file path=xl/ctrlProps/ctrlProp1282.xml><?xml version="1.0" encoding="utf-8"?>
<formControlPr xmlns="http://schemas.microsoft.com/office/spreadsheetml/2009/9/main" objectType="CheckBox" fmlaLink="$X$23" lockText="1" noThreeD="1"/>
</file>

<file path=xl/ctrlProps/ctrlProp1283.xml><?xml version="1.0" encoding="utf-8"?>
<formControlPr xmlns="http://schemas.microsoft.com/office/spreadsheetml/2009/9/main" objectType="CheckBox" checked="Checked" fmlaLink="$R$10" lockText="1" noThreeD="1"/>
</file>

<file path=xl/ctrlProps/ctrlProp1284.xml><?xml version="1.0" encoding="utf-8"?>
<formControlPr xmlns="http://schemas.microsoft.com/office/spreadsheetml/2009/9/main" objectType="Drop" dropLines="10" dropStyle="combo" dx="17" fmlaLink="$B$45" fmlaRange="Arbeitsgänge!$C$27:$C$80" noThreeD="1" sel="20" val="12"/>
</file>

<file path=xl/ctrlProps/ctrlProp1285.xml><?xml version="1.0" encoding="utf-8"?>
<formControlPr xmlns="http://schemas.microsoft.com/office/spreadsheetml/2009/9/main" objectType="Drop" dropLines="10" dropStyle="combo" dx="17" fmlaLink="$B$46" fmlaRange="Arbeitsgänge!$C$27:$C$80" noThreeD="1" sel="20" val="0"/>
</file>

<file path=xl/ctrlProps/ctrlProp1286.xml><?xml version="1.0" encoding="utf-8"?>
<formControlPr xmlns="http://schemas.microsoft.com/office/spreadsheetml/2009/9/main" objectType="Drop" dropLines="10" dropStyle="combo" dx="17" fmlaLink="$B$47" fmlaRange="Arbeitsgänge!$C$27:$C$80" noThreeD="1" sel="20" val="19"/>
</file>

<file path=xl/ctrlProps/ctrlProp1287.xml><?xml version="1.0" encoding="utf-8"?>
<formControlPr xmlns="http://schemas.microsoft.com/office/spreadsheetml/2009/9/main" objectType="Drop" dropLines="10" dropStyle="combo" dx="17" fmlaLink="$B$48" fmlaRange="Arbeitsgänge!$C$27:$C$80" noThreeD="1" sel="0" val="0"/>
</file>

<file path=xl/ctrlProps/ctrlProp1288.xml><?xml version="1.0" encoding="utf-8"?>
<formControlPr xmlns="http://schemas.microsoft.com/office/spreadsheetml/2009/9/main" objectType="Drop" dropLines="10" dropStyle="combo" dx="17" fmlaLink="$B$49" fmlaRange="Arbeitsgänge!$C$27:$C$80" noThreeD="1" sel="0" val="14"/>
</file>

<file path=xl/ctrlProps/ctrlProp1289.xml><?xml version="1.0" encoding="utf-8"?>
<formControlPr xmlns="http://schemas.microsoft.com/office/spreadsheetml/2009/9/main" objectType="Drop" dropLines="10" dropStyle="combo" dx="17" fmlaLink="$B$50" fmlaRange="Arbeitsgänge!$C$27:$C$80" noThreeD="1" sel="0" val="15"/>
</file>

<file path=xl/ctrlProps/ctrlProp129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290.xml><?xml version="1.0" encoding="utf-8"?>
<formControlPr xmlns="http://schemas.microsoft.com/office/spreadsheetml/2009/9/main" objectType="Drop" dropLines="10" dropStyle="combo" dx="17" fmlaLink="$B$51" fmlaRange="Arbeitsgänge!$C$27:$C$80" noThreeD="1" sel="0" val="16"/>
</file>

<file path=xl/ctrlProps/ctrlProp1291.xml><?xml version="1.0" encoding="utf-8"?>
<formControlPr xmlns="http://schemas.microsoft.com/office/spreadsheetml/2009/9/main" objectType="Drop" dropLines="10" dropStyle="combo" dx="17" fmlaLink="$B$52" fmlaRange="Arbeitsgänge!$C$27:$C$80" noThreeD="1" sel="0" val="17"/>
</file>

<file path=xl/ctrlProps/ctrlProp1292.xml><?xml version="1.0" encoding="utf-8"?>
<formControlPr xmlns="http://schemas.microsoft.com/office/spreadsheetml/2009/9/main" objectType="Drop" dropLines="10" dropStyle="combo" dx="17" fmlaLink="$B$53" fmlaRange="Arbeitsgänge!$C$27:$C$80" noThreeD="1" sel="0" val="14"/>
</file>

<file path=xl/ctrlProps/ctrlProp1293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294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295.xml><?xml version="1.0" encoding="utf-8"?>
<formControlPr xmlns="http://schemas.microsoft.com/office/spreadsheetml/2009/9/main" objectType="Drop" dropLines="10" dropStyle="combo" dx="17" fmlaLink="$B$45" fmlaRange="Arbeitsgänge!$C$27:$C$80" noThreeD="1" sel="20" val="19"/>
</file>

<file path=xl/ctrlProps/ctrlProp1296.xml><?xml version="1.0" encoding="utf-8"?>
<formControlPr xmlns="http://schemas.microsoft.com/office/spreadsheetml/2009/9/main" objectType="CheckBox" fmlaLink="$R$19" lockText="1" noThreeD="1"/>
</file>

<file path=xl/ctrlProps/ctrlProp1297.xml><?xml version="1.0" encoding="utf-8"?>
<formControlPr xmlns="http://schemas.microsoft.com/office/spreadsheetml/2009/9/main" objectType="CheckBox" fmlaLink="$R$20" lockText="1" noThreeD="1"/>
</file>

<file path=xl/ctrlProps/ctrlProp1298.xml><?xml version="1.0" encoding="utf-8"?>
<formControlPr xmlns="http://schemas.microsoft.com/office/spreadsheetml/2009/9/main" objectType="CheckBox" fmlaLink="$R$21" lockText="1" noThreeD="1"/>
</file>

<file path=xl/ctrlProps/ctrlProp1299.xml><?xml version="1.0" encoding="utf-8"?>
<formControlPr xmlns="http://schemas.microsoft.com/office/spreadsheetml/2009/9/main" objectType="CheckBox" fmlaLink="$R$22" lockText="1" noThreeD="1"/>
</file>

<file path=xl/ctrlProps/ctrlProp13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130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300.xml><?xml version="1.0" encoding="utf-8"?>
<formControlPr xmlns="http://schemas.microsoft.com/office/spreadsheetml/2009/9/main" objectType="CheckBox" fmlaLink="$R$23" lockText="1" noThreeD="1"/>
</file>

<file path=xl/ctrlProps/ctrlProp1301.xml><?xml version="1.0" encoding="utf-8"?>
<formControlPr xmlns="http://schemas.microsoft.com/office/spreadsheetml/2009/9/main" objectType="CheckBox" fmlaLink="$U$19" lockText="1" noThreeD="1"/>
</file>

<file path=xl/ctrlProps/ctrlProp1302.xml><?xml version="1.0" encoding="utf-8"?>
<formControlPr xmlns="http://schemas.microsoft.com/office/spreadsheetml/2009/9/main" objectType="CheckBox" fmlaLink="$U$20" lockText="1" noThreeD="1"/>
</file>

<file path=xl/ctrlProps/ctrlProp1303.xml><?xml version="1.0" encoding="utf-8"?>
<formControlPr xmlns="http://schemas.microsoft.com/office/spreadsheetml/2009/9/main" objectType="CheckBox" fmlaLink="$U$21" lockText="1" noThreeD="1"/>
</file>

<file path=xl/ctrlProps/ctrlProp1304.xml><?xml version="1.0" encoding="utf-8"?>
<formControlPr xmlns="http://schemas.microsoft.com/office/spreadsheetml/2009/9/main" objectType="CheckBox" fmlaLink="$U$22" lockText="1" noThreeD="1"/>
</file>

<file path=xl/ctrlProps/ctrlProp1305.xml><?xml version="1.0" encoding="utf-8"?>
<formControlPr xmlns="http://schemas.microsoft.com/office/spreadsheetml/2009/9/main" objectType="CheckBox" fmlaLink="$U$23" lockText="1" noThreeD="1"/>
</file>

<file path=xl/ctrlProps/ctrlProp1306.xml><?xml version="1.0" encoding="utf-8"?>
<formControlPr xmlns="http://schemas.microsoft.com/office/spreadsheetml/2009/9/main" objectType="CheckBox" fmlaLink="$X$19" lockText="1" noThreeD="1"/>
</file>

<file path=xl/ctrlProps/ctrlProp1307.xml><?xml version="1.0" encoding="utf-8"?>
<formControlPr xmlns="http://schemas.microsoft.com/office/spreadsheetml/2009/9/main" objectType="CheckBox" fmlaLink="$X$20" lockText="1" noThreeD="1"/>
</file>

<file path=xl/ctrlProps/ctrlProp1308.xml><?xml version="1.0" encoding="utf-8"?>
<formControlPr xmlns="http://schemas.microsoft.com/office/spreadsheetml/2009/9/main" objectType="CheckBox" fmlaLink="$X$21" lockText="1" noThreeD="1"/>
</file>

<file path=xl/ctrlProps/ctrlProp1309.xml><?xml version="1.0" encoding="utf-8"?>
<formControlPr xmlns="http://schemas.microsoft.com/office/spreadsheetml/2009/9/main" objectType="CheckBox" fmlaLink="$X$22" lockText="1" noThreeD="1"/>
</file>

<file path=xl/ctrlProps/ctrlProp131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1310.xml><?xml version="1.0" encoding="utf-8"?>
<formControlPr xmlns="http://schemas.microsoft.com/office/spreadsheetml/2009/9/main" objectType="CheckBox" fmlaLink="$X$23" lockText="1" noThreeD="1"/>
</file>

<file path=xl/ctrlProps/ctrlProp1311.xml><?xml version="1.0" encoding="utf-8"?>
<formControlPr xmlns="http://schemas.microsoft.com/office/spreadsheetml/2009/9/main" objectType="CheckBox" checked="Checked" fmlaLink="$R$10" lockText="1" noThreeD="1"/>
</file>

<file path=xl/ctrlProps/ctrlProp131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31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314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315.xml><?xml version="1.0" encoding="utf-8"?>
<formControlPr xmlns="http://schemas.microsoft.com/office/spreadsheetml/2009/9/main" objectType="Drop" dropLines="10" dropStyle="combo" dx="17" fmlaLink="$B$48" fmlaRange="Arbeitsgänge!$C$27:$C$80" noThreeD="1" sel="52" val="3"/>
</file>

<file path=xl/ctrlProps/ctrlProp1316.xml><?xml version="1.0" encoding="utf-8"?>
<formControlPr xmlns="http://schemas.microsoft.com/office/spreadsheetml/2009/9/main" objectType="Drop" dropLines="10" dropStyle="combo" dx="17" fmlaLink="$B$49" fmlaRange="Arbeitsgänge!$C$27:$C$80" noThreeD="1" sel="52" val="11"/>
</file>

<file path=xl/ctrlProps/ctrlProp1317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318.xml><?xml version="1.0" encoding="utf-8"?>
<formControlPr xmlns="http://schemas.microsoft.com/office/spreadsheetml/2009/9/main" objectType="Drop" dropLines="10" dropStyle="combo" dx="17" fmlaLink="$B$51" fmlaRange="Arbeitsgänge!$C$27:$C$80" noThreeD="1" sel="16" val="20"/>
</file>

<file path=xl/ctrlProps/ctrlProp1319.xml><?xml version="1.0" encoding="utf-8"?>
<formControlPr xmlns="http://schemas.microsoft.com/office/spreadsheetml/2009/9/main" objectType="Drop" dropLines="10" dropStyle="combo" dx="17" fmlaLink="$B$52" fmlaRange="Arbeitsgänge!$C$27:$C$80" noThreeD="1" sel="22" val="14"/>
</file>

<file path=xl/ctrlProps/ctrlProp132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1320.xml><?xml version="1.0" encoding="utf-8"?>
<formControlPr xmlns="http://schemas.microsoft.com/office/spreadsheetml/2009/9/main" objectType="Drop" dropLines="10" dropStyle="combo" dx="17" fmlaLink="$B$53" fmlaRange="Arbeitsgänge!$C$27:$C$80" noThreeD="1" sel="23" val="43"/>
</file>

<file path=xl/ctrlProps/ctrlProp132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322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323.xml><?xml version="1.0" encoding="utf-8"?>
<formControlPr xmlns="http://schemas.microsoft.com/office/spreadsheetml/2009/9/main" objectType="CheckBox" fmlaLink="$R$19" lockText="1" noThreeD="1"/>
</file>

<file path=xl/ctrlProps/ctrlProp1324.xml><?xml version="1.0" encoding="utf-8"?>
<formControlPr xmlns="http://schemas.microsoft.com/office/spreadsheetml/2009/9/main" objectType="CheckBox" fmlaLink="$R$20" lockText="1" noThreeD="1"/>
</file>

<file path=xl/ctrlProps/ctrlProp1325.xml><?xml version="1.0" encoding="utf-8"?>
<formControlPr xmlns="http://schemas.microsoft.com/office/spreadsheetml/2009/9/main" objectType="CheckBox" fmlaLink="$R$21" lockText="1" noThreeD="1"/>
</file>

<file path=xl/ctrlProps/ctrlProp1326.xml><?xml version="1.0" encoding="utf-8"?>
<formControlPr xmlns="http://schemas.microsoft.com/office/spreadsheetml/2009/9/main" objectType="CheckBox" fmlaLink="$R$22" lockText="1" noThreeD="1"/>
</file>

<file path=xl/ctrlProps/ctrlProp1327.xml><?xml version="1.0" encoding="utf-8"?>
<formControlPr xmlns="http://schemas.microsoft.com/office/spreadsheetml/2009/9/main" objectType="CheckBox" fmlaLink="$R$23" lockText="1" noThreeD="1"/>
</file>

<file path=xl/ctrlProps/ctrlProp1328.xml><?xml version="1.0" encoding="utf-8"?>
<formControlPr xmlns="http://schemas.microsoft.com/office/spreadsheetml/2009/9/main" objectType="CheckBox" fmlaLink="$U$19" lockText="1" noThreeD="1"/>
</file>

<file path=xl/ctrlProps/ctrlProp1329.xml><?xml version="1.0" encoding="utf-8"?>
<formControlPr xmlns="http://schemas.microsoft.com/office/spreadsheetml/2009/9/main" objectType="CheckBox" fmlaLink="$U$20" lockText="1" noThreeD="1"/>
</file>

<file path=xl/ctrlProps/ctrlProp133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1330.xml><?xml version="1.0" encoding="utf-8"?>
<formControlPr xmlns="http://schemas.microsoft.com/office/spreadsheetml/2009/9/main" objectType="CheckBox" fmlaLink="$U$21" lockText="1" noThreeD="1"/>
</file>

<file path=xl/ctrlProps/ctrlProp1331.xml><?xml version="1.0" encoding="utf-8"?>
<formControlPr xmlns="http://schemas.microsoft.com/office/spreadsheetml/2009/9/main" objectType="CheckBox" fmlaLink="$U$22" lockText="1" noThreeD="1"/>
</file>

<file path=xl/ctrlProps/ctrlProp1332.xml><?xml version="1.0" encoding="utf-8"?>
<formControlPr xmlns="http://schemas.microsoft.com/office/spreadsheetml/2009/9/main" objectType="CheckBox" fmlaLink="$U$23" lockText="1" noThreeD="1"/>
</file>

<file path=xl/ctrlProps/ctrlProp1333.xml><?xml version="1.0" encoding="utf-8"?>
<formControlPr xmlns="http://schemas.microsoft.com/office/spreadsheetml/2009/9/main" objectType="CheckBox" fmlaLink="$X$19" lockText="1" noThreeD="1"/>
</file>

<file path=xl/ctrlProps/ctrlProp1334.xml><?xml version="1.0" encoding="utf-8"?>
<formControlPr xmlns="http://schemas.microsoft.com/office/spreadsheetml/2009/9/main" objectType="CheckBox" fmlaLink="$X$20" lockText="1" noThreeD="1"/>
</file>

<file path=xl/ctrlProps/ctrlProp1335.xml><?xml version="1.0" encoding="utf-8"?>
<formControlPr xmlns="http://schemas.microsoft.com/office/spreadsheetml/2009/9/main" objectType="CheckBox" fmlaLink="$X$21" lockText="1" noThreeD="1"/>
</file>

<file path=xl/ctrlProps/ctrlProp1336.xml><?xml version="1.0" encoding="utf-8"?>
<formControlPr xmlns="http://schemas.microsoft.com/office/spreadsheetml/2009/9/main" objectType="CheckBox" fmlaLink="$X$22" lockText="1" noThreeD="1"/>
</file>

<file path=xl/ctrlProps/ctrlProp1337.xml><?xml version="1.0" encoding="utf-8"?>
<formControlPr xmlns="http://schemas.microsoft.com/office/spreadsheetml/2009/9/main" objectType="CheckBox" fmlaLink="$X$23" lockText="1" noThreeD="1"/>
</file>

<file path=xl/ctrlProps/ctrlProp1338.xml><?xml version="1.0" encoding="utf-8"?>
<formControlPr xmlns="http://schemas.microsoft.com/office/spreadsheetml/2009/9/main" objectType="CheckBox" checked="Checked" fmlaLink="$R$10" lockText="1" noThreeD="1"/>
</file>

<file path=xl/ctrlProps/ctrlProp1339.xml><?xml version="1.0" encoding="utf-8"?>
<formControlPr xmlns="http://schemas.microsoft.com/office/spreadsheetml/2009/9/main" objectType="Drop" dropLines="10" dropStyle="combo" dx="17" fmlaLink="$B$45" fmlaRange="Arbeitsgänge!$C$27:$C$80" noThreeD="1" sel="1" val="0"/>
</file>

<file path=xl/ctrlProps/ctrlProp134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1340.xml><?xml version="1.0" encoding="utf-8"?>
<formControlPr xmlns="http://schemas.microsoft.com/office/spreadsheetml/2009/9/main" objectType="Drop" dropLines="10" dropStyle="combo" dx="17" fmlaLink="$B$46" fmlaRange="Arbeitsgänge!$C$27:$C$80" noThreeD="1" sel="2" val="0"/>
</file>

<file path=xl/ctrlProps/ctrlProp1341.xml><?xml version="1.0" encoding="utf-8"?>
<formControlPr xmlns="http://schemas.microsoft.com/office/spreadsheetml/2009/9/main" objectType="Drop" dropLines="10" dropStyle="combo" dx="17" fmlaLink="$B$47" fmlaRange="Arbeitsgänge!$C$27:$C$80" noThreeD="1" sel="4" val="3"/>
</file>

<file path=xl/ctrlProps/ctrlProp1342.xml><?xml version="1.0" encoding="utf-8"?>
<formControlPr xmlns="http://schemas.microsoft.com/office/spreadsheetml/2009/9/main" objectType="Drop" dropLines="10" dropStyle="combo" dx="17" fmlaLink="$B$48" fmlaRange="Arbeitsgänge!$C$27:$C$80" noThreeD="1" sel="6" val="3"/>
</file>

<file path=xl/ctrlProps/ctrlProp1343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1344.xml><?xml version="1.0" encoding="utf-8"?>
<formControlPr xmlns="http://schemas.microsoft.com/office/spreadsheetml/2009/9/main" objectType="Drop" dropLines="10" dropStyle="combo" dx="17" fmlaLink="$B$50" fmlaRange="Arbeitsgänge!$C$27:$C$80" noThreeD="1" sel="8" val="0"/>
</file>

<file path=xl/ctrlProps/ctrlProp1345.xml><?xml version="1.0" encoding="utf-8"?>
<formControlPr xmlns="http://schemas.microsoft.com/office/spreadsheetml/2009/9/main" objectType="Drop" dropLines="10" dropStyle="combo" dx="17" fmlaLink="$B$51" fmlaRange="Arbeitsgänge!$C$27:$C$80" noThreeD="1" sel="26" val="19"/>
</file>

<file path=xl/ctrlProps/ctrlProp1346.xml><?xml version="1.0" encoding="utf-8"?>
<formControlPr xmlns="http://schemas.microsoft.com/office/spreadsheetml/2009/9/main" objectType="Drop" dropLines="10" dropStyle="combo" dx="17" fmlaLink="$B$52" fmlaRange="Arbeitsgänge!$C$27:$C$80" noThreeD="1" sel="4" val="0"/>
</file>

<file path=xl/ctrlProps/ctrlProp1347.xml><?xml version="1.0" encoding="utf-8"?>
<formControlPr xmlns="http://schemas.microsoft.com/office/spreadsheetml/2009/9/main" objectType="Drop" dropLines="10" dropStyle="combo" dx="17" fmlaLink="$B$53" fmlaRange="Arbeitsgänge!$C$27:$C$80" noThreeD="1" sel="6" val="0"/>
</file>

<file path=xl/ctrlProps/ctrlProp1348.xml><?xml version="1.0" encoding="utf-8"?>
<formControlPr xmlns="http://schemas.microsoft.com/office/spreadsheetml/2009/9/main" objectType="Drop" dropLines="10" dropStyle="combo" dx="17" fmlaLink="$B$54" fmlaRange="Arbeitsgänge!$C$27:$C$80" noThreeD="1" sel="9" val="0"/>
</file>

<file path=xl/ctrlProps/ctrlProp1349.xml><?xml version="1.0" encoding="utf-8"?>
<formControlPr xmlns="http://schemas.microsoft.com/office/spreadsheetml/2009/9/main" objectType="Drop" dropLines="10" dropStyle="combo" dx="17" fmlaLink="$B$55" fmlaRange="Arbeitsgänge!$C$27:$C$80" noThreeD="1" sel="10" val="0"/>
</file>

<file path=xl/ctrlProps/ctrlProp135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1350.xml><?xml version="1.0" encoding="utf-8"?>
<formControlPr xmlns="http://schemas.microsoft.com/office/spreadsheetml/2009/9/main" objectType="CheckBox" fmlaLink="$R$19" lockText="1" noThreeD="1"/>
</file>

<file path=xl/ctrlProps/ctrlProp1351.xml><?xml version="1.0" encoding="utf-8"?>
<formControlPr xmlns="http://schemas.microsoft.com/office/spreadsheetml/2009/9/main" objectType="CheckBox" fmlaLink="$R$20" lockText="1" noThreeD="1"/>
</file>

<file path=xl/ctrlProps/ctrlProp1352.xml><?xml version="1.0" encoding="utf-8"?>
<formControlPr xmlns="http://schemas.microsoft.com/office/spreadsheetml/2009/9/main" objectType="CheckBox" fmlaLink="$R$21" lockText="1" noThreeD="1"/>
</file>

<file path=xl/ctrlProps/ctrlProp1353.xml><?xml version="1.0" encoding="utf-8"?>
<formControlPr xmlns="http://schemas.microsoft.com/office/spreadsheetml/2009/9/main" objectType="CheckBox" fmlaLink="$R$22" lockText="1" noThreeD="1"/>
</file>

<file path=xl/ctrlProps/ctrlProp1354.xml><?xml version="1.0" encoding="utf-8"?>
<formControlPr xmlns="http://schemas.microsoft.com/office/spreadsheetml/2009/9/main" objectType="CheckBox" fmlaLink="$R$23" lockText="1" noThreeD="1"/>
</file>

<file path=xl/ctrlProps/ctrlProp1355.xml><?xml version="1.0" encoding="utf-8"?>
<formControlPr xmlns="http://schemas.microsoft.com/office/spreadsheetml/2009/9/main" objectType="CheckBox" fmlaLink="$U$19" lockText="1" noThreeD="1"/>
</file>

<file path=xl/ctrlProps/ctrlProp1356.xml><?xml version="1.0" encoding="utf-8"?>
<formControlPr xmlns="http://schemas.microsoft.com/office/spreadsheetml/2009/9/main" objectType="CheckBox" fmlaLink="$U$20" lockText="1" noThreeD="1"/>
</file>

<file path=xl/ctrlProps/ctrlProp1357.xml><?xml version="1.0" encoding="utf-8"?>
<formControlPr xmlns="http://schemas.microsoft.com/office/spreadsheetml/2009/9/main" objectType="CheckBox" fmlaLink="$U$21" lockText="1" noThreeD="1"/>
</file>

<file path=xl/ctrlProps/ctrlProp1358.xml><?xml version="1.0" encoding="utf-8"?>
<formControlPr xmlns="http://schemas.microsoft.com/office/spreadsheetml/2009/9/main" objectType="CheckBox" fmlaLink="$U$22" lockText="1" noThreeD="1"/>
</file>

<file path=xl/ctrlProps/ctrlProp1359.xml><?xml version="1.0" encoding="utf-8"?>
<formControlPr xmlns="http://schemas.microsoft.com/office/spreadsheetml/2009/9/main" objectType="CheckBox" fmlaLink="$U$23" lockText="1" noThreeD="1"/>
</file>

<file path=xl/ctrlProps/ctrlProp136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360.xml><?xml version="1.0" encoding="utf-8"?>
<formControlPr xmlns="http://schemas.microsoft.com/office/spreadsheetml/2009/9/main" objectType="CheckBox" fmlaLink="$X$19" lockText="1" noThreeD="1"/>
</file>

<file path=xl/ctrlProps/ctrlProp1361.xml><?xml version="1.0" encoding="utf-8"?>
<formControlPr xmlns="http://schemas.microsoft.com/office/spreadsheetml/2009/9/main" objectType="CheckBox" fmlaLink="$X$20" lockText="1" noThreeD="1"/>
</file>

<file path=xl/ctrlProps/ctrlProp1362.xml><?xml version="1.0" encoding="utf-8"?>
<formControlPr xmlns="http://schemas.microsoft.com/office/spreadsheetml/2009/9/main" objectType="CheckBox" fmlaLink="$X$21" lockText="1" noThreeD="1"/>
</file>

<file path=xl/ctrlProps/ctrlProp1363.xml><?xml version="1.0" encoding="utf-8"?>
<formControlPr xmlns="http://schemas.microsoft.com/office/spreadsheetml/2009/9/main" objectType="CheckBox" fmlaLink="$X$22" lockText="1" noThreeD="1"/>
</file>

<file path=xl/ctrlProps/ctrlProp1364.xml><?xml version="1.0" encoding="utf-8"?>
<formControlPr xmlns="http://schemas.microsoft.com/office/spreadsheetml/2009/9/main" objectType="CheckBox" fmlaLink="$X$23" lockText="1" noThreeD="1"/>
</file>

<file path=xl/ctrlProps/ctrlProp1365.xml><?xml version="1.0" encoding="utf-8"?>
<formControlPr xmlns="http://schemas.microsoft.com/office/spreadsheetml/2009/9/main" objectType="CheckBox" checked="Checked" fmlaLink="$R$10" lockText="1" noThreeD="1"/>
</file>

<file path=xl/ctrlProps/ctrlProp136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36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368.xml><?xml version="1.0" encoding="utf-8"?>
<formControlPr xmlns="http://schemas.microsoft.com/office/spreadsheetml/2009/9/main" objectType="Drop" dropLines="10" dropStyle="combo" dx="17" fmlaLink="$B$47" fmlaRange="Arbeitsgänge!$C$27:$C$80" noThreeD="1" sel="3" val="3"/>
</file>

<file path=xl/ctrlProps/ctrlProp1369.xml><?xml version="1.0" encoding="utf-8"?>
<formControlPr xmlns="http://schemas.microsoft.com/office/spreadsheetml/2009/9/main" objectType="Drop" dropLines="10" dropStyle="combo" dx="17" fmlaLink="$B$48" fmlaRange="Arbeitsgänge!$C$27:$C$80" noThreeD="1" sel="46" val="43"/>
</file>

<file path=xl/ctrlProps/ctrlProp137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370.xml><?xml version="1.0" encoding="utf-8"?>
<formControlPr xmlns="http://schemas.microsoft.com/office/spreadsheetml/2009/9/main" objectType="Drop" dropLines="10" dropStyle="combo" dx="17" fmlaLink="$B$49" fmlaRange="Arbeitsgänge!$C$27:$C$80" noThreeD="1" sel="52" val="0"/>
</file>

<file path=xl/ctrlProps/ctrlProp1371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372.xml><?xml version="1.0" encoding="utf-8"?>
<formControlPr xmlns="http://schemas.microsoft.com/office/spreadsheetml/2009/9/main" objectType="Drop" dropLines="10" dropStyle="combo" dx="17" fmlaLink="$B$51" fmlaRange="Arbeitsgänge!$C$27:$C$80" noThreeD="1" sel="16" val="15"/>
</file>

<file path=xl/ctrlProps/ctrlProp1373.xml><?xml version="1.0" encoding="utf-8"?>
<formControlPr xmlns="http://schemas.microsoft.com/office/spreadsheetml/2009/9/main" objectType="Drop" dropLines="10" dropStyle="combo" dx="17" fmlaLink="$B$52" fmlaRange="Arbeitsgänge!$C$27:$C$80" noThreeD="1" sel="22" val="0"/>
</file>

<file path=xl/ctrlProps/ctrlProp1374.xml><?xml version="1.0" encoding="utf-8"?>
<formControlPr xmlns="http://schemas.microsoft.com/office/spreadsheetml/2009/9/main" objectType="Drop" dropLines="10" dropStyle="combo" dx="17" fmlaLink="$B$53" fmlaRange="Arbeitsgänge!$C$27:$C$80" noThreeD="1" sel="23" val="22"/>
</file>

<file path=xl/ctrlProps/ctrlProp1375.xml><?xml version="1.0" encoding="utf-8"?>
<formControlPr xmlns="http://schemas.microsoft.com/office/spreadsheetml/2009/9/main" objectType="Drop" dropLines="10" dropStyle="combo" dx="17" fmlaLink="$B$54" fmlaRange="Arbeitsgänge!$C$27:$C$80" noThreeD="1" sel="45" val="38"/>
</file>

<file path=xl/ctrlProps/ctrlProp138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139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14.xml><?xml version="1.0" encoding="utf-8"?>
<formControlPr xmlns="http://schemas.microsoft.com/office/spreadsheetml/2009/9/main" objectType="Drop" dropLines="10" dropStyle="combo" dx="17" fmlaLink="$B$53" fmlaRange="Arbeitsgänge!$C$27:$C$80" noThreeD="1" sel="46" val="43"/>
</file>

<file path=xl/ctrlProps/ctrlProp140.xml><?xml version="1.0" encoding="utf-8"?>
<formControlPr xmlns="http://schemas.microsoft.com/office/spreadsheetml/2009/9/main" objectType="Drop" dropLines="10" dropStyle="combo" dx="17" fmlaLink="$B$50" fmlaRange="Arbeitsgänge!$C$27:$C$80" noThreeD="1" sel="30" val="29"/>
</file>

<file path=xl/ctrlProps/ctrlProp141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42.xml><?xml version="1.0" encoding="utf-8"?>
<formControlPr xmlns="http://schemas.microsoft.com/office/spreadsheetml/2009/9/main" objectType="Drop" dropLines="10" dropStyle="combo" dx="17" fmlaLink="$B$52" fmlaRange="Arbeitsgänge!$C$27:$C$80" noThreeD="1" sel="40" val="33"/>
</file>

<file path=xl/ctrlProps/ctrlProp143.xml><?xml version="1.0" encoding="utf-8"?>
<formControlPr xmlns="http://schemas.microsoft.com/office/spreadsheetml/2009/9/main" objectType="Drop" dropLines="10" dropStyle="combo" dx="17" fmlaLink="$B$53" fmlaRange="Arbeitsgänge!$C$27:$C$80" noThreeD="1" sel="47" val="38"/>
</file>

<file path=xl/ctrlProps/ctrlProp144.xml><?xml version="1.0" encoding="utf-8"?>
<formControlPr xmlns="http://schemas.microsoft.com/office/spreadsheetml/2009/9/main" objectType="Drop" dropLines="10" dropStyle="combo" dx="17" fmlaLink="$B$54" fmlaRange="Arbeitsgänge!$C$27:$C$80" noThreeD="1" sel="50" val="37"/>
</file>

<file path=xl/ctrlProps/ctrlProp145.xml><?xml version="1.0" encoding="utf-8"?>
<formControlPr xmlns="http://schemas.microsoft.com/office/spreadsheetml/2009/9/main" objectType="Drop" dropLines="10" dropStyle="combo" dx="17" fmlaLink="$B$55" fmlaRange="Arbeitsgänge!$C$27:$C$80" noThreeD="1" sel="52" val="43"/>
</file>

<file path=xl/ctrlProps/ctrlProp146.xml><?xml version="1.0" encoding="utf-8"?>
<formControlPr xmlns="http://schemas.microsoft.com/office/spreadsheetml/2009/9/main" objectType="Drop" dropLines="10" dropStyle="combo" dx="17" fmlaLink="$B$56" fmlaRange="Arbeitsgänge!$C$27:$C$80" noThreeD="1" sel="46" val="44"/>
</file>

<file path=xl/ctrlProps/ctrlProp147.xml><?xml version="1.0" encoding="utf-8"?>
<formControlPr xmlns="http://schemas.microsoft.com/office/spreadsheetml/2009/9/main" objectType="Drop" dropLines="6" dropStyle="combo" dx="17" fmlaLink="$V$5" fmlaRange="$T$4:$T$9" noThreeD="1" sel="4" val="0"/>
</file>

<file path=xl/ctrlProps/ctrlProp148.xml><?xml version="1.0" encoding="utf-8"?>
<formControlPr xmlns="http://schemas.microsoft.com/office/spreadsheetml/2009/9/main" objectType="Drop" dropLines="6" dropStyle="combo" dx="17" fmlaLink="$W$5" fmlaRange="$T$4:$T$9" noThreeD="1" sel="4" val="0"/>
</file>

<file path=xl/ctrlProps/ctrlProp149.xml><?xml version="1.0" encoding="utf-8"?>
<formControlPr xmlns="http://schemas.microsoft.com/office/spreadsheetml/2009/9/main" objectType="Drop" dropLines="6" dropStyle="combo" dx="17" fmlaLink="$X$5" fmlaRange="$T$4:$T$9" noThreeD="1" sel="4" val="0"/>
</file>

<file path=xl/ctrlProps/ctrlProp15.xml><?xml version="1.0" encoding="utf-8"?>
<formControlPr xmlns="http://schemas.microsoft.com/office/spreadsheetml/2009/9/main" objectType="Drop" dropLines="10" dropStyle="combo" dx="17" fmlaLink="$B$54" fmlaRange="Arbeitsgänge!$C$27:$C$80" noThreeD="1" sel="46" val="44"/>
</file>

<file path=xl/ctrlProps/ctrlProp150.xml><?xml version="1.0" encoding="utf-8"?>
<formControlPr xmlns="http://schemas.microsoft.com/office/spreadsheetml/2009/9/main" objectType="Drop" dropLines="6" dropStyle="combo" dx="17" fmlaLink="$Y$5" fmlaRange="$T$4:$T$9" noThreeD="1" sel="4" val="0"/>
</file>

<file path=xl/ctrlProps/ctrlProp151.xml><?xml version="1.0" encoding="utf-8"?>
<formControlPr xmlns="http://schemas.microsoft.com/office/spreadsheetml/2009/9/main" objectType="Drop" dropLines="6" dropStyle="combo" dx="17" fmlaLink="$Z$5" fmlaRange="$T$4:$T$9" noThreeD="1" sel="4" val="0"/>
</file>

<file path=xl/ctrlProps/ctrlProp152.xml><?xml version="1.0" encoding="utf-8"?>
<formControlPr xmlns="http://schemas.microsoft.com/office/spreadsheetml/2009/9/main" objectType="Drop" dropLines="10" dropStyle="combo" dx="17" fmlaLink="$B$49" fmlaRange="Arbeitsgänge!$C$27:$C$80" noThreeD="1" sel="27" val="26"/>
</file>

<file path=xl/ctrlProps/ctrlProp153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154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55.xml><?xml version="1.0" encoding="utf-8"?>
<formControlPr xmlns="http://schemas.microsoft.com/office/spreadsheetml/2009/9/main" objectType="Drop" dropLines="10" dropStyle="combo" dx="17" fmlaLink="$B$52" fmlaRange="Arbeitsgänge!$C$27:$C$80" noThreeD="1" sel="40" val="39"/>
</file>

<file path=xl/ctrlProps/ctrlProp156.xml><?xml version="1.0" encoding="utf-8"?>
<formControlPr xmlns="http://schemas.microsoft.com/office/spreadsheetml/2009/9/main" objectType="Drop" dropLines="10" dropStyle="combo" dx="17" fmlaLink="$B$53" fmlaRange="Arbeitsgänge!$C$27:$C$80" noThreeD="1" sel="52" val="43"/>
</file>

<file path=xl/ctrlProps/ctrlProp15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58.xml><?xml version="1.0" encoding="utf-8"?>
<formControlPr xmlns="http://schemas.microsoft.com/office/spreadsheetml/2009/9/main" objectType="Drop" dropLines="10" dropStyle="combo" dx="17" fmlaLink="$B$47" fmlaRange="Arbeitsgänge!$C$27:$C$80" noThreeD="1" sel="26" val="17"/>
</file>

<file path=xl/ctrlProps/ctrlProp159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1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60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61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62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63.xml><?xml version="1.0" encoding="utf-8"?>
<formControlPr xmlns="http://schemas.microsoft.com/office/spreadsheetml/2009/9/main" objectType="Drop" dropLines="6" dropStyle="combo" dx="17" fmlaLink="$V$5" fmlaRange="$T$4:$T$9" noThreeD="1" sel="4" val="0"/>
</file>

<file path=xl/ctrlProps/ctrlProp164.xml><?xml version="1.0" encoding="utf-8"?>
<formControlPr xmlns="http://schemas.microsoft.com/office/spreadsheetml/2009/9/main" objectType="Drop" dropLines="6" dropStyle="combo" dx="17" fmlaLink="$W$5" fmlaRange="$T$4:$T$9" noThreeD="1" sel="4" val="0"/>
</file>

<file path=xl/ctrlProps/ctrlProp165.xml><?xml version="1.0" encoding="utf-8"?>
<formControlPr xmlns="http://schemas.microsoft.com/office/spreadsheetml/2009/9/main" objectType="Drop" dropLines="6" dropStyle="combo" dx="17" fmlaLink="$X$5" fmlaRange="$T$4:$T$9" noThreeD="1" sel="4" val="0"/>
</file>

<file path=xl/ctrlProps/ctrlProp166.xml><?xml version="1.0" encoding="utf-8"?>
<formControlPr xmlns="http://schemas.microsoft.com/office/spreadsheetml/2009/9/main" objectType="Drop" dropLines="6" dropStyle="combo" dx="17" fmlaLink="$Y$5" fmlaRange="$T$4:$T$9" noThreeD="1" sel="4" val="0"/>
</file>

<file path=xl/ctrlProps/ctrlProp167.xml><?xml version="1.0" encoding="utf-8"?>
<formControlPr xmlns="http://schemas.microsoft.com/office/spreadsheetml/2009/9/main" objectType="Drop" dropLines="6" dropStyle="combo" dx="17" fmlaLink="$Z$5" fmlaRange="$T$4:$T$9" noThreeD="1" sel="4" val="0"/>
</file>

<file path=xl/ctrlProps/ctrlProp168.xml><?xml version="1.0" encoding="utf-8"?>
<formControlPr xmlns="http://schemas.microsoft.com/office/spreadsheetml/2009/9/main" objectType="Drop" dropLines="10" dropStyle="combo" dx="17" fmlaLink="$B$49" fmlaRange="Arbeitsgänge!$C$27:$C$80" noThreeD="1" sel="27" val="25"/>
</file>

<file path=xl/ctrlProps/ctrlProp169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17.xml><?xml version="1.0" encoding="utf-8"?>
<formControlPr xmlns="http://schemas.microsoft.com/office/spreadsheetml/2009/9/main" objectType="Drop" dropLines="10" dropStyle="combo" dx="17" fmlaLink="$B$56" fmlaRange="Arbeitsgänge!$C$27:$C$80" noThreeD="1" sel="52" val="44"/>
</file>

<file path=xl/ctrlProps/ctrlProp170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71.xml><?xml version="1.0" encoding="utf-8"?>
<formControlPr xmlns="http://schemas.microsoft.com/office/spreadsheetml/2009/9/main" objectType="Drop" dropLines="10" dropStyle="combo" dx="17" fmlaLink="$B$52" fmlaRange="Arbeitsgänge!$C$27:$C$80" noThreeD="1" sel="40" val="37"/>
</file>

<file path=xl/ctrlProps/ctrlProp172.xml><?xml version="1.0" encoding="utf-8"?>
<formControlPr xmlns="http://schemas.microsoft.com/office/spreadsheetml/2009/9/main" objectType="Drop" dropLines="10" dropStyle="combo" dx="17" fmlaLink="$B$53" fmlaRange="Arbeitsgänge!$C$27:$C$80" noThreeD="1" sel="46" val="44"/>
</file>

<file path=xl/ctrlProps/ctrlProp173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74.xml><?xml version="1.0" encoding="utf-8"?>
<formControlPr xmlns="http://schemas.microsoft.com/office/spreadsheetml/2009/9/main" objectType="Drop" dropLines="10" dropStyle="combo" dx="17" fmlaLink="$B$47" fmlaRange="Arbeitsgänge!$C$27:$C$80" noThreeD="1" sel="26" val="17"/>
</file>

<file path=xl/ctrlProps/ctrlProp175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176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77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78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79.xml><?xml version="1.0" encoding="utf-8"?>
<formControlPr xmlns="http://schemas.microsoft.com/office/spreadsheetml/2009/9/main" objectType="Drop" dropLines="6" dropStyle="combo" dx="17" fmlaLink="$V$5" fmlaRange="$T$4:$T$9" noThreeD="1" sel="5" val="0"/>
</file>

<file path=xl/ctrlProps/ctrlProp18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180.xml><?xml version="1.0" encoding="utf-8"?>
<formControlPr xmlns="http://schemas.microsoft.com/office/spreadsheetml/2009/9/main" objectType="Drop" dropLines="6" dropStyle="combo" dx="17" fmlaLink="$W$5" fmlaRange="$T$4:$T$9" noThreeD="1" sel="5" val="0"/>
</file>

<file path=xl/ctrlProps/ctrlProp181.xml><?xml version="1.0" encoding="utf-8"?>
<formControlPr xmlns="http://schemas.microsoft.com/office/spreadsheetml/2009/9/main" objectType="Drop" dropLines="6" dropStyle="combo" dx="17" fmlaLink="$X$5" fmlaRange="$T$4:$T$9" noThreeD="1" sel="5" val="0"/>
</file>

<file path=xl/ctrlProps/ctrlProp182.xml><?xml version="1.0" encoding="utf-8"?>
<formControlPr xmlns="http://schemas.microsoft.com/office/spreadsheetml/2009/9/main" objectType="Drop" dropLines="6" dropStyle="combo" dx="17" fmlaLink="$Y$5" fmlaRange="$T$4:$T$9" noThreeD="1" sel="5" val="0"/>
</file>

<file path=xl/ctrlProps/ctrlProp183.xml><?xml version="1.0" encoding="utf-8"?>
<formControlPr xmlns="http://schemas.microsoft.com/office/spreadsheetml/2009/9/main" objectType="Drop" dropLines="6" dropStyle="combo" dx="17" fmlaLink="$Z$5" fmlaRange="$T$4:$T$9" noThreeD="1" sel="5" val="0"/>
</file>

<file path=xl/ctrlProps/ctrlProp184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85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86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187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188.xml><?xml version="1.0" encoding="utf-8"?>
<formControlPr xmlns="http://schemas.microsoft.com/office/spreadsheetml/2009/9/main" objectType="Drop" dropLines="10" dropStyle="combo" dx="17" fmlaLink="$B$50" fmlaRange="Arbeitsgänge!$C$27:$C$80" noThreeD="1" sel="31" val="30"/>
</file>

<file path=xl/ctrlProps/ctrlProp189.xml><?xml version="1.0" encoding="utf-8"?>
<formControlPr xmlns="http://schemas.microsoft.com/office/spreadsheetml/2009/9/main" objectType="Drop" dropLines="10" dropStyle="combo" dx="17" fmlaLink="$B$51" fmlaRange="Arbeitsgänge!$C$27:$C$80" noThreeD="1" sel="33" val="32"/>
</file>

<file path=xl/ctrlProps/ctrlProp19.xml><?xml version="1.0" encoding="utf-8"?>
<formControlPr xmlns="http://schemas.microsoft.com/office/spreadsheetml/2009/9/main" objectType="Drop" dropLines="10" dropStyle="combo" dx="17" fmlaLink="$B$48" fmlaRange="Arbeitsgänge!$C$27:$C$80" noThreeD="1" sel="15" val="11"/>
</file>

<file path=xl/ctrlProps/ctrlProp190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191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192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93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94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95.xml><?xml version="1.0" encoding="utf-8"?>
<formControlPr xmlns="http://schemas.microsoft.com/office/spreadsheetml/2009/9/main" objectType="Drop" dropLines="6" dropStyle="combo" dx="17" fmlaLink="$V$5" fmlaRange="$T$4:$T$9" noThreeD="1" sel="1" val="0"/>
</file>

<file path=xl/ctrlProps/ctrlProp196.xml><?xml version="1.0" encoding="utf-8"?>
<formControlPr xmlns="http://schemas.microsoft.com/office/spreadsheetml/2009/9/main" objectType="Drop" dropLines="6" dropStyle="combo" dx="17" fmlaLink="$W$5" fmlaRange="$T$4:$T$9" noThreeD="1" sel="1" val="0"/>
</file>

<file path=xl/ctrlProps/ctrlProp197.xml><?xml version="1.0" encoding="utf-8"?>
<formControlPr xmlns="http://schemas.microsoft.com/office/spreadsheetml/2009/9/main" objectType="Drop" dropLines="6" dropStyle="combo" dx="17" fmlaLink="$X$5" fmlaRange="$T$4:$T$9" noThreeD="1" sel="1" val="0"/>
</file>

<file path=xl/ctrlProps/ctrlProp198.xml><?xml version="1.0" encoding="utf-8"?>
<formControlPr xmlns="http://schemas.microsoft.com/office/spreadsheetml/2009/9/main" objectType="Drop" dropLines="6" dropStyle="combo" dx="17" fmlaLink="$Y$5" fmlaRange="$T$4:$T$9" noThreeD="1" sel="1" val="0"/>
</file>

<file path=xl/ctrlProps/ctrlProp199.xml><?xml version="1.0" encoding="utf-8"?>
<formControlPr xmlns="http://schemas.microsoft.com/office/spreadsheetml/2009/9/main" objectType="Drop" dropLines="6" dropStyle="combo" dx="17" fmlaLink="$Z$5" fmlaRange="$T$4:$T$9" noThreeD="1" sel="1" val="0"/>
</file>

<file path=xl/ctrlProps/ctrlProp2.xml><?xml version="1.0" encoding="utf-8"?>
<formControlPr xmlns="http://schemas.microsoft.com/office/spreadsheetml/2009/9/main" objectType="Drop" dropLines="6" dropStyle="combo" dx="17" fmlaLink="$V$5" fmlaRange="$T$4:$T$9" noThreeD="1" sel="2" val="0"/>
</file>

<file path=xl/ctrlProps/ctrlProp20.xml><?xml version="1.0" encoding="utf-8"?>
<formControlPr xmlns="http://schemas.microsoft.com/office/spreadsheetml/2009/9/main" objectType="Drop" dropLines="10" dropStyle="combo" dx="17" fmlaLink="$B$49" fmlaRange="Arbeitsgänge!$C$27:$C$80" noThreeD="1" sel="34" val="33"/>
</file>

<file path=xl/ctrlProps/ctrlProp200.xml><?xml version="1.0" encoding="utf-8"?>
<formControlPr xmlns="http://schemas.microsoft.com/office/spreadsheetml/2009/9/main" objectType="Drop" dropLines="10" dropStyle="combo" dx="17" fmlaLink="$B$48" fmlaRange="Arbeitsgänge!$C$27:$C$80" noThreeD="1" sel="17" val="16"/>
</file>

<file path=xl/ctrlProps/ctrlProp201.xml><?xml version="1.0" encoding="utf-8"?>
<formControlPr xmlns="http://schemas.microsoft.com/office/spreadsheetml/2009/9/main" objectType="Drop" dropLines="10" dropStyle="combo" dx="17" fmlaLink="$B$49" fmlaRange="Arbeitsgänge!$C$27:$C$80" noThreeD="1" sel="52" val="43"/>
</file>

<file path=xl/ctrlProps/ctrlProp202.xml><?xml version="1.0" encoding="utf-8"?>
<formControlPr xmlns="http://schemas.microsoft.com/office/spreadsheetml/2009/9/main" objectType="Drop" dropLines="10" dropStyle="combo" dx="17" fmlaLink="$B$50" fmlaRange="Arbeitsgänge!$C$27:$C$80" noThreeD="1" sel="48" val="42"/>
</file>

<file path=xl/ctrlProps/ctrlProp203.xml><?xml version="1.0" encoding="utf-8"?>
<formControlPr xmlns="http://schemas.microsoft.com/office/spreadsheetml/2009/9/main" objectType="Drop" dropLines="10" dropStyle="combo" dx="17" fmlaLink="$B$51" fmlaRange="Arbeitsgänge!$C$27:$C$80" noThreeD="1" sel="52" val="43"/>
</file>

<file path=xl/ctrlProps/ctrlProp204.xml><?xml version="1.0" encoding="utf-8"?>
<formControlPr xmlns="http://schemas.microsoft.com/office/spreadsheetml/2009/9/main" objectType="Drop" dropLines="10" dropStyle="combo" dx="17" fmlaLink="$B$52" fmlaRange="Arbeitsgänge!$C$27:$C$80" noThreeD="1" sel="52" val="43"/>
</file>

<file path=xl/ctrlProps/ctrlProp205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206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207.xml><?xml version="1.0" encoding="utf-8"?>
<formControlPr xmlns="http://schemas.microsoft.com/office/spreadsheetml/2009/9/main" objectType="Drop" dropLines="10" dropStyle="combo" dx="17" fmlaLink="$B$55" fmlaRange="Arbeitsgänge!$C$27:$C$80" noThreeD="1" sel="52" val="43"/>
</file>

<file path=xl/ctrlProps/ctrlProp208.xml><?xml version="1.0" encoding="utf-8"?>
<formControlPr xmlns="http://schemas.microsoft.com/office/spreadsheetml/2009/9/main" objectType="Drop" dropLines="10" dropStyle="combo" dx="17" fmlaLink="$B$56" fmlaRange="Arbeitsgänge!$C$27:$C$80" noThreeD="1" sel="52" val="43"/>
</file>

<file path=xl/ctrlProps/ctrlProp209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21.xml><?xml version="1.0" encoding="utf-8"?>
<formControlPr xmlns="http://schemas.microsoft.com/office/spreadsheetml/2009/9/main" objectType="Drop" dropLines="10" dropStyle="combo" dx="17" fmlaLink="$B$51" fmlaRange="Arbeitsgänge!$C$27:$C$80" noThreeD="1" sel="52" val="44"/>
</file>

<file path=xl/ctrlProps/ctrlProp210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11.xml><?xml version="1.0" encoding="utf-8"?>
<formControlPr xmlns="http://schemas.microsoft.com/office/spreadsheetml/2009/9/main" objectType="Drop" dropLines="6" dropStyle="combo" dx="17" fmlaLink="$V$5" fmlaRange="$T$4:$T$9" noThreeD="1" sel="1" val="0"/>
</file>

<file path=xl/ctrlProps/ctrlProp212.xml><?xml version="1.0" encoding="utf-8"?>
<formControlPr xmlns="http://schemas.microsoft.com/office/spreadsheetml/2009/9/main" objectType="Drop" dropLines="6" dropStyle="combo" dx="17" fmlaLink="$W$5" fmlaRange="$T$4:$T$9" noThreeD="1" sel="1" val="0"/>
</file>

<file path=xl/ctrlProps/ctrlProp213.xml><?xml version="1.0" encoding="utf-8"?>
<formControlPr xmlns="http://schemas.microsoft.com/office/spreadsheetml/2009/9/main" objectType="Drop" dropLines="6" dropStyle="combo" dx="17" fmlaLink="$X$5" fmlaRange="$T$4:$T$9" noThreeD="1" sel="1" val="0"/>
</file>

<file path=xl/ctrlProps/ctrlProp214.xml><?xml version="1.0" encoding="utf-8"?>
<formControlPr xmlns="http://schemas.microsoft.com/office/spreadsheetml/2009/9/main" objectType="Drop" dropLines="6" dropStyle="combo" dx="17" fmlaLink="$Y$5" fmlaRange="$T$4:$T$9" noThreeD="1" sel="1" val="0"/>
</file>

<file path=xl/ctrlProps/ctrlProp215.xml><?xml version="1.0" encoding="utf-8"?>
<formControlPr xmlns="http://schemas.microsoft.com/office/spreadsheetml/2009/9/main" objectType="Drop" dropLines="6" dropStyle="combo" dx="17" fmlaLink="$Z$5" fmlaRange="$T$4:$T$9" noThreeD="1" sel="1" val="0"/>
</file>

<file path=xl/ctrlProps/ctrlProp216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17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218.xml><?xml version="1.0" encoding="utf-8"?>
<formControlPr xmlns="http://schemas.microsoft.com/office/spreadsheetml/2009/9/main" objectType="Drop" dropLines="10" dropStyle="combo" dx="17" fmlaLink="$B$48" fmlaRange="Arbeitsgänge!$C$27:$C$80" noThreeD="1" sel="52" val="43"/>
</file>

<file path=xl/ctrlProps/ctrlProp219.xml><?xml version="1.0" encoding="utf-8"?>
<formControlPr xmlns="http://schemas.microsoft.com/office/spreadsheetml/2009/9/main" objectType="Drop" dropLines="10" dropStyle="combo" dx="17" fmlaLink="$B$49" fmlaRange="Arbeitsgänge!$C$27:$C$80" noThreeD="1" sel="15" val="8"/>
</file>

<file path=xl/ctrlProps/ctrlProp22.xml><?xml version="1.0" encoding="utf-8"?>
<formControlPr xmlns="http://schemas.microsoft.com/office/spreadsheetml/2009/9/main" objectType="Drop" dropLines="10" dropStyle="combo" dx="17" fmlaLink="$B$52" fmlaRange="Arbeitsgänge!$C$27:$C$80" noThreeD="1" sel="52" val="44"/>
</file>

<file path=xl/ctrlProps/ctrlProp220.xml><?xml version="1.0" encoding="utf-8"?>
<formControlPr xmlns="http://schemas.microsoft.com/office/spreadsheetml/2009/9/main" objectType="Drop" dropLines="10" dropStyle="combo" dx="17" fmlaLink="$B$50" fmlaRange="Arbeitsgänge!$C$27:$C$80" noThreeD="1" sel="48" val="42"/>
</file>

<file path=xl/ctrlProps/ctrlProp221.xml><?xml version="1.0" encoding="utf-8"?>
<formControlPr xmlns="http://schemas.microsoft.com/office/spreadsheetml/2009/9/main" objectType="Drop" dropLines="10" dropStyle="combo" dx="17" fmlaLink="$B$51" fmlaRange="Arbeitsgänge!$C$27:$C$80" noThreeD="1" sel="17" val="11"/>
</file>

<file path=xl/ctrlProps/ctrlProp222.xml><?xml version="1.0" encoding="utf-8"?>
<formControlPr xmlns="http://schemas.microsoft.com/office/spreadsheetml/2009/9/main" objectType="Drop" dropLines="10" dropStyle="combo" dx="17" fmlaLink="$B$52" fmlaRange="Arbeitsgänge!$C$27:$C$80" noThreeD="1" sel="52" val="44"/>
</file>

<file path=xl/ctrlProps/ctrlProp223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224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225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26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27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228.xml><?xml version="1.0" encoding="utf-8"?>
<formControlPr xmlns="http://schemas.microsoft.com/office/spreadsheetml/2009/9/main" objectType="Drop" dropLines="6" dropStyle="combo" dx="17" fmlaLink="$W$5" fmlaRange="$T$4:$T$9" noThreeD="1" sel="4" val="0"/>
</file>

<file path=xl/ctrlProps/ctrlProp229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23.xml><?xml version="1.0" encoding="utf-8"?>
<formControlPr xmlns="http://schemas.microsoft.com/office/spreadsheetml/2009/9/main" objectType="Drop" dropLines="10" dropStyle="combo" dx="17" fmlaLink="$B$50" fmlaRange="Arbeitsgänge!$C$27:$C$80" noThreeD="1" sel="42" val="33"/>
</file>

<file path=xl/ctrlProps/ctrlProp230.xml><?xml version="1.0" encoding="utf-8"?>
<formControlPr xmlns="http://schemas.microsoft.com/office/spreadsheetml/2009/9/main" objectType="Drop" dropLines="6" dropStyle="combo" dx="17" fmlaLink="$Y$5" fmlaRange="$T$4:$T$9" noThreeD="1" sel="5" val="0"/>
</file>

<file path=xl/ctrlProps/ctrlProp231.xml><?xml version="1.0" encoding="utf-8"?>
<formControlPr xmlns="http://schemas.microsoft.com/office/spreadsheetml/2009/9/main" objectType="Drop" dropLines="6" dropStyle="combo" dx="17" fmlaLink="$Z$5" fmlaRange="$T$4:$T$9" noThreeD="1" sel="1" val="0"/>
</file>

<file path=xl/ctrlProps/ctrlProp232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33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234.xml><?xml version="1.0" encoding="utf-8"?>
<formControlPr xmlns="http://schemas.microsoft.com/office/spreadsheetml/2009/9/main" objectType="Drop" dropLines="10" dropStyle="combo" dx="17" fmlaLink="$B$48" fmlaRange="Arbeitsgänge!$C$27:$C$80" noThreeD="1" sel="15" val="9"/>
</file>

<file path=xl/ctrlProps/ctrlProp235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236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237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238.xml><?xml version="1.0" encoding="utf-8"?>
<formControlPr xmlns="http://schemas.microsoft.com/office/spreadsheetml/2009/9/main" objectType="Drop" dropLines="10" dropStyle="combo" dx="17" fmlaLink="$B$52" fmlaRange="Arbeitsgänge!$C$27:$C$80" noThreeD="1" sel="35" val="33"/>
</file>

<file path=xl/ctrlProps/ctrlProp239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24.xml><?xml version="1.0" encoding="utf-8"?>
<formControlPr xmlns="http://schemas.microsoft.com/office/spreadsheetml/2009/9/main" objectType="Drop" dropLines="10" dropStyle="combo" dx="17" fmlaLink="$B$53" fmlaRange="Arbeitsgänge!$C$27:$C$80" noThreeD="1" sel="52" val="44"/>
</file>

<file path=xl/ctrlProps/ctrlProp240.xml><?xml version="1.0" encoding="utf-8"?>
<formControlPr xmlns="http://schemas.microsoft.com/office/spreadsheetml/2009/9/main" objectType="Drop" dropLines="10" dropStyle="combo" dx="17" fmlaLink="$B$54" fmlaRange="Arbeitsgänge!$C$27:$C$80" noThreeD="1" sel="33" val="32"/>
</file>

<file path=xl/ctrlProps/ctrlProp241.xml><?xml version="1.0" encoding="utf-8"?>
<formControlPr xmlns="http://schemas.microsoft.com/office/spreadsheetml/2009/9/main" objectType="Drop" dropLines="10" dropStyle="combo" dx="17" fmlaLink="$B$55" fmlaRange="Arbeitsgänge!$C$27:$C$80" noThreeD="1" sel="38" val="35"/>
</file>

<file path=xl/ctrlProps/ctrlProp242.xml><?xml version="1.0" encoding="utf-8"?>
<formControlPr xmlns="http://schemas.microsoft.com/office/spreadsheetml/2009/9/main" objectType="Drop" dropLines="10" dropStyle="combo" dx="17" fmlaLink="$B$56" fmlaRange="Arbeitsgänge!$C$27:$C$80" noThreeD="1" sel="48" val="44"/>
</file>

<file path=xl/ctrlProps/ctrlProp243.xml><?xml version="1.0" encoding="utf-8"?>
<formControlPr xmlns="http://schemas.microsoft.com/office/spreadsheetml/2009/9/main" objectType="Drop" dropLines="6" dropStyle="combo" dx="17" fmlaLink="$V$5" fmlaRange="$T$4:$T$9" noThreeD="1" sel="2" val="0"/>
</file>

<file path=xl/ctrlProps/ctrlProp244.xml><?xml version="1.0" encoding="utf-8"?>
<formControlPr xmlns="http://schemas.microsoft.com/office/spreadsheetml/2009/9/main" objectType="Drop" dropLines="6" dropStyle="combo" dx="17" fmlaLink="$W$5" fmlaRange="$T$4:$T$9" noThreeD="1" sel="2" val="0"/>
</file>

<file path=xl/ctrlProps/ctrlProp245.xml><?xml version="1.0" encoding="utf-8"?>
<formControlPr xmlns="http://schemas.microsoft.com/office/spreadsheetml/2009/9/main" objectType="Drop" dropLines="6" dropStyle="combo" dx="17" fmlaLink="$X$5" fmlaRange="$T$4:$T$9" noThreeD="1" sel="2" val="0"/>
</file>

<file path=xl/ctrlProps/ctrlProp246.xml><?xml version="1.0" encoding="utf-8"?>
<formControlPr xmlns="http://schemas.microsoft.com/office/spreadsheetml/2009/9/main" objectType="Drop" dropLines="6" dropStyle="combo" dx="17" fmlaLink="$Y$5" fmlaRange="$T$4:$T$9" noThreeD="1" sel="2" val="0"/>
</file>

<file path=xl/ctrlProps/ctrlProp247.xml><?xml version="1.0" encoding="utf-8"?>
<formControlPr xmlns="http://schemas.microsoft.com/office/spreadsheetml/2009/9/main" objectType="Drop" dropLines="6" dropStyle="combo" dx="17" fmlaLink="$Z$5" fmlaRange="$T$4:$T$9" noThreeD="1" sel="2" val="0"/>
</file>

<file path=xl/ctrlProps/ctrlProp24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249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25.xml><?xml version="1.0" encoding="utf-8"?>
<formControlPr xmlns="http://schemas.microsoft.com/office/spreadsheetml/2009/9/main" objectType="Drop" dropLines="10" dropStyle="combo" dx="17" fmlaLink="$B$54" fmlaRange="Arbeitsgänge!$C$27:$C$80" noThreeD="1" sel="42" val="34"/>
</file>

<file path=xl/ctrlProps/ctrlProp250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251.xml><?xml version="1.0" encoding="utf-8"?>
<formControlPr xmlns="http://schemas.microsoft.com/office/spreadsheetml/2009/9/main" objectType="Drop" dropLines="10" dropStyle="combo" dx="17" fmlaLink="$B$49" fmlaRange="Arbeitsgänge!$C$27:$C$80" noThreeD="1" sel="25" val="17"/>
</file>

<file path=xl/ctrlProps/ctrlProp252.xml><?xml version="1.0" encoding="utf-8"?>
<formControlPr xmlns="http://schemas.microsoft.com/office/spreadsheetml/2009/9/main" objectType="Drop" dropLines="10" dropStyle="combo" dx="17" fmlaLink="$B$50" fmlaRange="Arbeitsgänge!$C$27:$C$80" noThreeD="1" sel="34" val="32"/>
</file>

<file path=xl/ctrlProps/ctrlProp253.xml><?xml version="1.0" encoding="utf-8"?>
<formControlPr xmlns="http://schemas.microsoft.com/office/spreadsheetml/2009/9/main" objectType="Drop" dropLines="10" dropStyle="combo" dx="17" fmlaLink="$B$51" fmlaRange="Arbeitsgänge!$C$27:$C$80" noThreeD="1" sel="47" val="44"/>
</file>

<file path=xl/ctrlProps/ctrlProp254.xml><?xml version="1.0" encoding="utf-8"?>
<formControlPr xmlns="http://schemas.microsoft.com/office/spreadsheetml/2009/9/main" objectType="Drop" dropLines="10" dropStyle="combo" dx="17" fmlaLink="$B$52" fmlaRange="Arbeitsgänge!$C$27:$C$80" noThreeD="1" sel="52" val="41"/>
</file>

<file path=xl/ctrlProps/ctrlProp255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256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257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58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59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26.xml><?xml version="1.0" encoding="utf-8"?>
<formControlPr xmlns="http://schemas.microsoft.com/office/spreadsheetml/2009/9/main" objectType="Drop" dropLines="10" dropStyle="combo" dx="17" fmlaLink="$B$55" fmlaRange="Arbeitsgänge!$C$27:$C$80" noThreeD="1" sel="52" val="44"/>
</file>

<file path=xl/ctrlProps/ctrlProp260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261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262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263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264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265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266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267.xml><?xml version="1.0" encoding="utf-8"?>
<formControlPr xmlns="http://schemas.microsoft.com/office/spreadsheetml/2009/9/main" objectType="Drop" dropLines="10" dropStyle="combo" dx="17" fmlaLink="$B$49" fmlaRange="Arbeitsgänge!$C$27:$C$80" noThreeD="1" sel="25" val="17"/>
</file>

<file path=xl/ctrlProps/ctrlProp268.xml><?xml version="1.0" encoding="utf-8"?>
<formControlPr xmlns="http://schemas.microsoft.com/office/spreadsheetml/2009/9/main" objectType="Drop" dropLines="10" dropStyle="combo" dx="17" fmlaLink="$B$50" fmlaRange="Arbeitsgänge!$C$27:$C$80" noThreeD="1" sel="29" val="22"/>
</file>

<file path=xl/ctrlProps/ctrlProp269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27.xml><?xml version="1.0" encoding="utf-8"?>
<formControlPr xmlns="http://schemas.microsoft.com/office/spreadsheetml/2009/9/main" objectType="Drop" dropLines="10" dropStyle="combo" dx="17" fmlaLink="$B$56" fmlaRange="Arbeitsgänge!$C$27:$C$80" noThreeD="1" sel="52" val="44"/>
</file>

<file path=xl/ctrlProps/ctrlProp270.xml><?xml version="1.0" encoding="utf-8"?>
<formControlPr xmlns="http://schemas.microsoft.com/office/spreadsheetml/2009/9/main" objectType="Drop" dropLines="10" dropStyle="combo" dx="17" fmlaLink="$B$52" fmlaRange="Arbeitsgänge!$C$27:$C$80" noThreeD="1" sel="31" val="29"/>
</file>

<file path=xl/ctrlProps/ctrlProp271.xml><?xml version="1.0" encoding="utf-8"?>
<formControlPr xmlns="http://schemas.microsoft.com/office/spreadsheetml/2009/9/main" objectType="Drop" dropLines="10" dropStyle="combo" dx="17" fmlaLink="$B$53" fmlaRange="Arbeitsgänge!$C$27:$C$80" noThreeD="1" sel="47" val="39"/>
</file>

<file path=xl/ctrlProps/ctrlProp272.xml><?xml version="1.0" encoding="utf-8"?>
<formControlPr xmlns="http://schemas.microsoft.com/office/spreadsheetml/2009/9/main" objectType="Drop" dropLines="10" dropStyle="combo" dx="17" fmlaLink="$B$54" fmlaRange="Arbeitsgänge!$C$27:$C$80" noThreeD="1" sel="42" val="36"/>
</file>

<file path=xl/ctrlProps/ctrlProp273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74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75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276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277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278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279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28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8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281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282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283.xml><?xml version="1.0" encoding="utf-8"?>
<formControlPr xmlns="http://schemas.microsoft.com/office/spreadsheetml/2009/9/main" objectType="Drop" dropLines="10" dropStyle="combo" dx="17" fmlaLink="$B$49" fmlaRange="Arbeitsgänge!$C$27:$C$80" noThreeD="1" sel="25" val="17"/>
</file>

<file path=xl/ctrlProps/ctrlProp284.xml><?xml version="1.0" encoding="utf-8"?>
<formControlPr xmlns="http://schemas.microsoft.com/office/spreadsheetml/2009/9/main" objectType="Drop" dropLines="10" dropStyle="combo" dx="17" fmlaLink="$B$50" fmlaRange="Arbeitsgänge!$C$27:$C$80" noThreeD="1" sel="29" val="22"/>
</file>

<file path=xl/ctrlProps/ctrlProp285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286.xml><?xml version="1.0" encoding="utf-8"?>
<formControlPr xmlns="http://schemas.microsoft.com/office/spreadsheetml/2009/9/main" objectType="Drop" dropLines="10" dropStyle="combo" dx="17" fmlaLink="$B$52" fmlaRange="Arbeitsgänge!$C$27:$C$80" noThreeD="1" sel="31" val="29"/>
</file>

<file path=xl/ctrlProps/ctrlProp287.xml><?xml version="1.0" encoding="utf-8"?>
<formControlPr xmlns="http://schemas.microsoft.com/office/spreadsheetml/2009/9/main" objectType="Drop" dropLines="10" dropStyle="combo" dx="17" fmlaLink="$B$53" fmlaRange="Arbeitsgänge!$C$27:$C$80" noThreeD="1" sel="20" val="14"/>
</file>

<file path=xl/ctrlProps/ctrlProp288.xml><?xml version="1.0" encoding="utf-8"?>
<formControlPr xmlns="http://schemas.microsoft.com/office/spreadsheetml/2009/9/main" objectType="Drop" dropLines="10" dropStyle="combo" dx="17" fmlaLink="$B$54" fmlaRange="Arbeitsgänge!$C$27:$C$80" noThreeD="1" sel="42" val="36"/>
</file>

<file path=xl/ctrlProps/ctrlProp289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9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90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91.xml><?xml version="1.0" encoding="utf-8"?>
<formControlPr xmlns="http://schemas.microsoft.com/office/spreadsheetml/2009/9/main" objectType="CheckBox" fmlaLink="$R$19" lockText="1" noThreeD="1"/>
</file>

<file path=xl/ctrlProps/ctrlProp292.xml><?xml version="1.0" encoding="utf-8"?>
<formControlPr xmlns="http://schemas.microsoft.com/office/spreadsheetml/2009/9/main" objectType="CheckBox" checked="Checked" fmlaLink="$R$20" lockText="1" noThreeD="1"/>
</file>

<file path=xl/ctrlProps/ctrlProp293.xml><?xml version="1.0" encoding="utf-8"?>
<formControlPr xmlns="http://schemas.microsoft.com/office/spreadsheetml/2009/9/main" objectType="CheckBox" fmlaLink="$R$21" lockText="1" noThreeD="1"/>
</file>

<file path=xl/ctrlProps/ctrlProp294.xml><?xml version="1.0" encoding="utf-8"?>
<formControlPr xmlns="http://schemas.microsoft.com/office/spreadsheetml/2009/9/main" objectType="CheckBox" fmlaLink="$R$22" lockText="1" noThreeD="1"/>
</file>

<file path=xl/ctrlProps/ctrlProp295.xml><?xml version="1.0" encoding="utf-8"?>
<formControlPr xmlns="http://schemas.microsoft.com/office/spreadsheetml/2009/9/main" objectType="CheckBox" fmlaLink="$R$23" lockText="1" noThreeD="1"/>
</file>

<file path=xl/ctrlProps/ctrlProp296.xml><?xml version="1.0" encoding="utf-8"?>
<formControlPr xmlns="http://schemas.microsoft.com/office/spreadsheetml/2009/9/main" objectType="CheckBox" fmlaLink="$U$19" lockText="1" noThreeD="1"/>
</file>

<file path=xl/ctrlProps/ctrlProp297.xml><?xml version="1.0" encoding="utf-8"?>
<formControlPr xmlns="http://schemas.microsoft.com/office/spreadsheetml/2009/9/main" objectType="CheckBox" checked="Checked" fmlaLink="$U$20" lockText="1" noThreeD="1"/>
</file>

<file path=xl/ctrlProps/ctrlProp298.xml><?xml version="1.0" encoding="utf-8"?>
<formControlPr xmlns="http://schemas.microsoft.com/office/spreadsheetml/2009/9/main" objectType="CheckBox" fmlaLink="$U$21" lockText="1" noThreeD="1"/>
</file>

<file path=xl/ctrlProps/ctrlProp299.xml><?xml version="1.0" encoding="utf-8"?>
<formControlPr xmlns="http://schemas.microsoft.com/office/spreadsheetml/2009/9/main" objectType="CheckBox" fmlaLink="$U$22" lockText="1" noThreeD="1"/>
</file>

<file path=xl/ctrlProps/ctrlProp3.xml><?xml version="1.0" encoding="utf-8"?>
<formControlPr xmlns="http://schemas.microsoft.com/office/spreadsheetml/2009/9/main" objectType="Drop" dropLines="6" dropStyle="combo" dx="17" fmlaLink="$W$5" fmlaRange="$T$4:$T$9" noThreeD="1" sel="2" val="0"/>
</file>

<file path=xl/ctrlProps/ctrlProp30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300.xml><?xml version="1.0" encoding="utf-8"?>
<formControlPr xmlns="http://schemas.microsoft.com/office/spreadsheetml/2009/9/main" objectType="CheckBox" fmlaLink="$U$23" lockText="1" noThreeD="1"/>
</file>

<file path=xl/ctrlProps/ctrlProp301.xml><?xml version="1.0" encoding="utf-8"?>
<formControlPr xmlns="http://schemas.microsoft.com/office/spreadsheetml/2009/9/main" objectType="CheckBox" fmlaLink="$X$19" lockText="1" noThreeD="1"/>
</file>

<file path=xl/ctrlProps/ctrlProp302.xml><?xml version="1.0" encoding="utf-8"?>
<formControlPr xmlns="http://schemas.microsoft.com/office/spreadsheetml/2009/9/main" objectType="CheckBox" checked="Checked" fmlaLink="$X$20" lockText="1" noThreeD="1"/>
</file>

<file path=xl/ctrlProps/ctrlProp303.xml><?xml version="1.0" encoding="utf-8"?>
<formControlPr xmlns="http://schemas.microsoft.com/office/spreadsheetml/2009/9/main" objectType="CheckBox" fmlaLink="$X$21" lockText="1" noThreeD="1"/>
</file>

<file path=xl/ctrlProps/ctrlProp304.xml><?xml version="1.0" encoding="utf-8"?>
<formControlPr xmlns="http://schemas.microsoft.com/office/spreadsheetml/2009/9/main" objectType="CheckBox" fmlaLink="$X$22" lockText="1" noThreeD="1"/>
</file>

<file path=xl/ctrlProps/ctrlProp305.xml><?xml version="1.0" encoding="utf-8"?>
<formControlPr xmlns="http://schemas.microsoft.com/office/spreadsheetml/2009/9/main" objectType="CheckBox" fmlaLink="$X$23" lockText="1" noThreeD="1"/>
</file>

<file path=xl/ctrlProps/ctrlProp306.xml><?xml version="1.0" encoding="utf-8"?>
<formControlPr xmlns="http://schemas.microsoft.com/office/spreadsheetml/2009/9/main" objectType="Drop" dropLines="10" dropStyle="combo" dx="17" fmlaLink="$B$45" fmlaRange="Arbeitsgänge!$C$27:$C$80" noThreeD="1" sel="7" val="6"/>
</file>

<file path=xl/ctrlProps/ctrlProp307.xml><?xml version="1.0" encoding="utf-8"?>
<formControlPr xmlns="http://schemas.microsoft.com/office/spreadsheetml/2009/9/main" objectType="Drop" dropLines="10" dropStyle="combo" dx="17" fmlaLink="$B$46" fmlaRange="Arbeitsgänge!$C$27:$C$80" noThreeD="1" sel="17" val="7"/>
</file>

<file path=xl/ctrlProps/ctrlProp308.xml><?xml version="1.0" encoding="utf-8"?>
<formControlPr xmlns="http://schemas.microsoft.com/office/spreadsheetml/2009/9/main" objectType="Drop" dropLines="10" dropStyle="combo" dx="17" fmlaLink="$B$47" fmlaRange="Arbeitsgänge!$C$27:$C$80" noThreeD="1" sel="3" val="0"/>
</file>

<file path=xl/ctrlProps/ctrlProp309.xml><?xml version="1.0" encoding="utf-8"?>
<formControlPr xmlns="http://schemas.microsoft.com/office/spreadsheetml/2009/9/main" objectType="Drop" dropLines="10" dropStyle="combo" dx="17" fmlaLink="$B$48" fmlaRange="Arbeitsgänge!$C$27:$C$80" noThreeD="1" sel="2" val="0"/>
</file>

<file path=xl/ctrlProps/ctrlProp31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310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311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312.xml><?xml version="1.0" encoding="utf-8"?>
<formControlPr xmlns="http://schemas.microsoft.com/office/spreadsheetml/2009/9/main" objectType="Drop" dropLines="10" dropStyle="combo" dx="17" fmlaLink="$B$51" fmlaRange="Arbeitsgänge!$C$27:$C$80" noThreeD="1" sel="22" val="20"/>
</file>

<file path=xl/ctrlProps/ctrlProp313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314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315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1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17.xml><?xml version="1.0" encoding="utf-8"?>
<formControlPr xmlns="http://schemas.microsoft.com/office/spreadsheetml/2009/9/main" objectType="CheckBox" fmlaLink="$R$19" lockText="1" noThreeD="1"/>
</file>

<file path=xl/ctrlProps/ctrlProp318.xml><?xml version="1.0" encoding="utf-8"?>
<formControlPr xmlns="http://schemas.microsoft.com/office/spreadsheetml/2009/9/main" objectType="CheckBox" fmlaLink="$R$20" lockText="1" noThreeD="1"/>
</file>

<file path=xl/ctrlProps/ctrlProp319.xml><?xml version="1.0" encoding="utf-8"?>
<formControlPr xmlns="http://schemas.microsoft.com/office/spreadsheetml/2009/9/main" objectType="CheckBox" fmlaLink="$R$21" lockText="1" noThreeD="1"/>
</file>

<file path=xl/ctrlProps/ctrlProp32.xml><?xml version="1.0" encoding="utf-8"?>
<formControlPr xmlns="http://schemas.microsoft.com/office/spreadsheetml/2009/9/main" objectType="Drop" dropLines="10" dropStyle="combo" dx="17" fmlaLink="$B$49" fmlaRange="Arbeitsgänge!$C$27:$C$80" noThreeD="1" sel="34" val="24"/>
</file>

<file path=xl/ctrlProps/ctrlProp320.xml><?xml version="1.0" encoding="utf-8"?>
<formControlPr xmlns="http://schemas.microsoft.com/office/spreadsheetml/2009/9/main" objectType="CheckBox" fmlaLink="$R$22" lockText="1" noThreeD="1"/>
</file>

<file path=xl/ctrlProps/ctrlProp321.xml><?xml version="1.0" encoding="utf-8"?>
<formControlPr xmlns="http://schemas.microsoft.com/office/spreadsheetml/2009/9/main" objectType="CheckBox" fmlaLink="$R$23" lockText="1" noThreeD="1"/>
</file>

<file path=xl/ctrlProps/ctrlProp322.xml><?xml version="1.0" encoding="utf-8"?>
<formControlPr xmlns="http://schemas.microsoft.com/office/spreadsheetml/2009/9/main" objectType="CheckBox" fmlaLink="$U$19" lockText="1" noThreeD="1"/>
</file>

<file path=xl/ctrlProps/ctrlProp323.xml><?xml version="1.0" encoding="utf-8"?>
<formControlPr xmlns="http://schemas.microsoft.com/office/spreadsheetml/2009/9/main" objectType="CheckBox" fmlaLink="$U$20" lockText="1" noThreeD="1"/>
</file>

<file path=xl/ctrlProps/ctrlProp324.xml><?xml version="1.0" encoding="utf-8"?>
<formControlPr xmlns="http://schemas.microsoft.com/office/spreadsheetml/2009/9/main" objectType="CheckBox" fmlaLink="$U$21" lockText="1" noThreeD="1"/>
</file>

<file path=xl/ctrlProps/ctrlProp325.xml><?xml version="1.0" encoding="utf-8"?>
<formControlPr xmlns="http://schemas.microsoft.com/office/spreadsheetml/2009/9/main" objectType="CheckBox" fmlaLink="$U$22" lockText="1" noThreeD="1"/>
</file>

<file path=xl/ctrlProps/ctrlProp326.xml><?xml version="1.0" encoding="utf-8"?>
<formControlPr xmlns="http://schemas.microsoft.com/office/spreadsheetml/2009/9/main" objectType="CheckBox" fmlaLink="$U$23" lockText="1" noThreeD="1"/>
</file>

<file path=xl/ctrlProps/ctrlProp327.xml><?xml version="1.0" encoding="utf-8"?>
<formControlPr xmlns="http://schemas.microsoft.com/office/spreadsheetml/2009/9/main" objectType="CheckBox" fmlaLink="$X$19" lockText="1" noThreeD="1"/>
</file>

<file path=xl/ctrlProps/ctrlProp328.xml><?xml version="1.0" encoding="utf-8"?>
<formControlPr xmlns="http://schemas.microsoft.com/office/spreadsheetml/2009/9/main" objectType="CheckBox" fmlaLink="$X$20" lockText="1" noThreeD="1"/>
</file>

<file path=xl/ctrlProps/ctrlProp329.xml><?xml version="1.0" encoding="utf-8"?>
<formControlPr xmlns="http://schemas.microsoft.com/office/spreadsheetml/2009/9/main" objectType="CheckBox" fmlaLink="$X$21" lockText="1" noThreeD="1"/>
</file>

<file path=xl/ctrlProps/ctrlProp33.xml><?xml version="1.0" encoding="utf-8"?>
<formControlPr xmlns="http://schemas.microsoft.com/office/spreadsheetml/2009/9/main" objectType="Drop" dropLines="10" dropStyle="combo" dx="17" fmlaLink="$B$50" fmlaRange="Arbeitsgänge!$C$27:$C$80" noThreeD="1" sel="21" val="18"/>
</file>

<file path=xl/ctrlProps/ctrlProp330.xml><?xml version="1.0" encoding="utf-8"?>
<formControlPr xmlns="http://schemas.microsoft.com/office/spreadsheetml/2009/9/main" objectType="CheckBox" fmlaLink="$X$22" lockText="1" noThreeD="1"/>
</file>

<file path=xl/ctrlProps/ctrlProp331.xml><?xml version="1.0" encoding="utf-8"?>
<formControlPr xmlns="http://schemas.microsoft.com/office/spreadsheetml/2009/9/main" objectType="CheckBox" fmlaLink="$X$23" lockText="1" noThreeD="1"/>
</file>

<file path=xl/ctrlProps/ctrlProp33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33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334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335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336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337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338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339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34.xml><?xml version="1.0" encoding="utf-8"?>
<formControlPr xmlns="http://schemas.microsoft.com/office/spreadsheetml/2009/9/main" objectType="Drop" dropLines="10" dropStyle="combo" dx="17" fmlaLink="$B$51" fmlaRange="Arbeitsgänge!$C$27:$C$80" noThreeD="1" sel="50" val="44"/>
</file>

<file path=xl/ctrlProps/ctrlProp340.xml><?xml version="1.0" encoding="utf-8"?>
<formControlPr xmlns="http://schemas.microsoft.com/office/spreadsheetml/2009/9/main" objectType="Drop" dropLines="10" dropStyle="combo" dx="17" fmlaLink="$B$53" fmlaRange="Arbeitsgänge!$C$27:$C$80" noThreeD="1" sel="52" val="36"/>
</file>

<file path=xl/ctrlProps/ctrlProp341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4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43.xml><?xml version="1.0" encoding="utf-8"?>
<formControlPr xmlns="http://schemas.microsoft.com/office/spreadsheetml/2009/9/main" objectType="CheckBox" fmlaLink="$R$19" lockText="1" noThreeD="1"/>
</file>

<file path=xl/ctrlProps/ctrlProp344.xml><?xml version="1.0" encoding="utf-8"?>
<formControlPr xmlns="http://schemas.microsoft.com/office/spreadsheetml/2009/9/main" objectType="CheckBox" fmlaLink="$R$20" lockText="1" noThreeD="1"/>
</file>

<file path=xl/ctrlProps/ctrlProp345.xml><?xml version="1.0" encoding="utf-8"?>
<formControlPr xmlns="http://schemas.microsoft.com/office/spreadsheetml/2009/9/main" objectType="CheckBox" fmlaLink="$R$21" lockText="1" noThreeD="1"/>
</file>

<file path=xl/ctrlProps/ctrlProp346.xml><?xml version="1.0" encoding="utf-8"?>
<formControlPr xmlns="http://schemas.microsoft.com/office/spreadsheetml/2009/9/main" objectType="CheckBox" fmlaLink="$R$22" lockText="1" noThreeD="1"/>
</file>

<file path=xl/ctrlProps/ctrlProp347.xml><?xml version="1.0" encoding="utf-8"?>
<formControlPr xmlns="http://schemas.microsoft.com/office/spreadsheetml/2009/9/main" objectType="CheckBox" fmlaLink="$R$23" lockText="1" noThreeD="1"/>
</file>

<file path=xl/ctrlProps/ctrlProp348.xml><?xml version="1.0" encoding="utf-8"?>
<formControlPr xmlns="http://schemas.microsoft.com/office/spreadsheetml/2009/9/main" objectType="CheckBox" checked="Checked" fmlaLink="$U$19" lockText="1" noThreeD="1"/>
</file>

<file path=xl/ctrlProps/ctrlProp349.xml><?xml version="1.0" encoding="utf-8"?>
<formControlPr xmlns="http://schemas.microsoft.com/office/spreadsheetml/2009/9/main" objectType="CheckBox" checked="Checked" fmlaLink="$U$20" lockText="1" noThreeD="1"/>
</file>

<file path=xl/ctrlProps/ctrlProp35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350.xml><?xml version="1.0" encoding="utf-8"?>
<formControlPr xmlns="http://schemas.microsoft.com/office/spreadsheetml/2009/9/main" objectType="CheckBox" checked="Checked" fmlaLink="$U$21" lockText="1" noThreeD="1"/>
</file>

<file path=xl/ctrlProps/ctrlProp351.xml><?xml version="1.0" encoding="utf-8"?>
<formControlPr xmlns="http://schemas.microsoft.com/office/spreadsheetml/2009/9/main" objectType="CheckBox" checked="Checked" fmlaLink="$U$22" lockText="1" noThreeD="1"/>
</file>

<file path=xl/ctrlProps/ctrlProp352.xml><?xml version="1.0" encoding="utf-8"?>
<formControlPr xmlns="http://schemas.microsoft.com/office/spreadsheetml/2009/9/main" objectType="CheckBox" checked="Checked" fmlaLink="$U$23" lockText="1" noThreeD="1"/>
</file>

<file path=xl/ctrlProps/ctrlProp353.xml><?xml version="1.0" encoding="utf-8"?>
<formControlPr xmlns="http://schemas.microsoft.com/office/spreadsheetml/2009/9/main" objectType="CheckBox" fmlaLink="$X$19" lockText="1" noThreeD="1"/>
</file>

<file path=xl/ctrlProps/ctrlProp354.xml><?xml version="1.0" encoding="utf-8"?>
<formControlPr xmlns="http://schemas.microsoft.com/office/spreadsheetml/2009/9/main" objectType="CheckBox" fmlaLink="$X$20" lockText="1" noThreeD="1"/>
</file>

<file path=xl/ctrlProps/ctrlProp355.xml><?xml version="1.0" encoding="utf-8"?>
<formControlPr xmlns="http://schemas.microsoft.com/office/spreadsheetml/2009/9/main" objectType="CheckBox" fmlaLink="$X$21" lockText="1" noThreeD="1"/>
</file>

<file path=xl/ctrlProps/ctrlProp356.xml><?xml version="1.0" encoding="utf-8"?>
<formControlPr xmlns="http://schemas.microsoft.com/office/spreadsheetml/2009/9/main" objectType="CheckBox" fmlaLink="$X$22" lockText="1" noThreeD="1"/>
</file>

<file path=xl/ctrlProps/ctrlProp357.xml><?xml version="1.0" encoding="utf-8"?>
<formControlPr xmlns="http://schemas.microsoft.com/office/spreadsheetml/2009/9/main" objectType="CheckBox" fmlaLink="$X$23" lockText="1" noThreeD="1"/>
</file>

<file path=xl/ctrlProps/ctrlProp35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35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36.xml><?xml version="1.0" encoding="utf-8"?>
<formControlPr xmlns="http://schemas.microsoft.com/office/spreadsheetml/2009/9/main" objectType="Drop" dropLines="10" dropStyle="combo" dx="17" fmlaLink="$B$53" fmlaRange="Arbeitsgänge!$C$27:$C$80" noThreeD="1" sel="54" val="42"/>
</file>

<file path=xl/ctrlProps/ctrlProp360.xml><?xml version="1.0" encoding="utf-8"?>
<formControlPr xmlns="http://schemas.microsoft.com/office/spreadsheetml/2009/9/main" objectType="Drop" dropLines="10" dropStyle="combo" dx="17" fmlaLink="$B$47" fmlaRange="Arbeitsgänge!$C$27:$C$80" noThreeD="1" sel="4" val="0"/>
</file>

<file path=xl/ctrlProps/ctrlProp361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362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363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364.xml><?xml version="1.0" encoding="utf-8"?>
<formControlPr xmlns="http://schemas.microsoft.com/office/spreadsheetml/2009/9/main" objectType="Drop" dropLines="10" dropStyle="combo" dx="17" fmlaLink="$B$51" fmlaRange="Arbeitsgänge!$C$27:$C$80" noThreeD="1" sel="45" val="43"/>
</file>

<file path=xl/ctrlProps/ctrlProp365.xml><?xml version="1.0" encoding="utf-8"?>
<formControlPr xmlns="http://schemas.microsoft.com/office/spreadsheetml/2009/9/main" objectType="Drop" dropLines="10" dropStyle="combo" dx="17" fmlaLink="$B$52" fmlaRange="Arbeitsgänge!$C$27:$C$80" noThreeD="1" sel="43" val="41"/>
</file>

<file path=xl/ctrlProps/ctrlProp366.xml><?xml version="1.0" encoding="utf-8"?>
<formControlPr xmlns="http://schemas.microsoft.com/office/spreadsheetml/2009/9/main" objectType="Drop" dropLines="10" dropStyle="combo" dx="17" fmlaLink="$B$53" fmlaRange="Arbeitsgänge!$C$27:$C$80" noThreeD="1" sel="42" val="36"/>
</file>

<file path=xl/ctrlProps/ctrlProp36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6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69.xml><?xml version="1.0" encoding="utf-8"?>
<formControlPr xmlns="http://schemas.microsoft.com/office/spreadsheetml/2009/9/main" objectType="CheckBox" fmlaLink="$R$19" lockText="1" noThreeD="1"/>
</file>

<file path=xl/ctrlProps/ctrlProp3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70.xml><?xml version="1.0" encoding="utf-8"?>
<formControlPr xmlns="http://schemas.microsoft.com/office/spreadsheetml/2009/9/main" objectType="CheckBox" fmlaLink="$R$20" lockText="1" noThreeD="1"/>
</file>

<file path=xl/ctrlProps/ctrlProp371.xml><?xml version="1.0" encoding="utf-8"?>
<formControlPr xmlns="http://schemas.microsoft.com/office/spreadsheetml/2009/9/main" objectType="CheckBox" fmlaLink="$R$21" lockText="1" noThreeD="1"/>
</file>

<file path=xl/ctrlProps/ctrlProp372.xml><?xml version="1.0" encoding="utf-8"?>
<formControlPr xmlns="http://schemas.microsoft.com/office/spreadsheetml/2009/9/main" objectType="CheckBox" fmlaLink="$R$22" lockText="1" noThreeD="1"/>
</file>

<file path=xl/ctrlProps/ctrlProp373.xml><?xml version="1.0" encoding="utf-8"?>
<formControlPr xmlns="http://schemas.microsoft.com/office/spreadsheetml/2009/9/main" objectType="CheckBox" fmlaLink="$R$23" lockText="1" noThreeD="1"/>
</file>

<file path=xl/ctrlProps/ctrlProp374.xml><?xml version="1.0" encoding="utf-8"?>
<formControlPr xmlns="http://schemas.microsoft.com/office/spreadsheetml/2009/9/main" objectType="CheckBox" fmlaLink="$U$19" lockText="1" noThreeD="1"/>
</file>

<file path=xl/ctrlProps/ctrlProp375.xml><?xml version="1.0" encoding="utf-8"?>
<formControlPr xmlns="http://schemas.microsoft.com/office/spreadsheetml/2009/9/main" objectType="CheckBox" fmlaLink="$U$20" lockText="1" noThreeD="1"/>
</file>

<file path=xl/ctrlProps/ctrlProp376.xml><?xml version="1.0" encoding="utf-8"?>
<formControlPr xmlns="http://schemas.microsoft.com/office/spreadsheetml/2009/9/main" objectType="CheckBox" fmlaLink="$U$21" lockText="1" noThreeD="1"/>
</file>

<file path=xl/ctrlProps/ctrlProp377.xml><?xml version="1.0" encoding="utf-8"?>
<formControlPr xmlns="http://schemas.microsoft.com/office/spreadsheetml/2009/9/main" objectType="CheckBox" fmlaLink="$U$22" lockText="1" noThreeD="1"/>
</file>

<file path=xl/ctrlProps/ctrlProp378.xml><?xml version="1.0" encoding="utf-8"?>
<formControlPr xmlns="http://schemas.microsoft.com/office/spreadsheetml/2009/9/main" objectType="CheckBox" fmlaLink="$U$23" lockText="1" noThreeD="1"/>
</file>

<file path=xl/ctrlProps/ctrlProp379.xml><?xml version="1.0" encoding="utf-8"?>
<formControlPr xmlns="http://schemas.microsoft.com/office/spreadsheetml/2009/9/main" objectType="CheckBox" fmlaLink="$X$19" lockText="1" noThreeD="1"/>
</file>

<file path=xl/ctrlProps/ctrlProp3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80.xml><?xml version="1.0" encoding="utf-8"?>
<formControlPr xmlns="http://schemas.microsoft.com/office/spreadsheetml/2009/9/main" objectType="CheckBox" fmlaLink="$X$20" lockText="1" noThreeD="1"/>
</file>

<file path=xl/ctrlProps/ctrlProp381.xml><?xml version="1.0" encoding="utf-8"?>
<formControlPr xmlns="http://schemas.microsoft.com/office/spreadsheetml/2009/9/main" objectType="CheckBox" fmlaLink="$X$21" lockText="1" noThreeD="1"/>
</file>

<file path=xl/ctrlProps/ctrlProp382.xml><?xml version="1.0" encoding="utf-8"?>
<formControlPr xmlns="http://schemas.microsoft.com/office/spreadsheetml/2009/9/main" objectType="CheckBox" fmlaLink="$X$22" lockText="1" noThreeD="1"/>
</file>

<file path=xl/ctrlProps/ctrlProp383.xml><?xml version="1.0" encoding="utf-8"?>
<formControlPr xmlns="http://schemas.microsoft.com/office/spreadsheetml/2009/9/main" objectType="CheckBox" fmlaLink="$X$23" lockText="1" noThreeD="1"/>
</file>

<file path=xl/ctrlProps/ctrlProp384.xml><?xml version="1.0" encoding="utf-8"?>
<formControlPr xmlns="http://schemas.microsoft.com/office/spreadsheetml/2009/9/main" objectType="Drop" dropLines="10" dropStyle="combo" dx="17" fmlaLink="$B$45" fmlaRange="Arbeitsgänge!$C$27:$C$80" noThreeD="1" sel="8" val="6"/>
</file>

<file path=xl/ctrlProps/ctrlProp385.xml><?xml version="1.0" encoding="utf-8"?>
<formControlPr xmlns="http://schemas.microsoft.com/office/spreadsheetml/2009/9/main" objectType="Drop" dropLines="10" dropStyle="combo" dx="17" fmlaLink="$B$46" fmlaRange="Arbeitsgänge!$C$27:$C$80" noThreeD="1" sel="34" val="33"/>
</file>

<file path=xl/ctrlProps/ctrlProp386.xml><?xml version="1.0" encoding="utf-8"?>
<formControlPr xmlns="http://schemas.microsoft.com/office/spreadsheetml/2009/9/main" objectType="Drop" dropLines="10" dropStyle="combo" dx="17" fmlaLink="$B$47" fmlaRange="Arbeitsgänge!$C$27:$C$80" noThreeD="1" sel="46" val="44"/>
</file>

<file path=xl/ctrlProps/ctrlProp387.xml><?xml version="1.0" encoding="utf-8"?>
<formControlPr xmlns="http://schemas.microsoft.com/office/spreadsheetml/2009/9/main" objectType="Drop" dropLines="10" dropStyle="combo" dx="17" fmlaLink="$B$48" fmlaRange="Arbeitsgänge!$C$27:$C$80" noThreeD="1" sel="52" val="42"/>
</file>

<file path=xl/ctrlProps/ctrlProp388.xml><?xml version="1.0" encoding="utf-8"?>
<formControlPr xmlns="http://schemas.microsoft.com/office/spreadsheetml/2009/9/main" objectType="Drop" dropLines="10" dropStyle="combo" dx="17" fmlaLink="$B$49" fmlaRange="Arbeitsgänge!$C$27:$C$80" noThreeD="1" sel="52" val="42"/>
</file>

<file path=xl/ctrlProps/ctrlProp389.xml><?xml version="1.0" encoding="utf-8"?>
<formControlPr xmlns="http://schemas.microsoft.com/office/spreadsheetml/2009/9/main" objectType="Drop" dropLines="10" dropStyle="combo" dx="17" fmlaLink="$B$50" fmlaRange="Arbeitsgänge!$C$27:$C$80" noThreeD="1" sel="52" val="42"/>
</file>

<file path=xl/ctrlProps/ctrlProp39.xml><?xml version="1.0" encoding="utf-8"?>
<formControlPr xmlns="http://schemas.microsoft.com/office/spreadsheetml/2009/9/main" objectType="Drop" dropLines="10" dropStyle="combo" dx="17" fmlaLink="$B$56" fmlaRange="Arbeitsgänge!$C$27:$C$80" noThreeD="1" sel="52" val="44"/>
</file>

<file path=xl/ctrlProps/ctrlProp390.xml><?xml version="1.0" encoding="utf-8"?>
<formControlPr xmlns="http://schemas.microsoft.com/office/spreadsheetml/2009/9/main" objectType="Drop" dropLines="10" dropStyle="combo" dx="17" fmlaLink="$B$51" fmlaRange="Arbeitsgänge!$C$27:$C$80" noThreeD="1" sel="52" val="42"/>
</file>

<file path=xl/ctrlProps/ctrlProp391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392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393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94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95.xml><?xml version="1.0" encoding="utf-8"?>
<formControlPr xmlns="http://schemas.microsoft.com/office/spreadsheetml/2009/9/main" objectType="CheckBox" fmlaLink="$R$19" lockText="1" noThreeD="1"/>
</file>

<file path=xl/ctrlProps/ctrlProp396.xml><?xml version="1.0" encoding="utf-8"?>
<formControlPr xmlns="http://schemas.microsoft.com/office/spreadsheetml/2009/9/main" objectType="CheckBox" fmlaLink="$R$20" lockText="1" noThreeD="1"/>
</file>

<file path=xl/ctrlProps/ctrlProp397.xml><?xml version="1.0" encoding="utf-8"?>
<formControlPr xmlns="http://schemas.microsoft.com/office/spreadsheetml/2009/9/main" objectType="CheckBox" fmlaLink="$R$21" lockText="1" noThreeD="1"/>
</file>

<file path=xl/ctrlProps/ctrlProp398.xml><?xml version="1.0" encoding="utf-8"?>
<formControlPr xmlns="http://schemas.microsoft.com/office/spreadsheetml/2009/9/main" objectType="CheckBox" fmlaLink="$R$22" lockText="1" noThreeD="1"/>
</file>

<file path=xl/ctrlProps/ctrlProp399.xml><?xml version="1.0" encoding="utf-8"?>
<formControlPr xmlns="http://schemas.microsoft.com/office/spreadsheetml/2009/9/main" objectType="CheckBox" fmlaLink="$R$23" lockText="1" noThreeD="1"/>
</file>

<file path=xl/ctrlProps/ctrlProp4.xml><?xml version="1.0" encoding="utf-8"?>
<formControlPr xmlns="http://schemas.microsoft.com/office/spreadsheetml/2009/9/main" objectType="Drop" dropLines="6" dropStyle="combo" dx="17" fmlaLink="$X$5" fmlaRange="$T$4:$T$9" noThreeD="1" sel="2" val="0"/>
</file>

<file path=xl/ctrlProps/ctrlProp40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400.xml><?xml version="1.0" encoding="utf-8"?>
<formControlPr xmlns="http://schemas.microsoft.com/office/spreadsheetml/2009/9/main" objectType="CheckBox" fmlaLink="$U$19" lockText="1" noThreeD="1"/>
</file>

<file path=xl/ctrlProps/ctrlProp401.xml><?xml version="1.0" encoding="utf-8"?>
<formControlPr xmlns="http://schemas.microsoft.com/office/spreadsheetml/2009/9/main" objectType="CheckBox" fmlaLink="$U$20" lockText="1" noThreeD="1"/>
</file>

<file path=xl/ctrlProps/ctrlProp402.xml><?xml version="1.0" encoding="utf-8"?>
<formControlPr xmlns="http://schemas.microsoft.com/office/spreadsheetml/2009/9/main" objectType="CheckBox" fmlaLink="$U$21" lockText="1" noThreeD="1"/>
</file>

<file path=xl/ctrlProps/ctrlProp403.xml><?xml version="1.0" encoding="utf-8"?>
<formControlPr xmlns="http://schemas.microsoft.com/office/spreadsheetml/2009/9/main" objectType="CheckBox" fmlaLink="$U$22" lockText="1" noThreeD="1"/>
</file>

<file path=xl/ctrlProps/ctrlProp404.xml><?xml version="1.0" encoding="utf-8"?>
<formControlPr xmlns="http://schemas.microsoft.com/office/spreadsheetml/2009/9/main" objectType="CheckBox" fmlaLink="$U$23" lockText="1" noThreeD="1"/>
</file>

<file path=xl/ctrlProps/ctrlProp405.xml><?xml version="1.0" encoding="utf-8"?>
<formControlPr xmlns="http://schemas.microsoft.com/office/spreadsheetml/2009/9/main" objectType="CheckBox" fmlaLink="$X$19" lockText="1" noThreeD="1"/>
</file>

<file path=xl/ctrlProps/ctrlProp406.xml><?xml version="1.0" encoding="utf-8"?>
<formControlPr xmlns="http://schemas.microsoft.com/office/spreadsheetml/2009/9/main" objectType="CheckBox" fmlaLink="$X$20" lockText="1" noThreeD="1"/>
</file>

<file path=xl/ctrlProps/ctrlProp407.xml><?xml version="1.0" encoding="utf-8"?>
<formControlPr xmlns="http://schemas.microsoft.com/office/spreadsheetml/2009/9/main" objectType="CheckBox" fmlaLink="$X$21" lockText="1" noThreeD="1"/>
</file>

<file path=xl/ctrlProps/ctrlProp408.xml><?xml version="1.0" encoding="utf-8"?>
<formControlPr xmlns="http://schemas.microsoft.com/office/spreadsheetml/2009/9/main" objectType="CheckBox" fmlaLink="$X$22" lockText="1" noThreeD="1"/>
</file>

<file path=xl/ctrlProps/ctrlProp409.xml><?xml version="1.0" encoding="utf-8"?>
<formControlPr xmlns="http://schemas.microsoft.com/office/spreadsheetml/2009/9/main" objectType="CheckBox" fmlaLink="$X$23" lockText="1" noThreeD="1"/>
</file>

<file path=xl/ctrlProps/ctrlProp41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410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11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12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413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414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415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416.xml><?xml version="1.0" encoding="utf-8"?>
<formControlPr xmlns="http://schemas.microsoft.com/office/spreadsheetml/2009/9/main" objectType="Drop" dropLines="10" dropStyle="combo" dx="17" fmlaLink="$B$51" fmlaRange="Arbeitsgänge!$C$27:$C$80" noThreeD="1" sel="23" val="20"/>
</file>

<file path=xl/ctrlProps/ctrlProp417.xml><?xml version="1.0" encoding="utf-8"?>
<formControlPr xmlns="http://schemas.microsoft.com/office/spreadsheetml/2009/9/main" objectType="Drop" dropLines="10" dropStyle="combo" dx="17" fmlaLink="$B$52" fmlaRange="Arbeitsgänge!$C$27:$C$80" noThreeD="1" sel="0" val="0"/>
</file>

<file path=xl/ctrlProps/ctrlProp418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419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42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420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421.xml><?xml version="1.0" encoding="utf-8"?>
<formControlPr xmlns="http://schemas.microsoft.com/office/spreadsheetml/2009/9/main" objectType="CheckBox" fmlaLink="$R$19" lockText="1" noThreeD="1"/>
</file>

<file path=xl/ctrlProps/ctrlProp422.xml><?xml version="1.0" encoding="utf-8"?>
<formControlPr xmlns="http://schemas.microsoft.com/office/spreadsheetml/2009/9/main" objectType="CheckBox" fmlaLink="$R$20" lockText="1" noThreeD="1"/>
</file>

<file path=xl/ctrlProps/ctrlProp423.xml><?xml version="1.0" encoding="utf-8"?>
<formControlPr xmlns="http://schemas.microsoft.com/office/spreadsheetml/2009/9/main" objectType="CheckBox" fmlaLink="$R$21" lockText="1" noThreeD="1"/>
</file>

<file path=xl/ctrlProps/ctrlProp424.xml><?xml version="1.0" encoding="utf-8"?>
<formControlPr xmlns="http://schemas.microsoft.com/office/spreadsheetml/2009/9/main" objectType="CheckBox" fmlaLink="$R$22" lockText="1" noThreeD="1"/>
</file>

<file path=xl/ctrlProps/ctrlProp425.xml><?xml version="1.0" encoding="utf-8"?>
<formControlPr xmlns="http://schemas.microsoft.com/office/spreadsheetml/2009/9/main" objectType="CheckBox" fmlaLink="$R$23" lockText="1" noThreeD="1"/>
</file>

<file path=xl/ctrlProps/ctrlProp426.xml><?xml version="1.0" encoding="utf-8"?>
<formControlPr xmlns="http://schemas.microsoft.com/office/spreadsheetml/2009/9/main" objectType="CheckBox" fmlaLink="$U$19" lockText="1" noThreeD="1"/>
</file>

<file path=xl/ctrlProps/ctrlProp427.xml><?xml version="1.0" encoding="utf-8"?>
<formControlPr xmlns="http://schemas.microsoft.com/office/spreadsheetml/2009/9/main" objectType="CheckBox" fmlaLink="$U$20" lockText="1" noThreeD="1"/>
</file>

<file path=xl/ctrlProps/ctrlProp428.xml><?xml version="1.0" encoding="utf-8"?>
<formControlPr xmlns="http://schemas.microsoft.com/office/spreadsheetml/2009/9/main" objectType="CheckBox" fmlaLink="$U$21" lockText="1" noThreeD="1"/>
</file>

<file path=xl/ctrlProps/ctrlProp429.xml><?xml version="1.0" encoding="utf-8"?>
<formControlPr xmlns="http://schemas.microsoft.com/office/spreadsheetml/2009/9/main" objectType="CheckBox" fmlaLink="$U$22" lockText="1" noThreeD="1"/>
</file>

<file path=xl/ctrlProps/ctrlProp43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430.xml><?xml version="1.0" encoding="utf-8"?>
<formControlPr xmlns="http://schemas.microsoft.com/office/spreadsheetml/2009/9/main" objectType="CheckBox" fmlaLink="$U$23" lockText="1" noThreeD="1"/>
</file>

<file path=xl/ctrlProps/ctrlProp431.xml><?xml version="1.0" encoding="utf-8"?>
<formControlPr xmlns="http://schemas.microsoft.com/office/spreadsheetml/2009/9/main" objectType="CheckBox" fmlaLink="$X$19" lockText="1" noThreeD="1"/>
</file>

<file path=xl/ctrlProps/ctrlProp432.xml><?xml version="1.0" encoding="utf-8"?>
<formControlPr xmlns="http://schemas.microsoft.com/office/spreadsheetml/2009/9/main" objectType="CheckBox" fmlaLink="$X$20" lockText="1" noThreeD="1"/>
</file>

<file path=xl/ctrlProps/ctrlProp433.xml><?xml version="1.0" encoding="utf-8"?>
<formControlPr xmlns="http://schemas.microsoft.com/office/spreadsheetml/2009/9/main" objectType="CheckBox" fmlaLink="$X$21" lockText="1" noThreeD="1"/>
</file>

<file path=xl/ctrlProps/ctrlProp434.xml><?xml version="1.0" encoding="utf-8"?>
<formControlPr xmlns="http://schemas.microsoft.com/office/spreadsheetml/2009/9/main" objectType="CheckBox" fmlaLink="$X$22" lockText="1" noThreeD="1"/>
</file>

<file path=xl/ctrlProps/ctrlProp435.xml><?xml version="1.0" encoding="utf-8"?>
<formControlPr xmlns="http://schemas.microsoft.com/office/spreadsheetml/2009/9/main" objectType="CheckBox" fmlaLink="$X$23" lockText="1" noThreeD="1"/>
</file>

<file path=xl/ctrlProps/ctrlProp43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3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38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439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44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440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441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442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443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444.xml><?xml version="1.0" encoding="utf-8"?>
<formControlPr xmlns="http://schemas.microsoft.com/office/spreadsheetml/2009/9/main" objectType="Drop" dropLines="10" dropStyle="combo" dx="17" fmlaLink="$B$53" fmlaRange="Arbeitsgänge!$C$27:$C$80" noThreeD="1" sel="46" val="43"/>
</file>

<file path=xl/ctrlProps/ctrlProp445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44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447.xml><?xml version="1.0" encoding="utf-8"?>
<formControlPr xmlns="http://schemas.microsoft.com/office/spreadsheetml/2009/9/main" objectType="CheckBox" fmlaLink="$R$19" lockText="1" noThreeD="1"/>
</file>

<file path=xl/ctrlProps/ctrlProp448.xml><?xml version="1.0" encoding="utf-8"?>
<formControlPr xmlns="http://schemas.microsoft.com/office/spreadsheetml/2009/9/main" objectType="CheckBox" fmlaLink="$R$20" lockText="1" noThreeD="1"/>
</file>

<file path=xl/ctrlProps/ctrlProp449.xml><?xml version="1.0" encoding="utf-8"?>
<formControlPr xmlns="http://schemas.microsoft.com/office/spreadsheetml/2009/9/main" objectType="CheckBox" fmlaLink="$R$21" lockText="1" noThreeD="1"/>
</file>

<file path=xl/ctrlProps/ctrlProp45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450.xml><?xml version="1.0" encoding="utf-8"?>
<formControlPr xmlns="http://schemas.microsoft.com/office/spreadsheetml/2009/9/main" objectType="CheckBox" fmlaLink="$R$22" lockText="1" noThreeD="1"/>
</file>

<file path=xl/ctrlProps/ctrlProp451.xml><?xml version="1.0" encoding="utf-8"?>
<formControlPr xmlns="http://schemas.microsoft.com/office/spreadsheetml/2009/9/main" objectType="CheckBox" fmlaLink="$R$23" lockText="1" noThreeD="1"/>
</file>

<file path=xl/ctrlProps/ctrlProp452.xml><?xml version="1.0" encoding="utf-8"?>
<formControlPr xmlns="http://schemas.microsoft.com/office/spreadsheetml/2009/9/main" objectType="CheckBox" fmlaLink="$U$19" lockText="1" noThreeD="1"/>
</file>

<file path=xl/ctrlProps/ctrlProp453.xml><?xml version="1.0" encoding="utf-8"?>
<formControlPr xmlns="http://schemas.microsoft.com/office/spreadsheetml/2009/9/main" objectType="CheckBox" fmlaLink="$U$20" lockText="1" noThreeD="1"/>
</file>

<file path=xl/ctrlProps/ctrlProp454.xml><?xml version="1.0" encoding="utf-8"?>
<formControlPr xmlns="http://schemas.microsoft.com/office/spreadsheetml/2009/9/main" objectType="CheckBox" fmlaLink="$U$21" lockText="1" noThreeD="1"/>
</file>

<file path=xl/ctrlProps/ctrlProp455.xml><?xml version="1.0" encoding="utf-8"?>
<formControlPr xmlns="http://schemas.microsoft.com/office/spreadsheetml/2009/9/main" objectType="CheckBox" fmlaLink="$U$22" lockText="1" noThreeD="1"/>
</file>

<file path=xl/ctrlProps/ctrlProp456.xml><?xml version="1.0" encoding="utf-8"?>
<formControlPr xmlns="http://schemas.microsoft.com/office/spreadsheetml/2009/9/main" objectType="CheckBox" fmlaLink="$U$23" lockText="1" noThreeD="1"/>
</file>

<file path=xl/ctrlProps/ctrlProp457.xml><?xml version="1.0" encoding="utf-8"?>
<formControlPr xmlns="http://schemas.microsoft.com/office/spreadsheetml/2009/9/main" objectType="CheckBox" fmlaLink="$X$19" lockText="1" noThreeD="1"/>
</file>

<file path=xl/ctrlProps/ctrlProp458.xml><?xml version="1.0" encoding="utf-8"?>
<formControlPr xmlns="http://schemas.microsoft.com/office/spreadsheetml/2009/9/main" objectType="CheckBox" fmlaLink="$X$20" lockText="1" noThreeD="1"/>
</file>

<file path=xl/ctrlProps/ctrlProp459.xml><?xml version="1.0" encoding="utf-8"?>
<formControlPr xmlns="http://schemas.microsoft.com/office/spreadsheetml/2009/9/main" objectType="CheckBox" fmlaLink="$X$21" lockText="1" noThreeD="1"/>
</file>

<file path=xl/ctrlProps/ctrlProp46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460.xml><?xml version="1.0" encoding="utf-8"?>
<formControlPr xmlns="http://schemas.microsoft.com/office/spreadsheetml/2009/9/main" objectType="CheckBox" fmlaLink="$X$22" lockText="1" noThreeD="1"/>
</file>

<file path=xl/ctrlProps/ctrlProp461.xml><?xml version="1.0" encoding="utf-8"?>
<formControlPr xmlns="http://schemas.microsoft.com/office/spreadsheetml/2009/9/main" objectType="CheckBox" fmlaLink="$X$23" lockText="1" noThreeD="1"/>
</file>

<file path=xl/ctrlProps/ctrlProp46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6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64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465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466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467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468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469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47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470.xml><?xml version="1.0" encoding="utf-8"?>
<formControlPr xmlns="http://schemas.microsoft.com/office/spreadsheetml/2009/9/main" objectType="Drop" dropLines="10" dropStyle="combo" dx="17" fmlaLink="$B$53" fmlaRange="Arbeitsgänge!$C$27:$C$80" noThreeD="1" sel="52" val="44"/>
</file>

<file path=xl/ctrlProps/ctrlProp471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47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473.xml><?xml version="1.0" encoding="utf-8"?>
<formControlPr xmlns="http://schemas.microsoft.com/office/spreadsheetml/2009/9/main" objectType="CheckBox" fmlaLink="$R$19" lockText="1" noThreeD="1"/>
</file>

<file path=xl/ctrlProps/ctrlProp474.xml><?xml version="1.0" encoding="utf-8"?>
<formControlPr xmlns="http://schemas.microsoft.com/office/spreadsheetml/2009/9/main" objectType="CheckBox" fmlaLink="$R$20" lockText="1" noThreeD="1"/>
</file>

<file path=xl/ctrlProps/ctrlProp475.xml><?xml version="1.0" encoding="utf-8"?>
<formControlPr xmlns="http://schemas.microsoft.com/office/spreadsheetml/2009/9/main" objectType="CheckBox" fmlaLink="$R$21" lockText="1" noThreeD="1"/>
</file>

<file path=xl/ctrlProps/ctrlProp476.xml><?xml version="1.0" encoding="utf-8"?>
<formControlPr xmlns="http://schemas.microsoft.com/office/spreadsheetml/2009/9/main" objectType="CheckBox" fmlaLink="$R$22" lockText="1" noThreeD="1"/>
</file>

<file path=xl/ctrlProps/ctrlProp477.xml><?xml version="1.0" encoding="utf-8"?>
<formControlPr xmlns="http://schemas.microsoft.com/office/spreadsheetml/2009/9/main" objectType="CheckBox" fmlaLink="$R$23" lockText="1" noThreeD="1"/>
</file>

<file path=xl/ctrlProps/ctrlProp478.xml><?xml version="1.0" encoding="utf-8"?>
<formControlPr xmlns="http://schemas.microsoft.com/office/spreadsheetml/2009/9/main" objectType="CheckBox" fmlaLink="$U$19" lockText="1" noThreeD="1"/>
</file>

<file path=xl/ctrlProps/ctrlProp479.xml><?xml version="1.0" encoding="utf-8"?>
<formControlPr xmlns="http://schemas.microsoft.com/office/spreadsheetml/2009/9/main" objectType="CheckBox" fmlaLink="$U$20" lockText="1" noThreeD="1"/>
</file>

<file path=xl/ctrlProps/ctrlProp48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480.xml><?xml version="1.0" encoding="utf-8"?>
<formControlPr xmlns="http://schemas.microsoft.com/office/spreadsheetml/2009/9/main" objectType="CheckBox" fmlaLink="$U$21" lockText="1" noThreeD="1"/>
</file>

<file path=xl/ctrlProps/ctrlProp481.xml><?xml version="1.0" encoding="utf-8"?>
<formControlPr xmlns="http://schemas.microsoft.com/office/spreadsheetml/2009/9/main" objectType="CheckBox" fmlaLink="$U$22" lockText="1" noThreeD="1"/>
</file>

<file path=xl/ctrlProps/ctrlProp482.xml><?xml version="1.0" encoding="utf-8"?>
<formControlPr xmlns="http://schemas.microsoft.com/office/spreadsheetml/2009/9/main" objectType="CheckBox" fmlaLink="$U$23" lockText="1" noThreeD="1"/>
</file>

<file path=xl/ctrlProps/ctrlProp483.xml><?xml version="1.0" encoding="utf-8"?>
<formControlPr xmlns="http://schemas.microsoft.com/office/spreadsheetml/2009/9/main" objectType="CheckBox" fmlaLink="$X$19" lockText="1" noThreeD="1"/>
</file>

<file path=xl/ctrlProps/ctrlProp484.xml><?xml version="1.0" encoding="utf-8"?>
<formControlPr xmlns="http://schemas.microsoft.com/office/spreadsheetml/2009/9/main" objectType="CheckBox" fmlaLink="$X$20" lockText="1" noThreeD="1"/>
</file>

<file path=xl/ctrlProps/ctrlProp485.xml><?xml version="1.0" encoding="utf-8"?>
<formControlPr xmlns="http://schemas.microsoft.com/office/spreadsheetml/2009/9/main" objectType="CheckBox" fmlaLink="$X$21" lockText="1" noThreeD="1"/>
</file>

<file path=xl/ctrlProps/ctrlProp486.xml><?xml version="1.0" encoding="utf-8"?>
<formControlPr xmlns="http://schemas.microsoft.com/office/spreadsheetml/2009/9/main" objectType="CheckBox" fmlaLink="$X$22" lockText="1" noThreeD="1"/>
</file>

<file path=xl/ctrlProps/ctrlProp487.xml><?xml version="1.0" encoding="utf-8"?>
<formControlPr xmlns="http://schemas.microsoft.com/office/spreadsheetml/2009/9/main" objectType="CheckBox" fmlaLink="$X$23" lockText="1" noThreeD="1"/>
</file>

<file path=xl/ctrlProps/ctrlProp48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8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9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490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491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492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493.xml><?xml version="1.0" encoding="utf-8"?>
<formControlPr xmlns="http://schemas.microsoft.com/office/spreadsheetml/2009/9/main" objectType="Drop" dropLines="10" dropStyle="combo" dx="17" fmlaLink="$B$50" fmlaRange="Arbeitsgänge!$C$27:$C$80" noThreeD="1" sel="16" val="15"/>
</file>

<file path=xl/ctrlProps/ctrlProp494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495.xml><?xml version="1.0" encoding="utf-8"?>
<formControlPr xmlns="http://schemas.microsoft.com/office/spreadsheetml/2009/9/main" objectType="Drop" dropLines="10" dropStyle="combo" dx="17" fmlaLink="$B$52" fmlaRange="Arbeitsgänge!$C$27:$C$80" noThreeD="1" sel="52" val="43"/>
</file>

<file path=xl/ctrlProps/ctrlProp496.xml><?xml version="1.0" encoding="utf-8"?>
<formControlPr xmlns="http://schemas.microsoft.com/office/spreadsheetml/2009/9/main" objectType="Drop" dropLines="10" dropStyle="combo" dx="17" fmlaLink="$B$53" fmlaRange="Arbeitsgänge!$C$27:$C$80" noThreeD="1" sel="52" val="43"/>
</file>

<file path=xl/ctrlProps/ctrlProp49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49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499.xml><?xml version="1.0" encoding="utf-8"?>
<formControlPr xmlns="http://schemas.microsoft.com/office/spreadsheetml/2009/9/main" objectType="CheckBox" fmlaLink="$R$19" lockText="1" noThreeD="1"/>
</file>

<file path=xl/ctrlProps/ctrlProp5.xml><?xml version="1.0" encoding="utf-8"?>
<formControlPr xmlns="http://schemas.microsoft.com/office/spreadsheetml/2009/9/main" objectType="Drop" dropLines="6" dropStyle="combo" dx="17" fmlaLink="$Y$5" fmlaRange="$T$4:$T$9" noThreeD="1" sel="2" val="0"/>
</file>

<file path=xl/ctrlProps/ctrlProp50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500.xml><?xml version="1.0" encoding="utf-8"?>
<formControlPr xmlns="http://schemas.microsoft.com/office/spreadsheetml/2009/9/main" objectType="CheckBox" fmlaLink="$R$20" lockText="1" noThreeD="1"/>
</file>

<file path=xl/ctrlProps/ctrlProp501.xml><?xml version="1.0" encoding="utf-8"?>
<formControlPr xmlns="http://schemas.microsoft.com/office/spreadsheetml/2009/9/main" objectType="CheckBox" fmlaLink="$R$21" lockText="1" noThreeD="1"/>
</file>

<file path=xl/ctrlProps/ctrlProp502.xml><?xml version="1.0" encoding="utf-8"?>
<formControlPr xmlns="http://schemas.microsoft.com/office/spreadsheetml/2009/9/main" objectType="CheckBox" fmlaLink="$R$22" lockText="1" noThreeD="1"/>
</file>

<file path=xl/ctrlProps/ctrlProp503.xml><?xml version="1.0" encoding="utf-8"?>
<formControlPr xmlns="http://schemas.microsoft.com/office/spreadsheetml/2009/9/main" objectType="CheckBox" fmlaLink="$R$23" lockText="1" noThreeD="1"/>
</file>

<file path=xl/ctrlProps/ctrlProp504.xml><?xml version="1.0" encoding="utf-8"?>
<formControlPr xmlns="http://schemas.microsoft.com/office/spreadsheetml/2009/9/main" objectType="CheckBox" fmlaLink="$U$19" lockText="1" noThreeD="1"/>
</file>

<file path=xl/ctrlProps/ctrlProp505.xml><?xml version="1.0" encoding="utf-8"?>
<formControlPr xmlns="http://schemas.microsoft.com/office/spreadsheetml/2009/9/main" objectType="CheckBox" fmlaLink="$U$20" lockText="1" noThreeD="1"/>
</file>

<file path=xl/ctrlProps/ctrlProp506.xml><?xml version="1.0" encoding="utf-8"?>
<formControlPr xmlns="http://schemas.microsoft.com/office/spreadsheetml/2009/9/main" objectType="CheckBox" fmlaLink="$U$21" lockText="1" noThreeD="1"/>
</file>

<file path=xl/ctrlProps/ctrlProp507.xml><?xml version="1.0" encoding="utf-8"?>
<formControlPr xmlns="http://schemas.microsoft.com/office/spreadsheetml/2009/9/main" objectType="CheckBox" fmlaLink="$U$22" lockText="1" noThreeD="1"/>
</file>

<file path=xl/ctrlProps/ctrlProp508.xml><?xml version="1.0" encoding="utf-8"?>
<formControlPr xmlns="http://schemas.microsoft.com/office/spreadsheetml/2009/9/main" objectType="CheckBox" fmlaLink="$U$23" lockText="1" noThreeD="1"/>
</file>

<file path=xl/ctrlProps/ctrlProp509.xml><?xml version="1.0" encoding="utf-8"?>
<formControlPr xmlns="http://schemas.microsoft.com/office/spreadsheetml/2009/9/main" objectType="CheckBox" fmlaLink="$X$19" lockText="1" noThreeD="1"/>
</file>

<file path=xl/ctrlProps/ctrlProp51.xml><?xml version="1.0" encoding="utf-8"?>
<formControlPr xmlns="http://schemas.microsoft.com/office/spreadsheetml/2009/9/main" objectType="Drop" dropLines="10" dropStyle="combo" dx="17" fmlaLink="$B$52" fmlaRange="Arbeitsgänge!$C$27:$C$80" noThreeD="1" sel="36" val="34"/>
</file>

<file path=xl/ctrlProps/ctrlProp510.xml><?xml version="1.0" encoding="utf-8"?>
<formControlPr xmlns="http://schemas.microsoft.com/office/spreadsheetml/2009/9/main" objectType="CheckBox" fmlaLink="$X$20" lockText="1" noThreeD="1"/>
</file>

<file path=xl/ctrlProps/ctrlProp511.xml><?xml version="1.0" encoding="utf-8"?>
<formControlPr xmlns="http://schemas.microsoft.com/office/spreadsheetml/2009/9/main" objectType="CheckBox" fmlaLink="$X$21" lockText="1" noThreeD="1"/>
</file>

<file path=xl/ctrlProps/ctrlProp512.xml><?xml version="1.0" encoding="utf-8"?>
<formControlPr xmlns="http://schemas.microsoft.com/office/spreadsheetml/2009/9/main" objectType="CheckBox" fmlaLink="$X$22" lockText="1" noThreeD="1"/>
</file>

<file path=xl/ctrlProps/ctrlProp513.xml><?xml version="1.0" encoding="utf-8"?>
<formControlPr xmlns="http://schemas.microsoft.com/office/spreadsheetml/2009/9/main" objectType="CheckBox" fmlaLink="$X$23" lockText="1" noThreeD="1"/>
</file>

<file path=xl/ctrlProps/ctrlProp514.xml><?xml version="1.0" encoding="utf-8"?>
<formControlPr xmlns="http://schemas.microsoft.com/office/spreadsheetml/2009/9/main" objectType="Drop" dropLines="10" dropStyle="combo" dx="17" fmlaLink="$B$45" fmlaRange="Arbeitsgänge!$C$27:$C$80" noThreeD="1" sel="2" val="15"/>
</file>

<file path=xl/ctrlProps/ctrlProp515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16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517.xml><?xml version="1.0" encoding="utf-8"?>
<formControlPr xmlns="http://schemas.microsoft.com/office/spreadsheetml/2009/9/main" objectType="Drop" dropLines="10" dropStyle="combo" dx="17" fmlaLink="$B$48" fmlaRange="Arbeitsgänge!$C$27:$C$80" noThreeD="1" sel="10" val="8"/>
</file>

<file path=xl/ctrlProps/ctrlProp518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519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52.xml><?xml version="1.0" encoding="utf-8"?>
<formControlPr xmlns="http://schemas.microsoft.com/office/spreadsheetml/2009/9/main" objectType="Drop" dropLines="10" dropStyle="combo" dx="17" fmlaLink="$B$53" fmlaRange="Arbeitsgänge!$C$27:$C$80" noThreeD="1" sel="37" val="35"/>
</file>

<file path=xl/ctrlProps/ctrlProp520.xml><?xml version="1.0" encoding="utf-8"?>
<formControlPr xmlns="http://schemas.microsoft.com/office/spreadsheetml/2009/9/main" objectType="Drop" dropLines="10" dropStyle="combo" dx="17" fmlaLink="$B$51" fmlaRange="Arbeitsgänge!$C$27:$C$80" noThreeD="1" sel="0" val="0"/>
</file>

<file path=xl/ctrlProps/ctrlProp521.xml><?xml version="1.0" encoding="utf-8"?>
<formControlPr xmlns="http://schemas.microsoft.com/office/spreadsheetml/2009/9/main" objectType="Drop" dropLines="10" dropStyle="combo" dx="17" fmlaLink="$B$52" fmlaRange="Arbeitsgänge!$C$27:$C$80" noThreeD="1" sel="0" val="17"/>
</file>

<file path=xl/ctrlProps/ctrlProp522.xml><?xml version="1.0" encoding="utf-8"?>
<formControlPr xmlns="http://schemas.microsoft.com/office/spreadsheetml/2009/9/main" objectType="Drop" dropLines="10" dropStyle="combo" dx="17" fmlaLink="$B$53" fmlaRange="Arbeitsgänge!$C$27:$C$80" noThreeD="1" sel="0" val="18"/>
</file>

<file path=xl/ctrlProps/ctrlProp523.xml><?xml version="1.0" encoding="utf-8"?>
<formControlPr xmlns="http://schemas.microsoft.com/office/spreadsheetml/2009/9/main" objectType="Drop" dropLines="10" dropStyle="combo" dx="17" fmlaLink="$B$54" fmlaRange="Arbeitsgänge!$C$27:$C$80" noThreeD="1" sel="0" val="42"/>
</file>

<file path=xl/ctrlProps/ctrlProp524.xml><?xml version="1.0" encoding="utf-8"?>
<formControlPr xmlns="http://schemas.microsoft.com/office/spreadsheetml/2009/9/main" objectType="Drop" dropLines="10" dropStyle="combo" dx="17" fmlaLink="$B$55" fmlaRange="Arbeitsgänge!$C$27:$C$80" noThreeD="1" sel="0" val="42"/>
</file>

<file path=xl/ctrlProps/ctrlProp525.xml><?xml version="1.0" encoding="utf-8"?>
<formControlPr xmlns="http://schemas.microsoft.com/office/spreadsheetml/2009/9/main" objectType="CheckBox" fmlaLink="$R$10" lockText="1" noThreeD="1"/>
</file>

<file path=xl/ctrlProps/ctrlProp526.xml><?xml version="1.0" encoding="utf-8"?>
<formControlPr xmlns="http://schemas.microsoft.com/office/spreadsheetml/2009/9/main" objectType="CheckBox" fmlaLink="$R$19" lockText="1" noThreeD="1"/>
</file>

<file path=xl/ctrlProps/ctrlProp527.xml><?xml version="1.0" encoding="utf-8"?>
<formControlPr xmlns="http://schemas.microsoft.com/office/spreadsheetml/2009/9/main" objectType="CheckBox" fmlaLink="$R$20" lockText="1" noThreeD="1"/>
</file>

<file path=xl/ctrlProps/ctrlProp528.xml><?xml version="1.0" encoding="utf-8"?>
<formControlPr xmlns="http://schemas.microsoft.com/office/spreadsheetml/2009/9/main" objectType="CheckBox" fmlaLink="$R$21" lockText="1" noThreeD="1"/>
</file>

<file path=xl/ctrlProps/ctrlProp529.xml><?xml version="1.0" encoding="utf-8"?>
<formControlPr xmlns="http://schemas.microsoft.com/office/spreadsheetml/2009/9/main" objectType="CheckBox" fmlaLink="$R$22" lockText="1" noThreeD="1"/>
</file>

<file path=xl/ctrlProps/ctrlProp53.xml><?xml version="1.0" encoding="utf-8"?>
<formControlPr xmlns="http://schemas.microsoft.com/office/spreadsheetml/2009/9/main" objectType="Drop" dropLines="10" dropStyle="combo" dx="17" fmlaLink="$B$54" fmlaRange="Arbeitsgänge!$C$27:$C$80" noThreeD="1" sel="42" val="33"/>
</file>

<file path=xl/ctrlProps/ctrlProp530.xml><?xml version="1.0" encoding="utf-8"?>
<formControlPr xmlns="http://schemas.microsoft.com/office/spreadsheetml/2009/9/main" objectType="CheckBox" fmlaLink="$R$23" lockText="1" noThreeD="1"/>
</file>

<file path=xl/ctrlProps/ctrlProp531.xml><?xml version="1.0" encoding="utf-8"?>
<formControlPr xmlns="http://schemas.microsoft.com/office/spreadsheetml/2009/9/main" objectType="CheckBox" fmlaLink="$U$19" lockText="1" noThreeD="1"/>
</file>

<file path=xl/ctrlProps/ctrlProp532.xml><?xml version="1.0" encoding="utf-8"?>
<formControlPr xmlns="http://schemas.microsoft.com/office/spreadsheetml/2009/9/main" objectType="CheckBox" fmlaLink="$U$20" lockText="1" noThreeD="1"/>
</file>

<file path=xl/ctrlProps/ctrlProp533.xml><?xml version="1.0" encoding="utf-8"?>
<formControlPr xmlns="http://schemas.microsoft.com/office/spreadsheetml/2009/9/main" objectType="CheckBox" fmlaLink="$U$21" lockText="1" noThreeD="1"/>
</file>

<file path=xl/ctrlProps/ctrlProp534.xml><?xml version="1.0" encoding="utf-8"?>
<formControlPr xmlns="http://schemas.microsoft.com/office/spreadsheetml/2009/9/main" objectType="CheckBox" fmlaLink="$U$22" lockText="1" noThreeD="1"/>
</file>

<file path=xl/ctrlProps/ctrlProp535.xml><?xml version="1.0" encoding="utf-8"?>
<formControlPr xmlns="http://schemas.microsoft.com/office/spreadsheetml/2009/9/main" objectType="CheckBox" fmlaLink="$U$23" lockText="1" noThreeD="1"/>
</file>

<file path=xl/ctrlProps/ctrlProp536.xml><?xml version="1.0" encoding="utf-8"?>
<formControlPr xmlns="http://schemas.microsoft.com/office/spreadsheetml/2009/9/main" objectType="CheckBox" fmlaLink="$X$19" lockText="1" noThreeD="1"/>
</file>

<file path=xl/ctrlProps/ctrlProp537.xml><?xml version="1.0" encoding="utf-8"?>
<formControlPr xmlns="http://schemas.microsoft.com/office/spreadsheetml/2009/9/main" objectType="CheckBox" fmlaLink="$X$20" lockText="1" noThreeD="1"/>
</file>

<file path=xl/ctrlProps/ctrlProp538.xml><?xml version="1.0" encoding="utf-8"?>
<formControlPr xmlns="http://schemas.microsoft.com/office/spreadsheetml/2009/9/main" objectType="CheckBox" fmlaLink="$X$21" lockText="1" noThreeD="1"/>
</file>

<file path=xl/ctrlProps/ctrlProp539.xml><?xml version="1.0" encoding="utf-8"?>
<formControlPr xmlns="http://schemas.microsoft.com/office/spreadsheetml/2009/9/main" objectType="CheckBox" fmlaLink="$X$22" lockText="1" noThreeD="1"/>
</file>

<file path=xl/ctrlProps/ctrlProp54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540.xml><?xml version="1.0" encoding="utf-8"?>
<formControlPr xmlns="http://schemas.microsoft.com/office/spreadsheetml/2009/9/main" objectType="CheckBox" fmlaLink="$X$23" lockText="1" noThreeD="1"/>
</file>

<file path=xl/ctrlProps/ctrlProp541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542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43.xml><?xml version="1.0" encoding="utf-8"?>
<formControlPr xmlns="http://schemas.microsoft.com/office/spreadsheetml/2009/9/main" objectType="Drop" dropLines="10" dropStyle="combo" dx="17" fmlaLink="$B$47" fmlaRange="Arbeitsgänge!$C$27:$C$80" noThreeD="1" sel="3" val="3"/>
</file>

<file path=xl/ctrlProps/ctrlProp544.xml><?xml version="1.0" encoding="utf-8"?>
<formControlPr xmlns="http://schemas.microsoft.com/office/spreadsheetml/2009/9/main" objectType="Drop" dropLines="10" dropStyle="combo" dx="17" fmlaLink="$B$48" fmlaRange="Arbeitsgänge!$C$27:$C$80" noThreeD="1" sel="10" val="10"/>
</file>

<file path=xl/ctrlProps/ctrlProp545.xml><?xml version="1.0" encoding="utf-8"?>
<formControlPr xmlns="http://schemas.microsoft.com/office/spreadsheetml/2009/9/main" objectType="Drop" dropLines="10" dropStyle="combo" dx="17" fmlaLink="$B$49" fmlaRange="Arbeitsgänge!$C$27:$C$80" noThreeD="1" sel="15" val="11"/>
</file>

<file path=xl/ctrlProps/ctrlProp546.xml><?xml version="1.0" encoding="utf-8"?>
<formControlPr xmlns="http://schemas.microsoft.com/office/spreadsheetml/2009/9/main" objectType="Drop" dropLines="10" dropStyle="combo" dx="17" fmlaLink="$B$50" fmlaRange="Arbeitsgänge!$C$27:$C$80" noThreeD="1" sel="16" val="15"/>
</file>

<file path=xl/ctrlProps/ctrlProp547.xml><?xml version="1.0" encoding="utf-8"?>
<formControlPr xmlns="http://schemas.microsoft.com/office/spreadsheetml/2009/9/main" objectType="Drop" dropLines="10" dropStyle="combo" dx="17" fmlaLink="$B$51" fmlaRange="Arbeitsgänge!$C$27:$C$80" noThreeD="1" sel="22" val="16"/>
</file>

<file path=xl/ctrlProps/ctrlProp548.xml><?xml version="1.0" encoding="utf-8"?>
<formControlPr xmlns="http://schemas.microsoft.com/office/spreadsheetml/2009/9/main" objectType="Drop" dropLines="10" dropStyle="combo" dx="17" fmlaLink="$B$52" fmlaRange="Arbeitsgänge!$C$27:$C$80" noThreeD="1" sel="23" val="43"/>
</file>

<file path=xl/ctrlProps/ctrlProp549.xml><?xml version="1.0" encoding="utf-8"?>
<formControlPr xmlns="http://schemas.microsoft.com/office/spreadsheetml/2009/9/main" objectType="Drop" dropLines="10" dropStyle="combo" dx="17" fmlaLink="$B$53" fmlaRange="Arbeitsgänge!$C$27:$C$80" noThreeD="1" sel="0" val="42"/>
</file>

<file path=xl/ctrlProps/ctrlProp55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550.xml><?xml version="1.0" encoding="utf-8"?>
<formControlPr xmlns="http://schemas.microsoft.com/office/spreadsheetml/2009/9/main" objectType="Drop" dropLines="10" dropStyle="combo" dx="17" fmlaLink="$B$54" fmlaRange="Arbeitsgänge!$C$27:$C$80" noThreeD="1" sel="0" val="42"/>
</file>

<file path=xl/ctrlProps/ctrlProp551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552.xml><?xml version="1.0" encoding="utf-8"?>
<formControlPr xmlns="http://schemas.microsoft.com/office/spreadsheetml/2009/9/main" objectType="CheckBox" checked="Checked" fmlaLink="$R$10" lockText="1" noThreeD="1"/>
</file>

<file path=xl/ctrlProps/ctrlProp553.xml><?xml version="1.0" encoding="utf-8"?>
<formControlPr xmlns="http://schemas.microsoft.com/office/spreadsheetml/2009/9/main" objectType="CheckBox" fmlaLink="$R$19" lockText="1" noThreeD="1"/>
</file>

<file path=xl/ctrlProps/ctrlProp554.xml><?xml version="1.0" encoding="utf-8"?>
<formControlPr xmlns="http://schemas.microsoft.com/office/spreadsheetml/2009/9/main" objectType="CheckBox" fmlaLink="$R$20" lockText="1" noThreeD="1"/>
</file>

<file path=xl/ctrlProps/ctrlProp555.xml><?xml version="1.0" encoding="utf-8"?>
<formControlPr xmlns="http://schemas.microsoft.com/office/spreadsheetml/2009/9/main" objectType="CheckBox" fmlaLink="$R$21" lockText="1" noThreeD="1"/>
</file>

<file path=xl/ctrlProps/ctrlProp556.xml><?xml version="1.0" encoding="utf-8"?>
<formControlPr xmlns="http://schemas.microsoft.com/office/spreadsheetml/2009/9/main" objectType="CheckBox" fmlaLink="$R$22" lockText="1" noThreeD="1"/>
</file>

<file path=xl/ctrlProps/ctrlProp557.xml><?xml version="1.0" encoding="utf-8"?>
<formControlPr xmlns="http://schemas.microsoft.com/office/spreadsheetml/2009/9/main" objectType="CheckBox" fmlaLink="$R$23" lockText="1" noThreeD="1"/>
</file>

<file path=xl/ctrlProps/ctrlProp558.xml><?xml version="1.0" encoding="utf-8"?>
<formControlPr xmlns="http://schemas.microsoft.com/office/spreadsheetml/2009/9/main" objectType="CheckBox" fmlaLink="$U$19" lockText="1" noThreeD="1"/>
</file>

<file path=xl/ctrlProps/ctrlProp559.xml><?xml version="1.0" encoding="utf-8"?>
<formControlPr xmlns="http://schemas.microsoft.com/office/spreadsheetml/2009/9/main" objectType="CheckBox" fmlaLink="$U$20" lockText="1" noThreeD="1"/>
</file>

<file path=xl/ctrlProps/ctrlProp56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560.xml><?xml version="1.0" encoding="utf-8"?>
<formControlPr xmlns="http://schemas.microsoft.com/office/spreadsheetml/2009/9/main" objectType="CheckBox" fmlaLink="$U$21" lockText="1" noThreeD="1"/>
</file>

<file path=xl/ctrlProps/ctrlProp561.xml><?xml version="1.0" encoding="utf-8"?>
<formControlPr xmlns="http://schemas.microsoft.com/office/spreadsheetml/2009/9/main" objectType="CheckBox" fmlaLink="$U$22" lockText="1" noThreeD="1"/>
</file>

<file path=xl/ctrlProps/ctrlProp562.xml><?xml version="1.0" encoding="utf-8"?>
<formControlPr xmlns="http://schemas.microsoft.com/office/spreadsheetml/2009/9/main" objectType="CheckBox" fmlaLink="$U$23" lockText="1" noThreeD="1"/>
</file>

<file path=xl/ctrlProps/ctrlProp563.xml><?xml version="1.0" encoding="utf-8"?>
<formControlPr xmlns="http://schemas.microsoft.com/office/spreadsheetml/2009/9/main" objectType="CheckBox" fmlaLink="$X$19" lockText="1" noThreeD="1"/>
</file>

<file path=xl/ctrlProps/ctrlProp564.xml><?xml version="1.0" encoding="utf-8"?>
<formControlPr xmlns="http://schemas.microsoft.com/office/spreadsheetml/2009/9/main" objectType="CheckBox" fmlaLink="$X$20" lockText="1" noThreeD="1"/>
</file>

<file path=xl/ctrlProps/ctrlProp565.xml><?xml version="1.0" encoding="utf-8"?>
<formControlPr xmlns="http://schemas.microsoft.com/office/spreadsheetml/2009/9/main" objectType="CheckBox" fmlaLink="$X$21" lockText="1" noThreeD="1"/>
</file>

<file path=xl/ctrlProps/ctrlProp566.xml><?xml version="1.0" encoding="utf-8"?>
<formControlPr xmlns="http://schemas.microsoft.com/office/spreadsheetml/2009/9/main" objectType="CheckBox" fmlaLink="$X$22" lockText="1" noThreeD="1"/>
</file>

<file path=xl/ctrlProps/ctrlProp567.xml><?xml version="1.0" encoding="utf-8"?>
<formControlPr xmlns="http://schemas.microsoft.com/office/spreadsheetml/2009/9/main" objectType="CheckBox" fmlaLink="$X$23" lockText="1" noThreeD="1"/>
</file>

<file path=xl/ctrlProps/ctrlProp56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56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7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570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571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572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573.xml><?xml version="1.0" encoding="utf-8"?>
<formControlPr xmlns="http://schemas.microsoft.com/office/spreadsheetml/2009/9/main" objectType="Drop" dropLines="10" dropStyle="combo" dx="17" fmlaLink="$B$50" fmlaRange="Arbeitsgänge!$C$27:$C$80" noThreeD="1" sel="0" val="15"/>
</file>

<file path=xl/ctrlProps/ctrlProp574.xml><?xml version="1.0" encoding="utf-8"?>
<formControlPr xmlns="http://schemas.microsoft.com/office/spreadsheetml/2009/9/main" objectType="Drop" dropLines="10" dropStyle="combo" dx="17" fmlaLink="$B$51" fmlaRange="Arbeitsgänge!$C$27:$C$80" noThreeD="1" sel="0" val="20"/>
</file>

<file path=xl/ctrlProps/ctrlProp575.xml><?xml version="1.0" encoding="utf-8"?>
<formControlPr xmlns="http://schemas.microsoft.com/office/spreadsheetml/2009/9/main" objectType="Drop" dropLines="10" dropStyle="combo" dx="17" fmlaLink="$B$52" fmlaRange="Arbeitsgänge!$C$27:$C$80" noThreeD="1" sel="0" val="40"/>
</file>

<file path=xl/ctrlProps/ctrlProp576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577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578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579.xml><?xml version="1.0" encoding="utf-8"?>
<formControlPr xmlns="http://schemas.microsoft.com/office/spreadsheetml/2009/9/main" objectType="CheckBox" fmlaLink="$R$10" lockText="1" noThreeD="1"/>
</file>

<file path=xl/ctrlProps/ctrlProp58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580.xml><?xml version="1.0" encoding="utf-8"?>
<formControlPr xmlns="http://schemas.microsoft.com/office/spreadsheetml/2009/9/main" objectType="CheckBox" fmlaLink="$R$19" lockText="1" noThreeD="1"/>
</file>

<file path=xl/ctrlProps/ctrlProp581.xml><?xml version="1.0" encoding="utf-8"?>
<formControlPr xmlns="http://schemas.microsoft.com/office/spreadsheetml/2009/9/main" objectType="CheckBox" fmlaLink="$R$20" lockText="1" noThreeD="1"/>
</file>

<file path=xl/ctrlProps/ctrlProp582.xml><?xml version="1.0" encoding="utf-8"?>
<formControlPr xmlns="http://schemas.microsoft.com/office/spreadsheetml/2009/9/main" objectType="CheckBox" fmlaLink="$R$21" lockText="1" noThreeD="1"/>
</file>

<file path=xl/ctrlProps/ctrlProp583.xml><?xml version="1.0" encoding="utf-8"?>
<formControlPr xmlns="http://schemas.microsoft.com/office/spreadsheetml/2009/9/main" objectType="CheckBox" fmlaLink="$R$22" lockText="1" noThreeD="1"/>
</file>

<file path=xl/ctrlProps/ctrlProp584.xml><?xml version="1.0" encoding="utf-8"?>
<formControlPr xmlns="http://schemas.microsoft.com/office/spreadsheetml/2009/9/main" objectType="CheckBox" fmlaLink="$R$23" lockText="1" noThreeD="1"/>
</file>

<file path=xl/ctrlProps/ctrlProp585.xml><?xml version="1.0" encoding="utf-8"?>
<formControlPr xmlns="http://schemas.microsoft.com/office/spreadsheetml/2009/9/main" objectType="CheckBox" fmlaLink="$U$19" lockText="1" noThreeD="1"/>
</file>

<file path=xl/ctrlProps/ctrlProp586.xml><?xml version="1.0" encoding="utf-8"?>
<formControlPr xmlns="http://schemas.microsoft.com/office/spreadsheetml/2009/9/main" objectType="CheckBox" fmlaLink="$U$20" lockText="1" noThreeD="1"/>
</file>

<file path=xl/ctrlProps/ctrlProp587.xml><?xml version="1.0" encoding="utf-8"?>
<formControlPr xmlns="http://schemas.microsoft.com/office/spreadsheetml/2009/9/main" objectType="CheckBox" fmlaLink="$U$21" lockText="1" noThreeD="1"/>
</file>

<file path=xl/ctrlProps/ctrlProp588.xml><?xml version="1.0" encoding="utf-8"?>
<formControlPr xmlns="http://schemas.microsoft.com/office/spreadsheetml/2009/9/main" objectType="CheckBox" fmlaLink="$U$22" lockText="1" noThreeD="1"/>
</file>

<file path=xl/ctrlProps/ctrlProp589.xml><?xml version="1.0" encoding="utf-8"?>
<formControlPr xmlns="http://schemas.microsoft.com/office/spreadsheetml/2009/9/main" objectType="CheckBox" fmlaLink="$U$23" lockText="1" noThreeD="1"/>
</file>

<file path=xl/ctrlProps/ctrlProp59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590.xml><?xml version="1.0" encoding="utf-8"?>
<formControlPr xmlns="http://schemas.microsoft.com/office/spreadsheetml/2009/9/main" objectType="CheckBox" fmlaLink="$X$19" lockText="1" noThreeD="1"/>
</file>

<file path=xl/ctrlProps/ctrlProp591.xml><?xml version="1.0" encoding="utf-8"?>
<formControlPr xmlns="http://schemas.microsoft.com/office/spreadsheetml/2009/9/main" objectType="CheckBox" fmlaLink="$X$20" lockText="1" noThreeD="1"/>
</file>

<file path=xl/ctrlProps/ctrlProp592.xml><?xml version="1.0" encoding="utf-8"?>
<formControlPr xmlns="http://schemas.microsoft.com/office/spreadsheetml/2009/9/main" objectType="CheckBox" fmlaLink="$X$21" lockText="1" noThreeD="1"/>
</file>

<file path=xl/ctrlProps/ctrlProp593.xml><?xml version="1.0" encoding="utf-8"?>
<formControlPr xmlns="http://schemas.microsoft.com/office/spreadsheetml/2009/9/main" objectType="CheckBox" fmlaLink="$X$22" lockText="1" noThreeD="1"/>
</file>

<file path=xl/ctrlProps/ctrlProp594.xml><?xml version="1.0" encoding="utf-8"?>
<formControlPr xmlns="http://schemas.microsoft.com/office/spreadsheetml/2009/9/main" objectType="CheckBox" fmlaLink="$X$23" lockText="1" noThreeD="1"/>
</file>

<file path=xl/ctrlProps/ctrlProp595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596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97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598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599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6.xml><?xml version="1.0" encoding="utf-8"?>
<formControlPr xmlns="http://schemas.microsoft.com/office/spreadsheetml/2009/9/main" objectType="Drop" dropLines="6" dropStyle="combo" dx="17" fmlaLink="$Z$5" fmlaRange="$T$4:$T$9" noThreeD="1" sel="2" val="0"/>
</file>

<file path=xl/ctrlProps/ctrlProp60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600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601.xml><?xml version="1.0" encoding="utf-8"?>
<formControlPr xmlns="http://schemas.microsoft.com/office/spreadsheetml/2009/9/main" objectType="Drop" dropLines="10" dropStyle="combo" dx="17" fmlaLink="$B$51" fmlaRange="Arbeitsgänge!$C$27:$C$80" noThreeD="1" sel="23" val="19"/>
</file>

<file path=xl/ctrlProps/ctrlProp602.xml><?xml version="1.0" encoding="utf-8"?>
<formControlPr xmlns="http://schemas.microsoft.com/office/spreadsheetml/2009/9/main" objectType="Drop" dropLines="10" dropStyle="combo" dx="17" fmlaLink="$B$52" fmlaRange="Arbeitsgänge!$C$27:$C$80" noThreeD="1" sel="52" val="43"/>
</file>

<file path=xl/ctrlProps/ctrlProp603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604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05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06.xml><?xml version="1.0" encoding="utf-8"?>
<formControlPr xmlns="http://schemas.microsoft.com/office/spreadsheetml/2009/9/main" objectType="CheckBox" checked="Checked" fmlaLink="$R$10" lockText="1" noThreeD="1"/>
</file>

<file path=xl/ctrlProps/ctrlProp607.xml><?xml version="1.0" encoding="utf-8"?>
<formControlPr xmlns="http://schemas.microsoft.com/office/spreadsheetml/2009/9/main" objectType="CheckBox" fmlaLink="$R$19" lockText="1" noThreeD="1"/>
</file>

<file path=xl/ctrlProps/ctrlProp608.xml><?xml version="1.0" encoding="utf-8"?>
<formControlPr xmlns="http://schemas.microsoft.com/office/spreadsheetml/2009/9/main" objectType="CheckBox" fmlaLink="$R$20" lockText="1" noThreeD="1"/>
</file>

<file path=xl/ctrlProps/ctrlProp609.xml><?xml version="1.0" encoding="utf-8"?>
<formControlPr xmlns="http://schemas.microsoft.com/office/spreadsheetml/2009/9/main" objectType="CheckBox" fmlaLink="$R$21" lockText="1" noThreeD="1"/>
</file>

<file path=xl/ctrlProps/ctrlProp61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610.xml><?xml version="1.0" encoding="utf-8"?>
<formControlPr xmlns="http://schemas.microsoft.com/office/spreadsheetml/2009/9/main" objectType="CheckBox" fmlaLink="$R$22" lockText="1" noThreeD="1"/>
</file>

<file path=xl/ctrlProps/ctrlProp611.xml><?xml version="1.0" encoding="utf-8"?>
<formControlPr xmlns="http://schemas.microsoft.com/office/spreadsheetml/2009/9/main" objectType="CheckBox" fmlaLink="$R$23" lockText="1" noThreeD="1"/>
</file>

<file path=xl/ctrlProps/ctrlProp612.xml><?xml version="1.0" encoding="utf-8"?>
<formControlPr xmlns="http://schemas.microsoft.com/office/spreadsheetml/2009/9/main" objectType="CheckBox" fmlaLink="$U$19" lockText="1" noThreeD="1"/>
</file>

<file path=xl/ctrlProps/ctrlProp613.xml><?xml version="1.0" encoding="utf-8"?>
<formControlPr xmlns="http://schemas.microsoft.com/office/spreadsheetml/2009/9/main" objectType="CheckBox" fmlaLink="$U$20" lockText="1" noThreeD="1"/>
</file>

<file path=xl/ctrlProps/ctrlProp614.xml><?xml version="1.0" encoding="utf-8"?>
<formControlPr xmlns="http://schemas.microsoft.com/office/spreadsheetml/2009/9/main" objectType="CheckBox" fmlaLink="$U$21" lockText="1" noThreeD="1"/>
</file>

<file path=xl/ctrlProps/ctrlProp615.xml><?xml version="1.0" encoding="utf-8"?>
<formControlPr xmlns="http://schemas.microsoft.com/office/spreadsheetml/2009/9/main" objectType="CheckBox" fmlaLink="$U$22" lockText="1" noThreeD="1"/>
</file>

<file path=xl/ctrlProps/ctrlProp616.xml><?xml version="1.0" encoding="utf-8"?>
<formControlPr xmlns="http://schemas.microsoft.com/office/spreadsheetml/2009/9/main" objectType="CheckBox" fmlaLink="$U$23" lockText="1" noThreeD="1"/>
</file>

<file path=xl/ctrlProps/ctrlProp617.xml><?xml version="1.0" encoding="utf-8"?>
<formControlPr xmlns="http://schemas.microsoft.com/office/spreadsheetml/2009/9/main" objectType="CheckBox" fmlaLink="$X$19" lockText="1" noThreeD="1"/>
</file>

<file path=xl/ctrlProps/ctrlProp618.xml><?xml version="1.0" encoding="utf-8"?>
<formControlPr xmlns="http://schemas.microsoft.com/office/spreadsheetml/2009/9/main" objectType="CheckBox" fmlaLink="$X$20" lockText="1" noThreeD="1"/>
</file>

<file path=xl/ctrlProps/ctrlProp619.xml><?xml version="1.0" encoding="utf-8"?>
<formControlPr xmlns="http://schemas.microsoft.com/office/spreadsheetml/2009/9/main" objectType="CheckBox" fmlaLink="$X$21" lockText="1" noThreeD="1"/>
</file>

<file path=xl/ctrlProps/ctrlProp62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620.xml><?xml version="1.0" encoding="utf-8"?>
<formControlPr xmlns="http://schemas.microsoft.com/office/spreadsheetml/2009/9/main" objectType="CheckBox" fmlaLink="$X$22" lockText="1" noThreeD="1"/>
</file>

<file path=xl/ctrlProps/ctrlProp621.xml><?xml version="1.0" encoding="utf-8"?>
<formControlPr xmlns="http://schemas.microsoft.com/office/spreadsheetml/2009/9/main" objectType="CheckBox" fmlaLink="$X$23" lockText="1" noThreeD="1"/>
</file>

<file path=xl/ctrlProps/ctrlProp62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62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624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625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626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627.xml><?xml version="1.0" encoding="utf-8"?>
<formControlPr xmlns="http://schemas.microsoft.com/office/spreadsheetml/2009/9/main" objectType="Drop" dropLines="10" dropStyle="combo" dx="17" fmlaLink="$B$50" fmlaRange="Arbeitsgänge!$C$27:$C$80" noThreeD="1" sel="0" val="15"/>
</file>

<file path=xl/ctrlProps/ctrlProp628.xml><?xml version="1.0" encoding="utf-8"?>
<formControlPr xmlns="http://schemas.microsoft.com/office/spreadsheetml/2009/9/main" objectType="Drop" dropLines="10" dropStyle="combo" dx="17" fmlaLink="$B$51" fmlaRange="Arbeitsgänge!$C$27:$C$80" noThreeD="1" sel="0" val="19"/>
</file>

<file path=xl/ctrlProps/ctrlProp629.xml><?xml version="1.0" encoding="utf-8"?>
<formControlPr xmlns="http://schemas.microsoft.com/office/spreadsheetml/2009/9/main" objectType="Drop" dropLines="10" dropStyle="combo" dx="17" fmlaLink="$B$52" fmlaRange="Arbeitsgänge!$C$27:$C$80" noThreeD="1" sel="0" val="40"/>
</file>

<file path=xl/ctrlProps/ctrlProp63.xml><?xml version="1.0" encoding="utf-8"?>
<formControlPr xmlns="http://schemas.microsoft.com/office/spreadsheetml/2009/9/main" objectType="Drop" dropLines="10" dropStyle="combo" dx="17" fmlaLink="$B$48" fmlaRange="Arbeitsgänge!$C$27:$C$80" noThreeD="1" sel="15" val="14"/>
</file>

<file path=xl/ctrlProps/ctrlProp630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63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32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33.xml><?xml version="1.0" encoding="utf-8"?>
<formControlPr xmlns="http://schemas.microsoft.com/office/spreadsheetml/2009/9/main" objectType="CheckBox" fmlaLink="$R$10" lockText="1" noThreeD="1"/>
</file>

<file path=xl/ctrlProps/ctrlProp634.xml><?xml version="1.0" encoding="utf-8"?>
<formControlPr xmlns="http://schemas.microsoft.com/office/spreadsheetml/2009/9/main" objectType="CheckBox" fmlaLink="$R$19" lockText="1" noThreeD="1"/>
</file>

<file path=xl/ctrlProps/ctrlProp635.xml><?xml version="1.0" encoding="utf-8"?>
<formControlPr xmlns="http://schemas.microsoft.com/office/spreadsheetml/2009/9/main" objectType="CheckBox" fmlaLink="$R$20" lockText="1" noThreeD="1"/>
</file>

<file path=xl/ctrlProps/ctrlProp636.xml><?xml version="1.0" encoding="utf-8"?>
<formControlPr xmlns="http://schemas.microsoft.com/office/spreadsheetml/2009/9/main" objectType="CheckBox" fmlaLink="$R$21" lockText="1" noThreeD="1"/>
</file>

<file path=xl/ctrlProps/ctrlProp637.xml><?xml version="1.0" encoding="utf-8"?>
<formControlPr xmlns="http://schemas.microsoft.com/office/spreadsheetml/2009/9/main" objectType="CheckBox" fmlaLink="$R$22" lockText="1" noThreeD="1"/>
</file>

<file path=xl/ctrlProps/ctrlProp638.xml><?xml version="1.0" encoding="utf-8"?>
<formControlPr xmlns="http://schemas.microsoft.com/office/spreadsheetml/2009/9/main" objectType="CheckBox" fmlaLink="$R$23" lockText="1" noThreeD="1"/>
</file>

<file path=xl/ctrlProps/ctrlProp639.xml><?xml version="1.0" encoding="utf-8"?>
<formControlPr xmlns="http://schemas.microsoft.com/office/spreadsheetml/2009/9/main" objectType="CheckBox" fmlaLink="$U$19" lockText="1" noThreeD="1"/>
</file>

<file path=xl/ctrlProps/ctrlProp64.xml><?xml version="1.0" encoding="utf-8"?>
<formControlPr xmlns="http://schemas.microsoft.com/office/spreadsheetml/2009/9/main" objectType="Drop" dropLines="10" dropStyle="combo" dx="17" fmlaLink="$B$49" fmlaRange="Arbeitsgänge!$C$27:$C$80" noThreeD="1" sel="29" val="28"/>
</file>

<file path=xl/ctrlProps/ctrlProp640.xml><?xml version="1.0" encoding="utf-8"?>
<formControlPr xmlns="http://schemas.microsoft.com/office/spreadsheetml/2009/9/main" objectType="CheckBox" fmlaLink="$U$20" lockText="1" noThreeD="1"/>
</file>

<file path=xl/ctrlProps/ctrlProp641.xml><?xml version="1.0" encoding="utf-8"?>
<formControlPr xmlns="http://schemas.microsoft.com/office/spreadsheetml/2009/9/main" objectType="CheckBox" fmlaLink="$U$21" lockText="1" noThreeD="1"/>
</file>

<file path=xl/ctrlProps/ctrlProp642.xml><?xml version="1.0" encoding="utf-8"?>
<formControlPr xmlns="http://schemas.microsoft.com/office/spreadsheetml/2009/9/main" objectType="CheckBox" fmlaLink="$U$22" lockText="1" noThreeD="1"/>
</file>

<file path=xl/ctrlProps/ctrlProp643.xml><?xml version="1.0" encoding="utf-8"?>
<formControlPr xmlns="http://schemas.microsoft.com/office/spreadsheetml/2009/9/main" objectType="CheckBox" fmlaLink="$U$23" lockText="1" noThreeD="1"/>
</file>

<file path=xl/ctrlProps/ctrlProp644.xml><?xml version="1.0" encoding="utf-8"?>
<formControlPr xmlns="http://schemas.microsoft.com/office/spreadsheetml/2009/9/main" objectType="CheckBox" fmlaLink="$X$19" lockText="1" noThreeD="1"/>
</file>

<file path=xl/ctrlProps/ctrlProp645.xml><?xml version="1.0" encoding="utf-8"?>
<formControlPr xmlns="http://schemas.microsoft.com/office/spreadsheetml/2009/9/main" objectType="CheckBox" fmlaLink="$X$20" lockText="1" noThreeD="1"/>
</file>

<file path=xl/ctrlProps/ctrlProp646.xml><?xml version="1.0" encoding="utf-8"?>
<formControlPr xmlns="http://schemas.microsoft.com/office/spreadsheetml/2009/9/main" objectType="CheckBox" fmlaLink="$X$21" lockText="1" noThreeD="1"/>
</file>

<file path=xl/ctrlProps/ctrlProp647.xml><?xml version="1.0" encoding="utf-8"?>
<formControlPr xmlns="http://schemas.microsoft.com/office/spreadsheetml/2009/9/main" objectType="CheckBox" fmlaLink="$X$22" lockText="1" noThreeD="1"/>
</file>

<file path=xl/ctrlProps/ctrlProp648.xml><?xml version="1.0" encoding="utf-8"?>
<formControlPr xmlns="http://schemas.microsoft.com/office/spreadsheetml/2009/9/main" objectType="CheckBox" fmlaLink="$X$23" lockText="1" noThreeD="1"/>
</file>

<file path=xl/ctrlProps/ctrlProp649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65.xml><?xml version="1.0" encoding="utf-8"?>
<formControlPr xmlns="http://schemas.microsoft.com/office/spreadsheetml/2009/9/main" objectType="Drop" dropLines="10" dropStyle="combo" dx="17" fmlaLink="$B$50" fmlaRange="Arbeitsgänge!$C$27:$C$80" noThreeD="1" sel="30" val="29"/>
</file>

<file path=xl/ctrlProps/ctrlProp65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651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652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653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654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655.xml><?xml version="1.0" encoding="utf-8"?>
<formControlPr xmlns="http://schemas.microsoft.com/office/spreadsheetml/2009/9/main" objectType="Drop" dropLines="10" dropStyle="combo" dx="17" fmlaLink="$B$51" fmlaRange="Arbeitsgänge!$C$27:$C$80" noThreeD="1" sel="23" val="19"/>
</file>

<file path=xl/ctrlProps/ctrlProp656.xml><?xml version="1.0" encoding="utf-8"?>
<formControlPr xmlns="http://schemas.microsoft.com/office/spreadsheetml/2009/9/main" objectType="Drop" dropLines="10" dropStyle="combo" dx="17" fmlaLink="$B$52" fmlaRange="Arbeitsgänge!$C$27:$C$80" noThreeD="1" sel="52" val="40"/>
</file>

<file path=xl/ctrlProps/ctrlProp657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658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5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6.xml><?xml version="1.0" encoding="utf-8"?>
<formControlPr xmlns="http://schemas.microsoft.com/office/spreadsheetml/2009/9/main" objectType="Drop" dropLines="10" dropStyle="combo" dx="17" fmlaLink="$B$51" fmlaRange="Arbeitsgänge!$C$27:$C$80" noThreeD="1" sel="31" val="30"/>
</file>

<file path=xl/ctrlProps/ctrlProp660.xml><?xml version="1.0" encoding="utf-8"?>
<formControlPr xmlns="http://schemas.microsoft.com/office/spreadsheetml/2009/9/main" objectType="CheckBox" checked="Checked" fmlaLink="$R$10" lockText="1" noThreeD="1"/>
</file>

<file path=xl/ctrlProps/ctrlProp661.xml><?xml version="1.0" encoding="utf-8"?>
<formControlPr xmlns="http://schemas.microsoft.com/office/spreadsheetml/2009/9/main" objectType="CheckBox" fmlaLink="$R$19" lockText="1" noThreeD="1"/>
</file>

<file path=xl/ctrlProps/ctrlProp662.xml><?xml version="1.0" encoding="utf-8"?>
<formControlPr xmlns="http://schemas.microsoft.com/office/spreadsheetml/2009/9/main" objectType="CheckBox" fmlaLink="$R$19" lockText="1" noThreeD="1"/>
</file>

<file path=xl/ctrlProps/ctrlProp663.xml><?xml version="1.0" encoding="utf-8"?>
<formControlPr xmlns="http://schemas.microsoft.com/office/spreadsheetml/2009/9/main" objectType="CheckBox" fmlaLink="$R$19" lockText="1" noThreeD="1"/>
</file>

<file path=xl/ctrlProps/ctrlProp664.xml><?xml version="1.0" encoding="utf-8"?>
<formControlPr xmlns="http://schemas.microsoft.com/office/spreadsheetml/2009/9/main" objectType="CheckBox" fmlaLink="$R$19" lockText="1" noThreeD="1"/>
</file>

<file path=xl/ctrlProps/ctrlProp665.xml><?xml version="1.0" encoding="utf-8"?>
<formControlPr xmlns="http://schemas.microsoft.com/office/spreadsheetml/2009/9/main" objectType="CheckBox" fmlaLink="$R$20" lockText="1" noThreeD="1"/>
</file>

<file path=xl/ctrlProps/ctrlProp666.xml><?xml version="1.0" encoding="utf-8"?>
<formControlPr xmlns="http://schemas.microsoft.com/office/spreadsheetml/2009/9/main" objectType="CheckBox" fmlaLink="$R$21" lockText="1" noThreeD="1"/>
</file>

<file path=xl/ctrlProps/ctrlProp667.xml><?xml version="1.0" encoding="utf-8"?>
<formControlPr xmlns="http://schemas.microsoft.com/office/spreadsheetml/2009/9/main" objectType="CheckBox" fmlaLink="$R$22" lockText="1" noThreeD="1"/>
</file>

<file path=xl/ctrlProps/ctrlProp668.xml><?xml version="1.0" encoding="utf-8"?>
<formControlPr xmlns="http://schemas.microsoft.com/office/spreadsheetml/2009/9/main" objectType="CheckBox" fmlaLink="$R$23" lockText="1" noThreeD="1"/>
</file>

<file path=xl/ctrlProps/ctrlProp669.xml><?xml version="1.0" encoding="utf-8"?>
<formControlPr xmlns="http://schemas.microsoft.com/office/spreadsheetml/2009/9/main" objectType="CheckBox" fmlaLink="$U$19" lockText="1" noThreeD="1"/>
</file>

<file path=xl/ctrlProps/ctrlProp67.xml><?xml version="1.0" encoding="utf-8"?>
<formControlPr xmlns="http://schemas.microsoft.com/office/spreadsheetml/2009/9/main" objectType="Drop" dropLines="10" dropStyle="combo" dx="17" fmlaLink="$B$52" fmlaRange="Arbeitsgänge!$C$27:$C$80" noThreeD="1" sel="36" val="33"/>
</file>

<file path=xl/ctrlProps/ctrlProp670.xml><?xml version="1.0" encoding="utf-8"?>
<formControlPr xmlns="http://schemas.microsoft.com/office/spreadsheetml/2009/9/main" objectType="CheckBox" fmlaLink="$U$20" lockText="1" noThreeD="1"/>
</file>

<file path=xl/ctrlProps/ctrlProp671.xml><?xml version="1.0" encoding="utf-8"?>
<formControlPr xmlns="http://schemas.microsoft.com/office/spreadsheetml/2009/9/main" objectType="CheckBox" fmlaLink="$U$21" lockText="1" noThreeD="1"/>
</file>

<file path=xl/ctrlProps/ctrlProp672.xml><?xml version="1.0" encoding="utf-8"?>
<formControlPr xmlns="http://schemas.microsoft.com/office/spreadsheetml/2009/9/main" objectType="CheckBox" fmlaLink="$U$22" lockText="1" noThreeD="1"/>
</file>

<file path=xl/ctrlProps/ctrlProp673.xml><?xml version="1.0" encoding="utf-8"?>
<formControlPr xmlns="http://schemas.microsoft.com/office/spreadsheetml/2009/9/main" objectType="CheckBox" fmlaLink="$U$23" lockText="1" noThreeD="1"/>
</file>

<file path=xl/ctrlProps/ctrlProp674.xml><?xml version="1.0" encoding="utf-8"?>
<formControlPr xmlns="http://schemas.microsoft.com/office/spreadsheetml/2009/9/main" objectType="CheckBox" fmlaLink="$X$19" lockText="1" noThreeD="1"/>
</file>

<file path=xl/ctrlProps/ctrlProp675.xml><?xml version="1.0" encoding="utf-8"?>
<formControlPr xmlns="http://schemas.microsoft.com/office/spreadsheetml/2009/9/main" objectType="CheckBox" fmlaLink="$X$20" lockText="1" noThreeD="1"/>
</file>

<file path=xl/ctrlProps/ctrlProp676.xml><?xml version="1.0" encoding="utf-8"?>
<formControlPr xmlns="http://schemas.microsoft.com/office/spreadsheetml/2009/9/main" objectType="CheckBox" fmlaLink="$X$21" lockText="1" noThreeD="1"/>
</file>

<file path=xl/ctrlProps/ctrlProp677.xml><?xml version="1.0" encoding="utf-8"?>
<formControlPr xmlns="http://schemas.microsoft.com/office/spreadsheetml/2009/9/main" objectType="CheckBox" fmlaLink="$X$22" lockText="1" noThreeD="1"/>
</file>

<file path=xl/ctrlProps/ctrlProp678.xml><?xml version="1.0" encoding="utf-8"?>
<formControlPr xmlns="http://schemas.microsoft.com/office/spreadsheetml/2009/9/main" objectType="CheckBox" fmlaLink="$X$23" lockText="1" noThreeD="1"/>
</file>

<file path=xl/ctrlProps/ctrlProp679.xml><?xml version="1.0" encoding="utf-8"?>
<formControlPr xmlns="http://schemas.microsoft.com/office/spreadsheetml/2009/9/main" objectType="Drop" dropLines="10" dropStyle="combo" dx="17" fmlaLink="$B$45" fmlaRange="Arbeitsgänge!$C$27:$C$80" noThreeD="1" sel="2" val="21"/>
</file>

<file path=xl/ctrlProps/ctrlProp68.xml><?xml version="1.0" encoding="utf-8"?>
<formControlPr xmlns="http://schemas.microsoft.com/office/spreadsheetml/2009/9/main" objectType="Drop" dropLines="10" dropStyle="combo" dx="17" fmlaLink="$B$53" fmlaRange="Arbeitsgänge!$C$27:$C$80" noThreeD="1" sel="37" val="36"/>
</file>

<file path=xl/ctrlProps/ctrlProp68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681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682.xml><?xml version="1.0" encoding="utf-8"?>
<formControlPr xmlns="http://schemas.microsoft.com/office/spreadsheetml/2009/9/main" objectType="Drop" dropLines="10" dropStyle="combo" dx="17" fmlaLink="$B$48" fmlaRange="Arbeitsgänge!$C$27:$C$80" noThreeD="1" sel="25" val="12"/>
</file>

<file path=xl/ctrlProps/ctrlProp683.xml><?xml version="1.0" encoding="utf-8"?>
<formControlPr xmlns="http://schemas.microsoft.com/office/spreadsheetml/2009/9/main" objectType="Drop" dropLines="10" dropStyle="combo" dx="17" fmlaLink="$B$49" fmlaRange="Arbeitsgänge!$C$27:$C$80" noThreeD="1" sel="15" val="27"/>
</file>

<file path=xl/ctrlProps/ctrlProp684.xml><?xml version="1.0" encoding="utf-8"?>
<formControlPr xmlns="http://schemas.microsoft.com/office/spreadsheetml/2009/9/main" objectType="Drop" dropLines="10" dropStyle="combo" dx="17" fmlaLink="$B$50" fmlaRange="Arbeitsgänge!$C$27:$C$80" noThreeD="1" sel="0" val="26"/>
</file>

<file path=xl/ctrlProps/ctrlProp685.xml><?xml version="1.0" encoding="utf-8"?>
<formControlPr xmlns="http://schemas.microsoft.com/office/spreadsheetml/2009/9/main" objectType="Drop" dropLines="10" dropStyle="combo" dx="17" fmlaLink="$B$51" fmlaRange="Arbeitsgänge!$C$27:$C$80" noThreeD="1" sel="0" val="28"/>
</file>

<file path=xl/ctrlProps/ctrlProp686.xml><?xml version="1.0" encoding="utf-8"?>
<formControlPr xmlns="http://schemas.microsoft.com/office/spreadsheetml/2009/9/main" objectType="Drop" dropLines="10" dropStyle="combo" dx="17" fmlaLink="$B$52" fmlaRange="Arbeitsgänge!$C$27:$C$80" noThreeD="1" sel="0" val="29"/>
</file>

<file path=xl/ctrlProps/ctrlProp687.xml><?xml version="1.0" encoding="utf-8"?>
<formControlPr xmlns="http://schemas.microsoft.com/office/spreadsheetml/2009/9/main" objectType="Drop" dropLines="10" dropStyle="combo" dx="17" fmlaLink="$B$53" fmlaRange="Arbeitsgänge!$C$27:$C$80" noThreeD="1" sel="0" val="33"/>
</file>

<file path=xl/ctrlProps/ctrlProp688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8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9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690.xml><?xml version="1.0" encoding="utf-8"?>
<formControlPr xmlns="http://schemas.microsoft.com/office/spreadsheetml/2009/9/main" objectType="CheckBox" fmlaLink="$R$10" lockText="1" noThreeD="1"/>
</file>

<file path=xl/ctrlProps/ctrlProp691.xml><?xml version="1.0" encoding="utf-8"?>
<formControlPr xmlns="http://schemas.microsoft.com/office/spreadsheetml/2009/9/main" objectType="CheckBox" fmlaLink="$R$19" lockText="1" noThreeD="1"/>
</file>

<file path=xl/ctrlProps/ctrlProp692.xml><?xml version="1.0" encoding="utf-8"?>
<formControlPr xmlns="http://schemas.microsoft.com/office/spreadsheetml/2009/9/main" objectType="CheckBox" fmlaLink="$R$19" lockText="1" noThreeD="1"/>
</file>

<file path=xl/ctrlProps/ctrlProp693.xml><?xml version="1.0" encoding="utf-8"?>
<formControlPr xmlns="http://schemas.microsoft.com/office/spreadsheetml/2009/9/main" objectType="CheckBox" fmlaLink="$R$19" lockText="1" noThreeD="1"/>
</file>

<file path=xl/ctrlProps/ctrlProp694.xml><?xml version="1.0" encoding="utf-8"?>
<formControlPr xmlns="http://schemas.microsoft.com/office/spreadsheetml/2009/9/main" objectType="CheckBox" fmlaLink="$R$20" lockText="1" noThreeD="1"/>
</file>

<file path=xl/ctrlProps/ctrlProp695.xml><?xml version="1.0" encoding="utf-8"?>
<formControlPr xmlns="http://schemas.microsoft.com/office/spreadsheetml/2009/9/main" objectType="CheckBox" fmlaLink="$R$21" lockText="1" noThreeD="1"/>
</file>

<file path=xl/ctrlProps/ctrlProp696.xml><?xml version="1.0" encoding="utf-8"?>
<formControlPr xmlns="http://schemas.microsoft.com/office/spreadsheetml/2009/9/main" objectType="CheckBox" fmlaLink="$R$22" lockText="1" noThreeD="1"/>
</file>

<file path=xl/ctrlProps/ctrlProp697.xml><?xml version="1.0" encoding="utf-8"?>
<formControlPr xmlns="http://schemas.microsoft.com/office/spreadsheetml/2009/9/main" objectType="CheckBox" fmlaLink="$R$23" lockText="1" noThreeD="1"/>
</file>

<file path=xl/ctrlProps/ctrlProp698.xml><?xml version="1.0" encoding="utf-8"?>
<formControlPr xmlns="http://schemas.microsoft.com/office/spreadsheetml/2009/9/main" objectType="CheckBox" fmlaLink="$U$19" lockText="1" noThreeD="1"/>
</file>

<file path=xl/ctrlProps/ctrlProp699.xml><?xml version="1.0" encoding="utf-8"?>
<formControlPr xmlns="http://schemas.microsoft.com/office/spreadsheetml/2009/9/main" objectType="CheckBox" fmlaLink="$U$20" lockText="1" noThreeD="1"/>
</file>

<file path=xl/ctrlProps/ctrlProp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0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700.xml><?xml version="1.0" encoding="utf-8"?>
<formControlPr xmlns="http://schemas.microsoft.com/office/spreadsheetml/2009/9/main" objectType="CheckBox" fmlaLink="$U$21" lockText="1" noThreeD="1"/>
</file>

<file path=xl/ctrlProps/ctrlProp701.xml><?xml version="1.0" encoding="utf-8"?>
<formControlPr xmlns="http://schemas.microsoft.com/office/spreadsheetml/2009/9/main" objectType="CheckBox" fmlaLink="$U$22" lockText="1" noThreeD="1"/>
</file>

<file path=xl/ctrlProps/ctrlProp702.xml><?xml version="1.0" encoding="utf-8"?>
<formControlPr xmlns="http://schemas.microsoft.com/office/spreadsheetml/2009/9/main" objectType="CheckBox" fmlaLink="$U$23" lockText="1" noThreeD="1"/>
</file>

<file path=xl/ctrlProps/ctrlProp703.xml><?xml version="1.0" encoding="utf-8"?>
<formControlPr xmlns="http://schemas.microsoft.com/office/spreadsheetml/2009/9/main" objectType="CheckBox" fmlaLink="$X$19" lockText="1" noThreeD="1"/>
</file>

<file path=xl/ctrlProps/ctrlProp704.xml><?xml version="1.0" encoding="utf-8"?>
<formControlPr xmlns="http://schemas.microsoft.com/office/spreadsheetml/2009/9/main" objectType="CheckBox" fmlaLink="$X$20" lockText="1" noThreeD="1"/>
</file>

<file path=xl/ctrlProps/ctrlProp705.xml><?xml version="1.0" encoding="utf-8"?>
<formControlPr xmlns="http://schemas.microsoft.com/office/spreadsheetml/2009/9/main" objectType="CheckBox" fmlaLink="$X$21" lockText="1" noThreeD="1"/>
</file>

<file path=xl/ctrlProps/ctrlProp706.xml><?xml version="1.0" encoding="utf-8"?>
<formControlPr xmlns="http://schemas.microsoft.com/office/spreadsheetml/2009/9/main" objectType="CheckBox" fmlaLink="$X$22" lockText="1" noThreeD="1"/>
</file>

<file path=xl/ctrlProps/ctrlProp707.xml><?xml version="1.0" encoding="utf-8"?>
<formControlPr xmlns="http://schemas.microsoft.com/office/spreadsheetml/2009/9/main" objectType="CheckBox" fmlaLink="$X$23" lockText="1" noThreeD="1"/>
</file>

<file path=xl/ctrlProps/ctrlProp708.xml><?xml version="1.0" encoding="utf-8"?>
<formControlPr xmlns="http://schemas.microsoft.com/office/spreadsheetml/2009/9/main" objectType="Drop" dropLines="10" dropStyle="combo" dx="17" fmlaLink="$B$45" fmlaRange="Arbeitsgänge!$C$27:$C$80" noThreeD="1" sel="2" val="21"/>
</file>

<file path=xl/ctrlProps/ctrlProp70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71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710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711.xml><?xml version="1.0" encoding="utf-8"?>
<formControlPr xmlns="http://schemas.microsoft.com/office/spreadsheetml/2009/9/main" objectType="Drop" dropLines="10" dropStyle="combo" dx="17" fmlaLink="$B$48" fmlaRange="Arbeitsgänge!$C$27:$C$80" noThreeD="1" sel="25" val="12"/>
</file>

<file path=xl/ctrlProps/ctrlProp712.xml><?xml version="1.0" encoding="utf-8"?>
<formControlPr xmlns="http://schemas.microsoft.com/office/spreadsheetml/2009/9/main" objectType="Drop" dropLines="10" dropStyle="combo" dx="17" fmlaLink="$B$49" fmlaRange="Arbeitsgänge!$C$27:$C$80" noThreeD="1" sel="15" val="27"/>
</file>

<file path=xl/ctrlProps/ctrlProp713.xml><?xml version="1.0" encoding="utf-8"?>
<formControlPr xmlns="http://schemas.microsoft.com/office/spreadsheetml/2009/9/main" objectType="Drop" dropLines="10" dropStyle="combo" dx="17" fmlaLink="$B$50" fmlaRange="Arbeitsgänge!$C$27:$C$80" noThreeD="1" sel="29" val="26"/>
</file>

<file path=xl/ctrlProps/ctrlProp714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715.xml><?xml version="1.0" encoding="utf-8"?>
<formControlPr xmlns="http://schemas.microsoft.com/office/spreadsheetml/2009/9/main" objectType="Drop" dropLines="10" dropStyle="combo" dx="17" fmlaLink="$B$52" fmlaRange="Arbeitsgänge!$C$27:$C$80" noThreeD="1" sel="31" val="20"/>
</file>

<file path=xl/ctrlProps/ctrlProp716.xml><?xml version="1.0" encoding="utf-8"?>
<formControlPr xmlns="http://schemas.microsoft.com/office/spreadsheetml/2009/9/main" objectType="Drop" dropLines="10" dropStyle="combo" dx="17" fmlaLink="$B$53" fmlaRange="Arbeitsgänge!$C$27:$C$80" noThreeD="1" sel="24" val="35"/>
</file>

<file path=xl/ctrlProps/ctrlProp717.xml><?xml version="1.0" encoding="utf-8"?>
<formControlPr xmlns="http://schemas.microsoft.com/office/spreadsheetml/2009/9/main" objectType="Drop" dropLines="10" dropStyle="combo" dx="17" fmlaLink="$B$54" fmlaRange="Arbeitsgänge!$C$27:$C$80" noThreeD="1" sel="37" val="0"/>
</file>

<file path=xl/ctrlProps/ctrlProp718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719.xml><?xml version="1.0" encoding="utf-8"?>
<formControlPr xmlns="http://schemas.microsoft.com/office/spreadsheetml/2009/9/main" objectType="CheckBox" checked="Checked" fmlaLink="$R$10" lockText="1" noThreeD="1"/>
</file>

<file path=xl/ctrlProps/ctrlProp72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20.xml><?xml version="1.0" encoding="utf-8"?>
<formControlPr xmlns="http://schemas.microsoft.com/office/spreadsheetml/2009/9/main" objectType="CheckBox" fmlaLink="$R$19" lockText="1" noThreeD="1"/>
</file>

<file path=xl/ctrlProps/ctrlProp721.xml><?xml version="1.0" encoding="utf-8"?>
<formControlPr xmlns="http://schemas.microsoft.com/office/spreadsheetml/2009/9/main" objectType="CheckBox" fmlaLink="$R$19" lockText="1" noThreeD="1"/>
</file>

<file path=xl/ctrlProps/ctrlProp722.xml><?xml version="1.0" encoding="utf-8"?>
<formControlPr xmlns="http://schemas.microsoft.com/office/spreadsheetml/2009/9/main" objectType="CheckBox" fmlaLink="$R$19" lockText="1" noThreeD="1"/>
</file>

<file path=xl/ctrlProps/ctrlProp723.xml><?xml version="1.0" encoding="utf-8"?>
<formControlPr xmlns="http://schemas.microsoft.com/office/spreadsheetml/2009/9/main" objectType="CheckBox" fmlaLink="$R$20" lockText="1" noThreeD="1"/>
</file>

<file path=xl/ctrlProps/ctrlProp724.xml><?xml version="1.0" encoding="utf-8"?>
<formControlPr xmlns="http://schemas.microsoft.com/office/spreadsheetml/2009/9/main" objectType="CheckBox" fmlaLink="$R$21" lockText="1" noThreeD="1"/>
</file>

<file path=xl/ctrlProps/ctrlProp725.xml><?xml version="1.0" encoding="utf-8"?>
<formControlPr xmlns="http://schemas.microsoft.com/office/spreadsheetml/2009/9/main" objectType="CheckBox" fmlaLink="$R$22" lockText="1" noThreeD="1"/>
</file>

<file path=xl/ctrlProps/ctrlProp726.xml><?xml version="1.0" encoding="utf-8"?>
<formControlPr xmlns="http://schemas.microsoft.com/office/spreadsheetml/2009/9/main" objectType="CheckBox" fmlaLink="$R$23" lockText="1" noThreeD="1"/>
</file>

<file path=xl/ctrlProps/ctrlProp727.xml><?xml version="1.0" encoding="utf-8"?>
<formControlPr xmlns="http://schemas.microsoft.com/office/spreadsheetml/2009/9/main" objectType="CheckBox" fmlaLink="$U$19" lockText="1" noThreeD="1"/>
</file>

<file path=xl/ctrlProps/ctrlProp728.xml><?xml version="1.0" encoding="utf-8"?>
<formControlPr xmlns="http://schemas.microsoft.com/office/spreadsheetml/2009/9/main" objectType="CheckBox" fmlaLink="$U$20" lockText="1" noThreeD="1"/>
</file>

<file path=xl/ctrlProps/ctrlProp729.xml><?xml version="1.0" encoding="utf-8"?>
<formControlPr xmlns="http://schemas.microsoft.com/office/spreadsheetml/2009/9/main" objectType="CheckBox" fmlaLink="$U$21" lockText="1" noThreeD="1"/>
</file>

<file path=xl/ctrlProps/ctrlProp73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30.xml><?xml version="1.0" encoding="utf-8"?>
<formControlPr xmlns="http://schemas.microsoft.com/office/spreadsheetml/2009/9/main" objectType="CheckBox" fmlaLink="$U$22" lockText="1" noThreeD="1"/>
</file>

<file path=xl/ctrlProps/ctrlProp731.xml><?xml version="1.0" encoding="utf-8"?>
<formControlPr xmlns="http://schemas.microsoft.com/office/spreadsheetml/2009/9/main" objectType="CheckBox" fmlaLink="$U$23" lockText="1" noThreeD="1"/>
</file>

<file path=xl/ctrlProps/ctrlProp732.xml><?xml version="1.0" encoding="utf-8"?>
<formControlPr xmlns="http://schemas.microsoft.com/office/spreadsheetml/2009/9/main" objectType="CheckBox" fmlaLink="$X$19" lockText="1" noThreeD="1"/>
</file>

<file path=xl/ctrlProps/ctrlProp733.xml><?xml version="1.0" encoding="utf-8"?>
<formControlPr xmlns="http://schemas.microsoft.com/office/spreadsheetml/2009/9/main" objectType="CheckBox" fmlaLink="$X$20" lockText="1" noThreeD="1"/>
</file>

<file path=xl/ctrlProps/ctrlProp734.xml><?xml version="1.0" encoding="utf-8"?>
<formControlPr xmlns="http://schemas.microsoft.com/office/spreadsheetml/2009/9/main" objectType="CheckBox" fmlaLink="$X$21" lockText="1" noThreeD="1"/>
</file>

<file path=xl/ctrlProps/ctrlProp735.xml><?xml version="1.0" encoding="utf-8"?>
<formControlPr xmlns="http://schemas.microsoft.com/office/spreadsheetml/2009/9/main" objectType="CheckBox" fmlaLink="$X$22" lockText="1" noThreeD="1"/>
</file>

<file path=xl/ctrlProps/ctrlProp736.xml><?xml version="1.0" encoding="utf-8"?>
<formControlPr xmlns="http://schemas.microsoft.com/office/spreadsheetml/2009/9/main" objectType="CheckBox" fmlaLink="$X$23" lockText="1" noThreeD="1"/>
</file>

<file path=xl/ctrlProps/ctrlProp737.xml><?xml version="1.0" encoding="utf-8"?>
<formControlPr xmlns="http://schemas.microsoft.com/office/spreadsheetml/2009/9/main" objectType="Drop" dropLines="10" dropStyle="combo" dx="17" fmlaLink="$B$45" fmlaRange="Arbeitsgänge!$C$27:$C$80" noThreeD="1" sel="2" val="21"/>
</file>

<file path=xl/ctrlProps/ctrlProp73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739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74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40.xml><?xml version="1.0" encoding="utf-8"?>
<formControlPr xmlns="http://schemas.microsoft.com/office/spreadsheetml/2009/9/main" objectType="Drop" dropLines="10" dropStyle="combo" dx="17" fmlaLink="$B$48" fmlaRange="Arbeitsgänge!$C$27:$C$80" noThreeD="1" sel="25" val="12"/>
</file>

<file path=xl/ctrlProps/ctrlProp741.xml><?xml version="1.0" encoding="utf-8"?>
<formControlPr xmlns="http://schemas.microsoft.com/office/spreadsheetml/2009/9/main" objectType="Drop" dropLines="10" dropStyle="combo" dx="17" fmlaLink="$B$49" fmlaRange="Arbeitsgänge!$C$27:$C$80" noThreeD="1" sel="15" val="27"/>
</file>

<file path=xl/ctrlProps/ctrlProp742.xml><?xml version="1.0" encoding="utf-8"?>
<formControlPr xmlns="http://schemas.microsoft.com/office/spreadsheetml/2009/9/main" objectType="Drop" dropLines="10" dropStyle="combo" dx="17" fmlaLink="$B$50" fmlaRange="Arbeitsgänge!$C$27:$C$80" noThreeD="1" sel="29" val="26"/>
</file>

<file path=xl/ctrlProps/ctrlProp743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744.xml><?xml version="1.0" encoding="utf-8"?>
<formControlPr xmlns="http://schemas.microsoft.com/office/spreadsheetml/2009/9/main" objectType="Drop" dropLines="10" dropStyle="combo" dx="17" fmlaLink="$B$52" fmlaRange="Arbeitsgänge!$C$27:$C$80" noThreeD="1" sel="31" val="20"/>
</file>

<file path=xl/ctrlProps/ctrlProp745.xml><?xml version="1.0" encoding="utf-8"?>
<formControlPr xmlns="http://schemas.microsoft.com/office/spreadsheetml/2009/9/main" objectType="Drop" dropLines="10" dropStyle="combo" dx="17" fmlaLink="$B$53" fmlaRange="Arbeitsgänge!$C$27:$C$80" noThreeD="1" sel="24" val="35"/>
</file>

<file path=xl/ctrlProps/ctrlProp746.xml><?xml version="1.0" encoding="utf-8"?>
<formControlPr xmlns="http://schemas.microsoft.com/office/spreadsheetml/2009/9/main" objectType="Drop" dropLines="10" dropStyle="combo" dx="17" fmlaLink="$B$54" fmlaRange="Arbeitsgänge!$C$27:$C$80" noThreeD="1" sel="37" val="0"/>
</file>

<file path=xl/ctrlProps/ctrlProp74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748.xml><?xml version="1.0" encoding="utf-8"?>
<formControlPr xmlns="http://schemas.microsoft.com/office/spreadsheetml/2009/9/main" objectType="CheckBox" checked="Checked" fmlaLink="$R$10" lockText="1" noThreeD="1"/>
</file>

<file path=xl/ctrlProps/ctrlProp749.xml><?xml version="1.0" encoding="utf-8"?>
<formControlPr xmlns="http://schemas.microsoft.com/office/spreadsheetml/2009/9/main" objectType="CheckBox" fmlaLink="$R$19" lockText="1" noThreeD="1"/>
</file>

<file path=xl/ctrlProps/ctrlProp75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750.xml><?xml version="1.0" encoding="utf-8"?>
<formControlPr xmlns="http://schemas.microsoft.com/office/spreadsheetml/2009/9/main" objectType="CheckBox" fmlaLink="$R$19" lockText="1" noThreeD="1"/>
</file>

<file path=xl/ctrlProps/ctrlProp751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52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53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54.xml><?xml version="1.0" encoding="utf-8"?>
<formControlPr xmlns="http://schemas.microsoft.com/office/spreadsheetml/2009/9/main" objectType="Drop" dropLines="6" dropStyle="combo" dx="17" fmlaLink="$Y$5" fmlaRange="$T$4:$T$9" noThreeD="1" sel="6" val="0"/>
</file>

<file path=xl/ctrlProps/ctrlProp755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756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57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758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59.xml><?xml version="1.0" encoding="utf-8"?>
<formControlPr xmlns="http://schemas.microsoft.com/office/spreadsheetml/2009/9/main" objectType="Drop" dropLines="10" dropStyle="combo" dx="17" fmlaLink="$B$49" fmlaRange="Arbeitsgänge!$C$27:$C$80" noThreeD="1" sel="0" val="27"/>
</file>

<file path=xl/ctrlProps/ctrlProp76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760.xml><?xml version="1.0" encoding="utf-8"?>
<formControlPr xmlns="http://schemas.microsoft.com/office/spreadsheetml/2009/9/main" objectType="Drop" dropLines="10" dropStyle="combo" dx="17" fmlaLink="$B$50" fmlaRange="Arbeitsgänge!$C$27:$C$80" noThreeD="1" sel="0" val="28"/>
</file>

<file path=xl/ctrlProps/ctrlProp761.xml><?xml version="1.0" encoding="utf-8"?>
<formControlPr xmlns="http://schemas.microsoft.com/office/spreadsheetml/2009/9/main" objectType="Drop" dropLines="10" dropStyle="combo" dx="17" fmlaLink="$B$51" fmlaRange="Arbeitsgänge!$C$27:$C$80" noThreeD="1" sel="0" val="29"/>
</file>

<file path=xl/ctrlProps/ctrlProp762.xml><?xml version="1.0" encoding="utf-8"?>
<formControlPr xmlns="http://schemas.microsoft.com/office/spreadsheetml/2009/9/main" objectType="Drop" dropLines="10" dropStyle="combo" dx="17" fmlaLink="$B$52" fmlaRange="Arbeitsgänge!$C$27:$C$80" noThreeD="1" sel="0" val="33"/>
</file>

<file path=xl/ctrlProps/ctrlProp763.xml><?xml version="1.0" encoding="utf-8"?>
<formControlPr xmlns="http://schemas.microsoft.com/office/spreadsheetml/2009/9/main" objectType="Drop" dropLines="10" dropStyle="combo" dx="17" fmlaLink="$B$53" fmlaRange="Arbeitsgänge!$C$27:$C$80" noThreeD="1" sel="0" val="34"/>
</file>

<file path=xl/ctrlProps/ctrlProp764.xml><?xml version="1.0" encoding="utf-8"?>
<formControlPr xmlns="http://schemas.microsoft.com/office/spreadsheetml/2009/9/main" objectType="Drop" dropLines="10" dropStyle="combo" dx="17" fmlaLink="$B$54" fmlaRange="Arbeitsgänge!$C$27:$C$80" noThreeD="1" sel="0" val="41"/>
</file>

<file path=xl/ctrlProps/ctrlProp765.xml><?xml version="1.0" encoding="utf-8"?>
<formControlPr xmlns="http://schemas.microsoft.com/office/spreadsheetml/2009/9/main" objectType="Drop" dropLines="10" dropStyle="combo" dx="17" fmlaLink="$B$55" fmlaRange="Arbeitsgänge!$C$27:$C$80" noThreeD="1" sel="0" val="42"/>
</file>

<file path=xl/ctrlProps/ctrlProp766.xml><?xml version="1.0" encoding="utf-8"?>
<formControlPr xmlns="http://schemas.microsoft.com/office/spreadsheetml/2009/9/main" objectType="Drop" dropLines="10" dropStyle="combo" dx="17" fmlaLink="$B$56" fmlaRange="Arbeitsgänge!$C$27:$C$80" noThreeD="1" sel="0" val="42"/>
</file>

<file path=xl/ctrlProps/ctrlProp767.xml><?xml version="1.0" encoding="utf-8"?>
<formControlPr xmlns="http://schemas.microsoft.com/office/spreadsheetml/2009/9/main" objectType="CheckBox" fmlaLink="S16" lockText="1" noThreeD="1"/>
</file>

<file path=xl/ctrlProps/ctrlProp768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69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70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71.xml><?xml version="1.0" encoding="utf-8"?>
<formControlPr xmlns="http://schemas.microsoft.com/office/spreadsheetml/2009/9/main" objectType="Drop" dropLines="6" dropStyle="combo" dx="17" fmlaLink="$Y$5" fmlaRange="$T$4:$T$9" noThreeD="1" sel="6" val="0"/>
</file>

<file path=xl/ctrlProps/ctrlProp772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773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74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775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76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777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778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779.xml><?xml version="1.0" encoding="utf-8"?>
<formControlPr xmlns="http://schemas.microsoft.com/office/spreadsheetml/2009/9/main" objectType="Drop" dropLines="10" dropStyle="combo" dx="17" fmlaLink="$B$52" fmlaRange="Arbeitsgänge!$C$27:$C$80" noThreeD="1" sel="24" val="23"/>
</file>

<file path=xl/ctrlProps/ctrlProp78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780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781.xml><?xml version="1.0" encoding="utf-8"?>
<formControlPr xmlns="http://schemas.microsoft.com/office/spreadsheetml/2009/9/main" objectType="Drop" dropLines="10" dropStyle="combo" dx="17" fmlaLink="$B$54" fmlaRange="Arbeitsgänge!$C$27:$C$80" noThreeD="1" sel="50" val="41"/>
</file>

<file path=xl/ctrlProps/ctrlProp78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783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784.xml><?xml version="1.0" encoding="utf-8"?>
<formControlPr xmlns="http://schemas.microsoft.com/office/spreadsheetml/2009/9/main" objectType="CheckBox" checked="Checked" fmlaLink="S16" lockText="1" noThreeD="1"/>
</file>

<file path=xl/ctrlProps/ctrlProp785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86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87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88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789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79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90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91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792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93.xml><?xml version="1.0" encoding="utf-8"?>
<formControlPr xmlns="http://schemas.microsoft.com/office/spreadsheetml/2009/9/main" objectType="Drop" dropLines="10" dropStyle="combo" dx="17" fmlaLink="$B$49" fmlaRange="Arbeitsgänge!$C$27:$C$80" noThreeD="1" sel="0" val="27"/>
</file>

<file path=xl/ctrlProps/ctrlProp794.xml><?xml version="1.0" encoding="utf-8"?>
<formControlPr xmlns="http://schemas.microsoft.com/office/spreadsheetml/2009/9/main" objectType="Drop" dropLines="10" dropStyle="combo" dx="17" fmlaLink="$B$50" fmlaRange="Arbeitsgänge!$C$27:$C$80" noThreeD="1" sel="0" val="28"/>
</file>

<file path=xl/ctrlProps/ctrlProp795.xml><?xml version="1.0" encoding="utf-8"?>
<formControlPr xmlns="http://schemas.microsoft.com/office/spreadsheetml/2009/9/main" objectType="Drop" dropLines="10" dropStyle="combo" dx="17" fmlaLink="$B$51" fmlaRange="Arbeitsgänge!$C$27:$C$80" noThreeD="1" sel="0" val="29"/>
</file>

<file path=xl/ctrlProps/ctrlProp796.xml><?xml version="1.0" encoding="utf-8"?>
<formControlPr xmlns="http://schemas.microsoft.com/office/spreadsheetml/2009/9/main" objectType="Drop" dropLines="10" dropStyle="combo" dx="17" fmlaLink="$B$52" fmlaRange="Arbeitsgänge!$C$27:$C$80" noThreeD="1" sel="0" val="33"/>
</file>

<file path=xl/ctrlProps/ctrlProp797.xml><?xml version="1.0" encoding="utf-8"?>
<formControlPr xmlns="http://schemas.microsoft.com/office/spreadsheetml/2009/9/main" objectType="Drop" dropLines="10" dropStyle="combo" dx="17" fmlaLink="$B$53" fmlaRange="Arbeitsgänge!$C$27:$C$80" noThreeD="1" sel="0" val="34"/>
</file>

<file path=xl/ctrlProps/ctrlProp798.xml><?xml version="1.0" encoding="utf-8"?>
<formControlPr xmlns="http://schemas.microsoft.com/office/spreadsheetml/2009/9/main" objectType="Drop" dropLines="10" dropStyle="combo" dx="17" fmlaLink="$B$54" fmlaRange="Arbeitsgänge!$C$27:$C$80" noThreeD="1" sel="0" val="41"/>
</file>

<file path=xl/ctrlProps/ctrlProp799.xml><?xml version="1.0" encoding="utf-8"?>
<formControlPr xmlns="http://schemas.microsoft.com/office/spreadsheetml/2009/9/main" objectType="Drop" dropLines="10" dropStyle="combo" dx="17" fmlaLink="$B$55" fmlaRange="Arbeitsgänge!$C$27:$C$80" noThreeD="1" sel="0" val="42"/>
</file>

<file path=xl/ctrlProps/ctrlProp8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80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800.xml><?xml version="1.0" encoding="utf-8"?>
<formControlPr xmlns="http://schemas.microsoft.com/office/spreadsheetml/2009/9/main" objectType="Drop" dropLines="10" dropStyle="combo" dx="17" fmlaLink="$B$56" fmlaRange="Arbeitsgänge!$C$27:$C$80" noThreeD="1" sel="0" val="42"/>
</file>

<file path=xl/ctrlProps/ctrlProp801.xml><?xml version="1.0" encoding="utf-8"?>
<formControlPr xmlns="http://schemas.microsoft.com/office/spreadsheetml/2009/9/main" objectType="CheckBox" fmlaLink="S16" lockText="1" noThreeD="1"/>
</file>

<file path=xl/ctrlProps/ctrlProp802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803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804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805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806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80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808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809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81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810.xml><?xml version="1.0" encoding="utf-8"?>
<formControlPr xmlns="http://schemas.microsoft.com/office/spreadsheetml/2009/9/main" objectType="Drop" dropLines="10" dropStyle="combo" dx="17" fmlaLink="$B$49" fmlaRange="Arbeitsgänge!$C$27:$C$80" noThreeD="1" sel="29" val="28"/>
</file>

<file path=xl/ctrlProps/ctrlProp811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812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813.xml><?xml version="1.0" encoding="utf-8"?>
<formControlPr xmlns="http://schemas.microsoft.com/office/spreadsheetml/2009/9/main" objectType="Drop" dropLines="10" dropStyle="combo" dx="17" fmlaLink="$B$52" fmlaRange="Arbeitsgänge!$C$27:$C$80" noThreeD="1" sel="24" val="19"/>
</file>

<file path=xl/ctrlProps/ctrlProp814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815.xml><?xml version="1.0" encoding="utf-8"?>
<formControlPr xmlns="http://schemas.microsoft.com/office/spreadsheetml/2009/9/main" objectType="Drop" dropLines="10" dropStyle="combo" dx="17" fmlaLink="$B$54" fmlaRange="Arbeitsgänge!$C$27:$C$80" noThreeD="1" sel="50" val="41"/>
</file>

<file path=xl/ctrlProps/ctrlProp81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817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818.xml><?xml version="1.0" encoding="utf-8"?>
<formControlPr xmlns="http://schemas.microsoft.com/office/spreadsheetml/2009/9/main" objectType="CheckBox" checked="Checked" fmlaLink="S16" lockText="1" noThreeD="1"/>
</file>

<file path=xl/ctrlProps/ctrlProp819.xml><?xml version="1.0" encoding="utf-8"?>
<formControlPr xmlns="http://schemas.microsoft.com/office/spreadsheetml/2009/9/main" objectType="CheckBox" fmlaLink="$R$19" lockText="1" noThreeD="1"/>
</file>

<file path=xl/ctrlProps/ctrlProp82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820.xml><?xml version="1.0" encoding="utf-8"?>
<formControlPr xmlns="http://schemas.microsoft.com/office/spreadsheetml/2009/9/main" objectType="CheckBox" fmlaLink="$R$20" lockText="1" noThreeD="1"/>
</file>

<file path=xl/ctrlProps/ctrlProp821.xml><?xml version="1.0" encoding="utf-8"?>
<formControlPr xmlns="http://schemas.microsoft.com/office/spreadsheetml/2009/9/main" objectType="CheckBox" fmlaLink="$R$21" lockText="1" noThreeD="1"/>
</file>

<file path=xl/ctrlProps/ctrlProp822.xml><?xml version="1.0" encoding="utf-8"?>
<formControlPr xmlns="http://schemas.microsoft.com/office/spreadsheetml/2009/9/main" objectType="CheckBox" fmlaLink="$R$22" lockText="1" noThreeD="1"/>
</file>

<file path=xl/ctrlProps/ctrlProp823.xml><?xml version="1.0" encoding="utf-8"?>
<formControlPr xmlns="http://schemas.microsoft.com/office/spreadsheetml/2009/9/main" objectType="CheckBox" fmlaLink="$R$23" lockText="1" noThreeD="1"/>
</file>

<file path=xl/ctrlProps/ctrlProp824.xml><?xml version="1.0" encoding="utf-8"?>
<formControlPr xmlns="http://schemas.microsoft.com/office/spreadsheetml/2009/9/main" objectType="CheckBox" fmlaLink="$U$19" lockText="1" noThreeD="1"/>
</file>

<file path=xl/ctrlProps/ctrlProp825.xml><?xml version="1.0" encoding="utf-8"?>
<formControlPr xmlns="http://schemas.microsoft.com/office/spreadsheetml/2009/9/main" objectType="CheckBox" fmlaLink="$U$20" lockText="1" noThreeD="1"/>
</file>

<file path=xl/ctrlProps/ctrlProp826.xml><?xml version="1.0" encoding="utf-8"?>
<formControlPr xmlns="http://schemas.microsoft.com/office/spreadsheetml/2009/9/main" objectType="CheckBox" fmlaLink="$U$21" lockText="1" noThreeD="1"/>
</file>

<file path=xl/ctrlProps/ctrlProp827.xml><?xml version="1.0" encoding="utf-8"?>
<formControlPr xmlns="http://schemas.microsoft.com/office/spreadsheetml/2009/9/main" objectType="CheckBox" fmlaLink="$U$22" lockText="1" noThreeD="1"/>
</file>

<file path=xl/ctrlProps/ctrlProp828.xml><?xml version="1.0" encoding="utf-8"?>
<formControlPr xmlns="http://schemas.microsoft.com/office/spreadsheetml/2009/9/main" objectType="CheckBox" fmlaLink="$U$23" lockText="1" noThreeD="1"/>
</file>

<file path=xl/ctrlProps/ctrlProp829.xml><?xml version="1.0" encoding="utf-8"?>
<formControlPr xmlns="http://schemas.microsoft.com/office/spreadsheetml/2009/9/main" objectType="CheckBox" fmlaLink="$X$19" lockText="1" noThreeD="1"/>
</file>

<file path=xl/ctrlProps/ctrlProp83.xml><?xml version="1.0" encoding="utf-8"?>
<formControlPr xmlns="http://schemas.microsoft.com/office/spreadsheetml/2009/9/main" objectType="Drop" dropLines="10" dropStyle="combo" dx="17" fmlaLink="$B$52" fmlaRange="Arbeitsgänge!$C$27:$C$80" noThreeD="1" sel="36" val="34"/>
</file>

<file path=xl/ctrlProps/ctrlProp830.xml><?xml version="1.0" encoding="utf-8"?>
<formControlPr xmlns="http://schemas.microsoft.com/office/spreadsheetml/2009/9/main" objectType="CheckBox" fmlaLink="$X$20" lockText="1" noThreeD="1"/>
</file>

<file path=xl/ctrlProps/ctrlProp831.xml><?xml version="1.0" encoding="utf-8"?>
<formControlPr xmlns="http://schemas.microsoft.com/office/spreadsheetml/2009/9/main" objectType="CheckBox" fmlaLink="$X$21" lockText="1" noThreeD="1"/>
</file>

<file path=xl/ctrlProps/ctrlProp832.xml><?xml version="1.0" encoding="utf-8"?>
<formControlPr xmlns="http://schemas.microsoft.com/office/spreadsheetml/2009/9/main" objectType="CheckBox" fmlaLink="$X$22" lockText="1" noThreeD="1"/>
</file>

<file path=xl/ctrlProps/ctrlProp833.xml><?xml version="1.0" encoding="utf-8"?>
<formControlPr xmlns="http://schemas.microsoft.com/office/spreadsheetml/2009/9/main" objectType="CheckBox" fmlaLink="$X$23" lockText="1" noThreeD="1"/>
</file>

<file path=xl/ctrlProps/ctrlProp834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835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836.xml><?xml version="1.0" encoding="utf-8"?>
<formControlPr xmlns="http://schemas.microsoft.com/office/spreadsheetml/2009/9/main" objectType="Drop" dropLines="10" dropStyle="combo" dx="17" fmlaLink="$B$47" fmlaRange="Arbeitsgänge!$C$27:$C$80" noThreeD="1" sel="7" val="7"/>
</file>

<file path=xl/ctrlProps/ctrlProp837.xml><?xml version="1.0" encoding="utf-8"?>
<formControlPr xmlns="http://schemas.microsoft.com/office/spreadsheetml/2009/9/main" objectType="Drop" dropLines="10" dropStyle="combo" dx="17" fmlaLink="$B$48" fmlaRange="Arbeitsgänge!$C$27:$C$80" noThreeD="1" sel="15" val="20"/>
</file>

<file path=xl/ctrlProps/ctrlProp838.xml><?xml version="1.0" encoding="utf-8"?>
<formControlPr xmlns="http://schemas.microsoft.com/office/spreadsheetml/2009/9/main" objectType="Drop" dropLines="10" dropStyle="combo" dx="17" fmlaLink="$B$49" fmlaRange="Arbeitsgänge!$C$27:$C$80" noThreeD="1" sel="22" val="17"/>
</file>

<file path=xl/ctrlProps/ctrlProp839.xml><?xml version="1.0" encoding="utf-8"?>
<formControlPr xmlns="http://schemas.microsoft.com/office/spreadsheetml/2009/9/main" objectType="Drop" dropLines="10" dropStyle="combo" dx="17" fmlaLink="$B$50" fmlaRange="Arbeitsgänge!$C$27:$C$80" noThreeD="1" sel="23" val="0"/>
</file>

<file path=xl/ctrlProps/ctrlProp84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840.xml><?xml version="1.0" encoding="utf-8"?>
<formControlPr xmlns="http://schemas.microsoft.com/office/spreadsheetml/2009/9/main" objectType="Drop" dropLines="10" dropStyle="combo" dx="17" fmlaLink="$B$51" fmlaRange="Arbeitsgänge!$C$27:$C$80" noThreeD="1" sel="50" val="43"/>
</file>

<file path=xl/ctrlProps/ctrlProp841.xml><?xml version="1.0" encoding="utf-8"?>
<formControlPr xmlns="http://schemas.microsoft.com/office/spreadsheetml/2009/9/main" objectType="Drop" dropLines="10" dropStyle="combo" dx="17" fmlaLink="$B$52" fmlaRange="Arbeitsgänge!$C$27:$C$80" noThreeD="1" sel="50" val="34"/>
</file>

<file path=xl/ctrlProps/ctrlProp842.xml><?xml version="1.0" encoding="utf-8"?>
<formControlPr xmlns="http://schemas.microsoft.com/office/spreadsheetml/2009/9/main" objectType="Drop" dropLines="10" dropStyle="combo" dx="17" fmlaLink="$B$53" fmlaRange="Arbeitsgänge!$C$27:$C$80" noThreeD="1" sel="50" val="35"/>
</file>

<file path=xl/ctrlProps/ctrlProp843.xml><?xml version="1.0" encoding="utf-8"?>
<formControlPr xmlns="http://schemas.microsoft.com/office/spreadsheetml/2009/9/main" objectType="Drop" dropLines="10" dropStyle="combo" dx="17" fmlaLink="$B$54" fmlaRange="Arbeitsgänge!$C$27:$C$80" noThreeD="1" sel="50" val="34"/>
</file>

<file path=xl/ctrlProps/ctrlProp844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845.xml><?xml version="1.0" encoding="utf-8"?>
<formControlPr xmlns="http://schemas.microsoft.com/office/spreadsheetml/2009/9/main" objectType="CheckBox" checked="Checked" fmlaLink="$R$10" lockText="1" noThreeD="1"/>
</file>

<file path=xl/ctrlProps/ctrlProp846.xml><?xml version="1.0" encoding="utf-8"?>
<formControlPr xmlns="http://schemas.microsoft.com/office/spreadsheetml/2009/9/main" objectType="CheckBox" fmlaLink="$R$19" lockText="1" noThreeD="1"/>
</file>

<file path=xl/ctrlProps/ctrlProp847.xml><?xml version="1.0" encoding="utf-8"?>
<formControlPr xmlns="http://schemas.microsoft.com/office/spreadsheetml/2009/9/main" objectType="CheckBox" fmlaLink="$R$19" lockText="1" noThreeD="1"/>
</file>

<file path=xl/ctrlProps/ctrlProp848.xml><?xml version="1.0" encoding="utf-8"?>
<formControlPr xmlns="http://schemas.microsoft.com/office/spreadsheetml/2009/9/main" objectType="CheckBox" fmlaLink="$R$19" lockText="1" noThreeD="1"/>
</file>

<file path=xl/ctrlProps/ctrlProp849.xml><?xml version="1.0" encoding="utf-8"?>
<formControlPr xmlns="http://schemas.microsoft.com/office/spreadsheetml/2009/9/main" objectType="CheckBox" fmlaLink="$R$20" lockText="1" noThreeD="1"/>
</file>

<file path=xl/ctrlProps/ctrlProp85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850.xml><?xml version="1.0" encoding="utf-8"?>
<formControlPr xmlns="http://schemas.microsoft.com/office/spreadsheetml/2009/9/main" objectType="CheckBox" fmlaLink="$R$21" lockText="1" noThreeD="1"/>
</file>

<file path=xl/ctrlProps/ctrlProp851.xml><?xml version="1.0" encoding="utf-8"?>
<formControlPr xmlns="http://schemas.microsoft.com/office/spreadsheetml/2009/9/main" objectType="CheckBox" fmlaLink="$R$22" lockText="1" noThreeD="1"/>
</file>

<file path=xl/ctrlProps/ctrlProp852.xml><?xml version="1.0" encoding="utf-8"?>
<formControlPr xmlns="http://schemas.microsoft.com/office/spreadsheetml/2009/9/main" objectType="CheckBox" fmlaLink="$R$23" lockText="1" noThreeD="1"/>
</file>

<file path=xl/ctrlProps/ctrlProp853.xml><?xml version="1.0" encoding="utf-8"?>
<formControlPr xmlns="http://schemas.microsoft.com/office/spreadsheetml/2009/9/main" objectType="CheckBox" fmlaLink="$U$19" lockText="1" noThreeD="1"/>
</file>

<file path=xl/ctrlProps/ctrlProp854.xml><?xml version="1.0" encoding="utf-8"?>
<formControlPr xmlns="http://schemas.microsoft.com/office/spreadsheetml/2009/9/main" objectType="CheckBox" fmlaLink="$U$20" lockText="1" noThreeD="1"/>
</file>

<file path=xl/ctrlProps/ctrlProp855.xml><?xml version="1.0" encoding="utf-8"?>
<formControlPr xmlns="http://schemas.microsoft.com/office/spreadsheetml/2009/9/main" objectType="CheckBox" fmlaLink="$U$21" lockText="1" noThreeD="1"/>
</file>

<file path=xl/ctrlProps/ctrlProp856.xml><?xml version="1.0" encoding="utf-8"?>
<formControlPr xmlns="http://schemas.microsoft.com/office/spreadsheetml/2009/9/main" objectType="CheckBox" fmlaLink="$U$22" lockText="1" noThreeD="1"/>
</file>

<file path=xl/ctrlProps/ctrlProp857.xml><?xml version="1.0" encoding="utf-8"?>
<formControlPr xmlns="http://schemas.microsoft.com/office/spreadsheetml/2009/9/main" objectType="CheckBox" fmlaLink="$U$23" lockText="1" noThreeD="1"/>
</file>

<file path=xl/ctrlProps/ctrlProp858.xml><?xml version="1.0" encoding="utf-8"?>
<formControlPr xmlns="http://schemas.microsoft.com/office/spreadsheetml/2009/9/main" objectType="CheckBox" fmlaLink="$X$19" lockText="1" noThreeD="1"/>
</file>

<file path=xl/ctrlProps/ctrlProp859.xml><?xml version="1.0" encoding="utf-8"?>
<formControlPr xmlns="http://schemas.microsoft.com/office/spreadsheetml/2009/9/main" objectType="CheckBox" fmlaLink="$X$20" lockText="1" noThreeD="1"/>
</file>

<file path=xl/ctrlProps/ctrlProp8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860.xml><?xml version="1.0" encoding="utf-8"?>
<formControlPr xmlns="http://schemas.microsoft.com/office/spreadsheetml/2009/9/main" objectType="CheckBox" fmlaLink="$X$21" lockText="1" noThreeD="1"/>
</file>

<file path=xl/ctrlProps/ctrlProp861.xml><?xml version="1.0" encoding="utf-8"?>
<formControlPr xmlns="http://schemas.microsoft.com/office/spreadsheetml/2009/9/main" objectType="CheckBox" fmlaLink="$X$22" lockText="1" noThreeD="1"/>
</file>

<file path=xl/ctrlProps/ctrlProp862.xml><?xml version="1.0" encoding="utf-8"?>
<formControlPr xmlns="http://schemas.microsoft.com/office/spreadsheetml/2009/9/main" objectType="CheckBox" fmlaLink="$X$23" lockText="1" noThreeD="1"/>
</file>

<file path=xl/ctrlProps/ctrlProp863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864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865.xml><?xml version="1.0" encoding="utf-8"?>
<formControlPr xmlns="http://schemas.microsoft.com/office/spreadsheetml/2009/9/main" objectType="Drop" dropLines="10" dropStyle="combo" dx="17" fmlaLink="$B$47" fmlaRange="Arbeitsgänge!$C$27:$C$80" noThreeD="1" sel="1" val="7"/>
</file>

<file path=xl/ctrlProps/ctrlProp866.xml><?xml version="1.0" encoding="utf-8"?>
<formControlPr xmlns="http://schemas.microsoft.com/office/spreadsheetml/2009/9/main" objectType="Drop" dropLines="10" dropStyle="combo" dx="17" fmlaLink="$B$48" fmlaRange="Arbeitsgänge!$C$27:$C$80" noThreeD="1" sel="3" val="2"/>
</file>

<file path=xl/ctrlProps/ctrlProp867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868.xml><?xml version="1.0" encoding="utf-8"?>
<formControlPr xmlns="http://schemas.microsoft.com/office/spreadsheetml/2009/9/main" objectType="Drop" dropLines="10" dropStyle="combo" dx="17" fmlaLink="$B$50" fmlaRange="Arbeitsgänge!$C$27:$C$80" noThreeD="1" sel="15" val="14"/>
</file>

<file path=xl/ctrlProps/ctrlProp869.xml><?xml version="1.0" encoding="utf-8"?>
<formControlPr xmlns="http://schemas.microsoft.com/office/spreadsheetml/2009/9/main" objectType="Drop" dropLines="10" dropStyle="combo" dx="17" fmlaLink="$B$51" fmlaRange="Arbeitsgänge!$C$27:$C$80" noThreeD="1" sel="16" val="9"/>
</file>

<file path=xl/ctrlProps/ctrlProp87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870.xml><?xml version="1.0" encoding="utf-8"?>
<formControlPr xmlns="http://schemas.microsoft.com/office/spreadsheetml/2009/9/main" objectType="Drop" dropLines="10" dropStyle="combo" dx="17" fmlaLink="$B$52" fmlaRange="Arbeitsgänge!$C$27:$C$80" noThreeD="1" sel="0" val="14"/>
</file>

<file path=xl/ctrlProps/ctrlProp871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872.xml><?xml version="1.0" encoding="utf-8"?>
<formControlPr xmlns="http://schemas.microsoft.com/office/spreadsheetml/2009/9/main" objectType="Drop" dropLines="10" dropStyle="combo" dx="17" fmlaLink="$B$54" fmlaRange="Arbeitsgänge!$C$27:$C$80" noThreeD="1" sel="0" val="43"/>
</file>

<file path=xl/ctrlProps/ctrlProp873.xml><?xml version="1.0" encoding="utf-8"?>
<formControlPr xmlns="http://schemas.microsoft.com/office/spreadsheetml/2009/9/main" objectType="Drop" dropLines="10" dropStyle="combo" dx="17" fmlaLink="$B$55" fmlaRange="Arbeitsgänge!$C$27:$C$80" noThreeD="1" sel="0" val="43"/>
</file>

<file path=xl/ctrlProps/ctrlProp874.xml><?xml version="1.0" encoding="utf-8"?>
<formControlPr xmlns="http://schemas.microsoft.com/office/spreadsheetml/2009/9/main" objectType="CheckBox" fmlaLink="$R$10" lockText="1" noThreeD="1"/>
</file>

<file path=xl/ctrlProps/ctrlProp875.xml><?xml version="1.0" encoding="utf-8"?>
<formControlPr xmlns="http://schemas.microsoft.com/office/spreadsheetml/2009/9/main" objectType="CheckBox" fmlaLink="$R$19" lockText="1" noThreeD="1"/>
</file>

<file path=xl/ctrlProps/ctrlProp876.xml><?xml version="1.0" encoding="utf-8"?>
<formControlPr xmlns="http://schemas.microsoft.com/office/spreadsheetml/2009/9/main" objectType="CheckBox" fmlaLink="$R$19" lockText="1" noThreeD="1"/>
</file>

<file path=xl/ctrlProps/ctrlProp877.xml><?xml version="1.0" encoding="utf-8"?>
<formControlPr xmlns="http://schemas.microsoft.com/office/spreadsheetml/2009/9/main" objectType="CheckBox" fmlaLink="$R$19" lockText="1" noThreeD="1"/>
</file>

<file path=xl/ctrlProps/ctrlProp878.xml><?xml version="1.0" encoding="utf-8"?>
<formControlPr xmlns="http://schemas.microsoft.com/office/spreadsheetml/2009/9/main" objectType="CheckBox" fmlaLink="$R$20" lockText="1" noThreeD="1"/>
</file>

<file path=xl/ctrlProps/ctrlProp879.xml><?xml version="1.0" encoding="utf-8"?>
<formControlPr xmlns="http://schemas.microsoft.com/office/spreadsheetml/2009/9/main" objectType="CheckBox" fmlaLink="$R$21" lockText="1" noThreeD="1"/>
</file>

<file path=xl/ctrlProps/ctrlProp88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880.xml><?xml version="1.0" encoding="utf-8"?>
<formControlPr xmlns="http://schemas.microsoft.com/office/spreadsheetml/2009/9/main" objectType="CheckBox" fmlaLink="$R$22" lockText="1" noThreeD="1"/>
</file>

<file path=xl/ctrlProps/ctrlProp881.xml><?xml version="1.0" encoding="utf-8"?>
<formControlPr xmlns="http://schemas.microsoft.com/office/spreadsheetml/2009/9/main" objectType="CheckBox" fmlaLink="$R$23" lockText="1" noThreeD="1"/>
</file>

<file path=xl/ctrlProps/ctrlProp882.xml><?xml version="1.0" encoding="utf-8"?>
<formControlPr xmlns="http://schemas.microsoft.com/office/spreadsheetml/2009/9/main" objectType="CheckBox" fmlaLink="$U$19" lockText="1" noThreeD="1"/>
</file>

<file path=xl/ctrlProps/ctrlProp883.xml><?xml version="1.0" encoding="utf-8"?>
<formControlPr xmlns="http://schemas.microsoft.com/office/spreadsheetml/2009/9/main" objectType="CheckBox" fmlaLink="$U$20" lockText="1" noThreeD="1"/>
</file>

<file path=xl/ctrlProps/ctrlProp884.xml><?xml version="1.0" encoding="utf-8"?>
<formControlPr xmlns="http://schemas.microsoft.com/office/spreadsheetml/2009/9/main" objectType="CheckBox" fmlaLink="$U$21" lockText="1" noThreeD="1"/>
</file>

<file path=xl/ctrlProps/ctrlProp885.xml><?xml version="1.0" encoding="utf-8"?>
<formControlPr xmlns="http://schemas.microsoft.com/office/spreadsheetml/2009/9/main" objectType="CheckBox" fmlaLink="$U$22" lockText="1" noThreeD="1"/>
</file>

<file path=xl/ctrlProps/ctrlProp886.xml><?xml version="1.0" encoding="utf-8"?>
<formControlPr xmlns="http://schemas.microsoft.com/office/spreadsheetml/2009/9/main" objectType="CheckBox" fmlaLink="$U$23" lockText="1" noThreeD="1"/>
</file>

<file path=xl/ctrlProps/ctrlProp887.xml><?xml version="1.0" encoding="utf-8"?>
<formControlPr xmlns="http://schemas.microsoft.com/office/spreadsheetml/2009/9/main" objectType="CheckBox" fmlaLink="$X$19" lockText="1" noThreeD="1"/>
</file>

<file path=xl/ctrlProps/ctrlProp888.xml><?xml version="1.0" encoding="utf-8"?>
<formControlPr xmlns="http://schemas.microsoft.com/office/spreadsheetml/2009/9/main" objectType="CheckBox" fmlaLink="$X$20" lockText="1" noThreeD="1"/>
</file>

<file path=xl/ctrlProps/ctrlProp889.xml><?xml version="1.0" encoding="utf-8"?>
<formControlPr xmlns="http://schemas.microsoft.com/office/spreadsheetml/2009/9/main" objectType="CheckBox" fmlaLink="$X$21" lockText="1" noThreeD="1"/>
</file>

<file path=xl/ctrlProps/ctrlProp89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890.xml><?xml version="1.0" encoding="utf-8"?>
<formControlPr xmlns="http://schemas.microsoft.com/office/spreadsheetml/2009/9/main" objectType="CheckBox" fmlaLink="$X$22" lockText="1" noThreeD="1"/>
</file>

<file path=xl/ctrlProps/ctrlProp891.xml><?xml version="1.0" encoding="utf-8"?>
<formControlPr xmlns="http://schemas.microsoft.com/office/spreadsheetml/2009/9/main" objectType="CheckBox" fmlaLink="$X$23" lockText="1" noThreeD="1"/>
</file>

<file path=xl/ctrlProps/ctrlProp89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893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894.xml><?xml version="1.0" encoding="utf-8"?>
<formControlPr xmlns="http://schemas.microsoft.com/office/spreadsheetml/2009/9/main" objectType="Drop" dropLines="10" dropStyle="combo" dx="17" fmlaLink="$B$47" fmlaRange="Arbeitsgänge!$C$27:$C$80" noThreeD="1" sel="1" val="7"/>
</file>

<file path=xl/ctrlProps/ctrlProp895.xml><?xml version="1.0" encoding="utf-8"?>
<formControlPr xmlns="http://schemas.microsoft.com/office/spreadsheetml/2009/9/main" objectType="Drop" dropLines="10" dropStyle="combo" dx="17" fmlaLink="$B$48" fmlaRange="Arbeitsgänge!$C$27:$C$80" noThreeD="1" sel="3" val="0"/>
</file>

<file path=xl/ctrlProps/ctrlProp896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897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898.xml><?xml version="1.0" encoding="utf-8"?>
<formControlPr xmlns="http://schemas.microsoft.com/office/spreadsheetml/2009/9/main" objectType="Drop" dropLines="10" dropStyle="combo" dx="17" fmlaLink="$B$51" fmlaRange="Arbeitsgänge!$C$27:$C$80" noThreeD="1" sel="16" val="9"/>
</file>

<file path=xl/ctrlProps/ctrlProp899.xml><?xml version="1.0" encoding="utf-8"?>
<formControlPr xmlns="http://schemas.microsoft.com/office/spreadsheetml/2009/9/main" objectType="Drop" dropLines="10" dropStyle="combo" dx="17" fmlaLink="$B$52" fmlaRange="Arbeitsgänge!$C$27:$C$80" noThreeD="1" sel="22" val="14"/>
</file>

<file path=xl/ctrlProps/ctrlProp9.xml><?xml version="1.0" encoding="utf-8"?>
<formControlPr xmlns="http://schemas.microsoft.com/office/spreadsheetml/2009/9/main" objectType="Drop" dropLines="10" dropStyle="combo" dx="17" fmlaLink="$B$48" fmlaRange="Arbeitsgänge!$C$27:$C$80" noThreeD="1" sel="15" val="8"/>
</file>

<file path=xl/ctrlProps/ctrlProp90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900.xml><?xml version="1.0" encoding="utf-8"?>
<formControlPr xmlns="http://schemas.microsoft.com/office/spreadsheetml/2009/9/main" objectType="Drop" dropLines="10" dropStyle="combo" dx="17" fmlaLink="$B$53" fmlaRange="Arbeitsgänge!$C$27:$C$80" noThreeD="1" sel="23" val="15"/>
</file>

<file path=xl/ctrlProps/ctrlProp90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902.xml><?xml version="1.0" encoding="utf-8"?>
<formControlPr xmlns="http://schemas.microsoft.com/office/spreadsheetml/2009/9/main" objectType="Drop" dropLines="10" dropStyle="combo" dx="17" fmlaLink="$B$55" fmlaRange="Arbeitsgänge!$C$27:$C$80" noThreeD="1" sel="0" val="43"/>
</file>

<file path=xl/ctrlProps/ctrlProp903.xml><?xml version="1.0" encoding="utf-8"?>
<formControlPr xmlns="http://schemas.microsoft.com/office/spreadsheetml/2009/9/main" objectType="CheckBox" checked="Checked" fmlaLink="$R$10" lockText="1" noThreeD="1"/>
</file>

<file path=xl/ctrlProps/ctrlProp904.xml><?xml version="1.0" encoding="utf-8"?>
<formControlPr xmlns="http://schemas.microsoft.com/office/spreadsheetml/2009/9/main" objectType="CheckBox" fmlaLink="$R$19" lockText="1" noThreeD="1"/>
</file>

<file path=xl/ctrlProps/ctrlProp905.xml><?xml version="1.0" encoding="utf-8"?>
<formControlPr xmlns="http://schemas.microsoft.com/office/spreadsheetml/2009/9/main" objectType="CheckBox" fmlaLink="$R$20" lockText="1" noThreeD="1"/>
</file>

<file path=xl/ctrlProps/ctrlProp906.xml><?xml version="1.0" encoding="utf-8"?>
<formControlPr xmlns="http://schemas.microsoft.com/office/spreadsheetml/2009/9/main" objectType="CheckBox" fmlaLink="$R$21" lockText="1" noThreeD="1"/>
</file>

<file path=xl/ctrlProps/ctrlProp907.xml><?xml version="1.0" encoding="utf-8"?>
<formControlPr xmlns="http://schemas.microsoft.com/office/spreadsheetml/2009/9/main" objectType="CheckBox" fmlaLink="$R$22" lockText="1" noThreeD="1"/>
</file>

<file path=xl/ctrlProps/ctrlProp908.xml><?xml version="1.0" encoding="utf-8"?>
<formControlPr xmlns="http://schemas.microsoft.com/office/spreadsheetml/2009/9/main" objectType="CheckBox" fmlaLink="$R$23" lockText="1" noThreeD="1"/>
</file>

<file path=xl/ctrlProps/ctrlProp909.xml><?xml version="1.0" encoding="utf-8"?>
<formControlPr xmlns="http://schemas.microsoft.com/office/spreadsheetml/2009/9/main" objectType="CheckBox" fmlaLink="$U$19" lockText="1" noThreeD="1"/>
</file>

<file path=xl/ctrlProps/ctrlProp91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910.xml><?xml version="1.0" encoding="utf-8"?>
<formControlPr xmlns="http://schemas.microsoft.com/office/spreadsheetml/2009/9/main" objectType="CheckBox" fmlaLink="$U$20" lockText="1" noThreeD="1"/>
</file>

<file path=xl/ctrlProps/ctrlProp911.xml><?xml version="1.0" encoding="utf-8"?>
<formControlPr xmlns="http://schemas.microsoft.com/office/spreadsheetml/2009/9/main" objectType="CheckBox" fmlaLink="$U$21" lockText="1" noThreeD="1"/>
</file>

<file path=xl/ctrlProps/ctrlProp912.xml><?xml version="1.0" encoding="utf-8"?>
<formControlPr xmlns="http://schemas.microsoft.com/office/spreadsheetml/2009/9/main" objectType="CheckBox" fmlaLink="$U$22" lockText="1" noThreeD="1"/>
</file>

<file path=xl/ctrlProps/ctrlProp913.xml><?xml version="1.0" encoding="utf-8"?>
<formControlPr xmlns="http://schemas.microsoft.com/office/spreadsheetml/2009/9/main" objectType="CheckBox" fmlaLink="$U$23" lockText="1" noThreeD="1"/>
</file>

<file path=xl/ctrlProps/ctrlProp914.xml><?xml version="1.0" encoding="utf-8"?>
<formControlPr xmlns="http://schemas.microsoft.com/office/spreadsheetml/2009/9/main" objectType="CheckBox" fmlaLink="$X$19" lockText="1" noThreeD="1"/>
</file>

<file path=xl/ctrlProps/ctrlProp915.xml><?xml version="1.0" encoding="utf-8"?>
<formControlPr xmlns="http://schemas.microsoft.com/office/spreadsheetml/2009/9/main" objectType="CheckBox" fmlaLink="$X$20" lockText="1" noThreeD="1"/>
</file>

<file path=xl/ctrlProps/ctrlProp916.xml><?xml version="1.0" encoding="utf-8"?>
<formControlPr xmlns="http://schemas.microsoft.com/office/spreadsheetml/2009/9/main" objectType="CheckBox" fmlaLink="$X$21" lockText="1" noThreeD="1"/>
</file>

<file path=xl/ctrlProps/ctrlProp917.xml><?xml version="1.0" encoding="utf-8"?>
<formControlPr xmlns="http://schemas.microsoft.com/office/spreadsheetml/2009/9/main" objectType="CheckBox" fmlaLink="$X$22" lockText="1" noThreeD="1"/>
</file>

<file path=xl/ctrlProps/ctrlProp918.xml><?xml version="1.0" encoding="utf-8"?>
<formControlPr xmlns="http://schemas.microsoft.com/office/spreadsheetml/2009/9/main" objectType="CheckBox" fmlaLink="$X$23" lockText="1" noThreeD="1"/>
</file>

<file path=xl/ctrlProps/ctrlProp919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92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92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921.xml><?xml version="1.0" encoding="utf-8"?>
<formControlPr xmlns="http://schemas.microsoft.com/office/spreadsheetml/2009/9/main" objectType="Drop" dropLines="10" dropStyle="combo" dx="17" fmlaLink="$B$47" fmlaRange="Arbeitsgänge!$C$27:$C$80" noThreeD="1" sel="7" val="6"/>
</file>

<file path=xl/ctrlProps/ctrlProp922.xml><?xml version="1.0" encoding="utf-8"?>
<formControlPr xmlns="http://schemas.microsoft.com/office/spreadsheetml/2009/9/main" objectType="Drop" dropLines="10" dropStyle="combo" dx="17" fmlaLink="$B$48" fmlaRange="Arbeitsgänge!$C$27:$C$80" noThreeD="1" sel="15" val="14"/>
</file>

<file path=xl/ctrlProps/ctrlProp923.xml><?xml version="1.0" encoding="utf-8"?>
<formControlPr xmlns="http://schemas.microsoft.com/office/spreadsheetml/2009/9/main" objectType="Drop" dropLines="10" dropStyle="combo" dx="17" fmlaLink="$B$49" fmlaRange="Arbeitsgänge!$C$27:$C$80" noThreeD="1" sel="16" val="15"/>
</file>

<file path=xl/ctrlProps/ctrlProp924.xml><?xml version="1.0" encoding="utf-8"?>
<formControlPr xmlns="http://schemas.microsoft.com/office/spreadsheetml/2009/9/main" objectType="Drop" dropLines="10" dropStyle="combo" dx="17" fmlaLink="$B$50" fmlaRange="Arbeitsgänge!$C$27:$C$80" noThreeD="1" sel="0" val="20"/>
</file>

<file path=xl/ctrlProps/ctrlProp925.xml><?xml version="1.0" encoding="utf-8"?>
<formControlPr xmlns="http://schemas.microsoft.com/office/spreadsheetml/2009/9/main" objectType="Drop" dropLines="10" dropStyle="combo" dx="17" fmlaLink="$B$51" fmlaRange="Arbeitsgänge!$C$27:$C$80" noThreeD="1" sel="0" val="0"/>
</file>

<file path=xl/ctrlProps/ctrlProp926.xml><?xml version="1.0" encoding="utf-8"?>
<formControlPr xmlns="http://schemas.microsoft.com/office/spreadsheetml/2009/9/main" objectType="Drop" dropLines="10" dropStyle="combo" dx="17" fmlaLink="$B$52" fmlaRange="Arbeitsgänge!$C$27:$C$80" noThreeD="1" sel="0" val="34"/>
</file>

<file path=xl/ctrlProps/ctrlProp927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928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92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93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930.xml><?xml version="1.0" encoding="utf-8"?>
<formControlPr xmlns="http://schemas.microsoft.com/office/spreadsheetml/2009/9/main" objectType="CheckBox" fmlaLink="$R$10" lockText="1" noThreeD="1"/>
</file>

<file path=xl/ctrlProps/ctrlProp931.xml><?xml version="1.0" encoding="utf-8"?>
<formControlPr xmlns="http://schemas.microsoft.com/office/spreadsheetml/2009/9/main" objectType="CheckBox" fmlaLink="$R$19" lockText="1" noThreeD="1"/>
</file>

<file path=xl/ctrlProps/ctrlProp932.xml><?xml version="1.0" encoding="utf-8"?>
<formControlPr xmlns="http://schemas.microsoft.com/office/spreadsheetml/2009/9/main" objectType="CheckBox" fmlaLink="$R$20" lockText="1" noThreeD="1"/>
</file>

<file path=xl/ctrlProps/ctrlProp933.xml><?xml version="1.0" encoding="utf-8"?>
<formControlPr xmlns="http://schemas.microsoft.com/office/spreadsheetml/2009/9/main" objectType="CheckBox" fmlaLink="$R$21" lockText="1" noThreeD="1"/>
</file>

<file path=xl/ctrlProps/ctrlProp934.xml><?xml version="1.0" encoding="utf-8"?>
<formControlPr xmlns="http://schemas.microsoft.com/office/spreadsheetml/2009/9/main" objectType="CheckBox" fmlaLink="$R$22" lockText="1" noThreeD="1"/>
</file>

<file path=xl/ctrlProps/ctrlProp935.xml><?xml version="1.0" encoding="utf-8"?>
<formControlPr xmlns="http://schemas.microsoft.com/office/spreadsheetml/2009/9/main" objectType="CheckBox" fmlaLink="$R$23" lockText="1" noThreeD="1"/>
</file>

<file path=xl/ctrlProps/ctrlProp936.xml><?xml version="1.0" encoding="utf-8"?>
<formControlPr xmlns="http://schemas.microsoft.com/office/spreadsheetml/2009/9/main" objectType="CheckBox" fmlaLink="$U$19" lockText="1" noThreeD="1"/>
</file>

<file path=xl/ctrlProps/ctrlProp937.xml><?xml version="1.0" encoding="utf-8"?>
<formControlPr xmlns="http://schemas.microsoft.com/office/spreadsheetml/2009/9/main" objectType="CheckBox" fmlaLink="$U$20" lockText="1" noThreeD="1"/>
</file>

<file path=xl/ctrlProps/ctrlProp938.xml><?xml version="1.0" encoding="utf-8"?>
<formControlPr xmlns="http://schemas.microsoft.com/office/spreadsheetml/2009/9/main" objectType="CheckBox" fmlaLink="$U$21" lockText="1" noThreeD="1"/>
</file>

<file path=xl/ctrlProps/ctrlProp939.xml><?xml version="1.0" encoding="utf-8"?>
<formControlPr xmlns="http://schemas.microsoft.com/office/spreadsheetml/2009/9/main" objectType="CheckBox" fmlaLink="$U$22" lockText="1" noThreeD="1"/>
</file>

<file path=xl/ctrlProps/ctrlProp94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940.xml><?xml version="1.0" encoding="utf-8"?>
<formControlPr xmlns="http://schemas.microsoft.com/office/spreadsheetml/2009/9/main" objectType="CheckBox" fmlaLink="$U$23" lockText="1" noThreeD="1"/>
</file>

<file path=xl/ctrlProps/ctrlProp941.xml><?xml version="1.0" encoding="utf-8"?>
<formControlPr xmlns="http://schemas.microsoft.com/office/spreadsheetml/2009/9/main" objectType="CheckBox" fmlaLink="$X$19" lockText="1" noThreeD="1"/>
</file>

<file path=xl/ctrlProps/ctrlProp942.xml><?xml version="1.0" encoding="utf-8"?>
<formControlPr xmlns="http://schemas.microsoft.com/office/spreadsheetml/2009/9/main" objectType="CheckBox" fmlaLink="$X$20" lockText="1" noThreeD="1"/>
</file>

<file path=xl/ctrlProps/ctrlProp943.xml><?xml version="1.0" encoding="utf-8"?>
<formControlPr xmlns="http://schemas.microsoft.com/office/spreadsheetml/2009/9/main" objectType="CheckBox" fmlaLink="$X$21" lockText="1" noThreeD="1"/>
</file>

<file path=xl/ctrlProps/ctrlProp944.xml><?xml version="1.0" encoding="utf-8"?>
<formControlPr xmlns="http://schemas.microsoft.com/office/spreadsheetml/2009/9/main" objectType="CheckBox" fmlaLink="$X$22" lockText="1" noThreeD="1"/>
</file>

<file path=xl/ctrlProps/ctrlProp945.xml><?xml version="1.0" encoding="utf-8"?>
<formControlPr xmlns="http://schemas.microsoft.com/office/spreadsheetml/2009/9/main" objectType="CheckBox" fmlaLink="$X$23" lockText="1" noThreeD="1"/>
</file>

<file path=xl/ctrlProps/ctrlProp94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94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948.xml><?xml version="1.0" encoding="utf-8"?>
<formControlPr xmlns="http://schemas.microsoft.com/office/spreadsheetml/2009/9/main" objectType="Drop" dropLines="10" dropStyle="combo" dx="17" fmlaLink="$B$47" fmlaRange="Arbeitsgänge!$C$27:$C$80" noThreeD="1" sel="7" val="6"/>
</file>

<file path=xl/ctrlProps/ctrlProp949.xml><?xml version="1.0" encoding="utf-8"?>
<formControlPr xmlns="http://schemas.microsoft.com/office/spreadsheetml/2009/9/main" objectType="Drop" dropLines="10" dropStyle="combo" dx="17" fmlaLink="$B$48" fmlaRange="Arbeitsgänge!$C$27:$C$80" noThreeD="1" sel="15" val="14"/>
</file>

<file path=xl/ctrlProps/ctrlProp95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950.xml><?xml version="1.0" encoding="utf-8"?>
<formControlPr xmlns="http://schemas.microsoft.com/office/spreadsheetml/2009/9/main" objectType="Drop" dropLines="10" dropStyle="combo" dx="17" fmlaLink="$B$49" fmlaRange="Arbeitsgänge!$C$27:$C$80" noThreeD="1" sel="16" val="18"/>
</file>

<file path=xl/ctrlProps/ctrlProp951.xml><?xml version="1.0" encoding="utf-8"?>
<formControlPr xmlns="http://schemas.microsoft.com/office/spreadsheetml/2009/9/main" objectType="Drop" dropLines="10" dropStyle="combo" dx="17" fmlaLink="$B$50" fmlaRange="Arbeitsgänge!$C$27:$C$80" noThreeD="1" sel="22" val="20"/>
</file>

<file path=xl/ctrlProps/ctrlProp952.xml><?xml version="1.0" encoding="utf-8"?>
<formControlPr xmlns="http://schemas.microsoft.com/office/spreadsheetml/2009/9/main" objectType="Drop" dropLines="10" dropStyle="combo" dx="17" fmlaLink="$B$51" fmlaRange="Arbeitsgänge!$C$27:$C$80" noThreeD="1" sel="23" val="17"/>
</file>

<file path=xl/ctrlProps/ctrlProp953.xml><?xml version="1.0" encoding="utf-8"?>
<formControlPr xmlns="http://schemas.microsoft.com/office/spreadsheetml/2009/9/main" objectType="Drop" dropLines="10" dropStyle="combo" dx="17" fmlaLink="$B$52" fmlaRange="Arbeitsgänge!$C$27:$C$80" noThreeD="1" sel="0" val="14"/>
</file>

<file path=xl/ctrlProps/ctrlProp954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955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956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957.xml><?xml version="1.0" encoding="utf-8"?>
<formControlPr xmlns="http://schemas.microsoft.com/office/spreadsheetml/2009/9/main" objectType="CheckBox" checked="Checked" fmlaLink="$R$10" lockText="1" noThreeD="1"/>
</file>

<file path=xl/ctrlProps/ctrlProp958.xml><?xml version="1.0" encoding="utf-8"?>
<formControlPr xmlns="http://schemas.microsoft.com/office/spreadsheetml/2009/9/main" objectType="CheckBox" fmlaLink="$R$19" lockText="1" noThreeD="1"/>
</file>

<file path=xl/ctrlProps/ctrlProp959.xml><?xml version="1.0" encoding="utf-8"?>
<formControlPr xmlns="http://schemas.microsoft.com/office/spreadsheetml/2009/9/main" objectType="CheckBox" fmlaLink="$R$20" lockText="1" noThreeD="1"/>
</file>

<file path=xl/ctrlProps/ctrlProp96.xml><?xml version="1.0" encoding="utf-8"?>
<formControlPr xmlns="http://schemas.microsoft.com/office/spreadsheetml/2009/9/main" objectType="Drop" dropLines="10" dropStyle="combo" dx="17" fmlaLink="$B$49" fmlaRange="Arbeitsgänge!$C$27:$C$80" noThreeD="1" sel="29" val="26"/>
</file>

<file path=xl/ctrlProps/ctrlProp960.xml><?xml version="1.0" encoding="utf-8"?>
<formControlPr xmlns="http://schemas.microsoft.com/office/spreadsheetml/2009/9/main" objectType="CheckBox" fmlaLink="$R$21" lockText="1" noThreeD="1"/>
</file>

<file path=xl/ctrlProps/ctrlProp961.xml><?xml version="1.0" encoding="utf-8"?>
<formControlPr xmlns="http://schemas.microsoft.com/office/spreadsheetml/2009/9/main" objectType="CheckBox" fmlaLink="$R$22" lockText="1" noThreeD="1"/>
</file>

<file path=xl/ctrlProps/ctrlProp962.xml><?xml version="1.0" encoding="utf-8"?>
<formControlPr xmlns="http://schemas.microsoft.com/office/spreadsheetml/2009/9/main" objectType="CheckBox" fmlaLink="$R$23" lockText="1" noThreeD="1"/>
</file>

<file path=xl/ctrlProps/ctrlProp963.xml><?xml version="1.0" encoding="utf-8"?>
<formControlPr xmlns="http://schemas.microsoft.com/office/spreadsheetml/2009/9/main" objectType="CheckBox" fmlaLink="$U$19" lockText="1" noThreeD="1"/>
</file>

<file path=xl/ctrlProps/ctrlProp964.xml><?xml version="1.0" encoding="utf-8"?>
<formControlPr xmlns="http://schemas.microsoft.com/office/spreadsheetml/2009/9/main" objectType="CheckBox" fmlaLink="$U$20" lockText="1" noThreeD="1"/>
</file>

<file path=xl/ctrlProps/ctrlProp965.xml><?xml version="1.0" encoding="utf-8"?>
<formControlPr xmlns="http://schemas.microsoft.com/office/spreadsheetml/2009/9/main" objectType="CheckBox" fmlaLink="$U$21" lockText="1" noThreeD="1"/>
</file>

<file path=xl/ctrlProps/ctrlProp966.xml><?xml version="1.0" encoding="utf-8"?>
<formControlPr xmlns="http://schemas.microsoft.com/office/spreadsheetml/2009/9/main" objectType="CheckBox" fmlaLink="$U$22" lockText="1" noThreeD="1"/>
</file>

<file path=xl/ctrlProps/ctrlProp967.xml><?xml version="1.0" encoding="utf-8"?>
<formControlPr xmlns="http://schemas.microsoft.com/office/spreadsheetml/2009/9/main" objectType="CheckBox" fmlaLink="$U$23" lockText="1" noThreeD="1"/>
</file>

<file path=xl/ctrlProps/ctrlProp968.xml><?xml version="1.0" encoding="utf-8"?>
<formControlPr xmlns="http://schemas.microsoft.com/office/spreadsheetml/2009/9/main" objectType="CheckBox" fmlaLink="$X$19" lockText="1" noThreeD="1"/>
</file>

<file path=xl/ctrlProps/ctrlProp969.xml><?xml version="1.0" encoding="utf-8"?>
<formControlPr xmlns="http://schemas.microsoft.com/office/spreadsheetml/2009/9/main" objectType="CheckBox" fmlaLink="$X$20" lockText="1" noThreeD="1"/>
</file>

<file path=xl/ctrlProps/ctrlProp97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970.xml><?xml version="1.0" encoding="utf-8"?>
<formControlPr xmlns="http://schemas.microsoft.com/office/spreadsheetml/2009/9/main" objectType="CheckBox" fmlaLink="$X$21" lockText="1" noThreeD="1"/>
</file>

<file path=xl/ctrlProps/ctrlProp971.xml><?xml version="1.0" encoding="utf-8"?>
<formControlPr xmlns="http://schemas.microsoft.com/office/spreadsheetml/2009/9/main" objectType="CheckBox" fmlaLink="$X$22" lockText="1" noThreeD="1"/>
</file>

<file path=xl/ctrlProps/ctrlProp972.xml><?xml version="1.0" encoding="utf-8"?>
<formControlPr xmlns="http://schemas.microsoft.com/office/spreadsheetml/2009/9/main" objectType="CheckBox" fmlaLink="$X$23" lockText="1" noThreeD="1"/>
</file>

<file path=xl/ctrlProps/ctrlProp973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974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975.xml><?xml version="1.0" encoding="utf-8"?>
<formControlPr xmlns="http://schemas.microsoft.com/office/spreadsheetml/2009/9/main" objectType="Drop" dropLines="10" dropStyle="combo" dx="17" fmlaLink="$B$47" fmlaRange="Arbeitsgänge!$C$27:$C$80" noThreeD="1" sel="15" val="6"/>
</file>

<file path=xl/ctrlProps/ctrlProp976.xml><?xml version="1.0" encoding="utf-8"?>
<formControlPr xmlns="http://schemas.microsoft.com/office/spreadsheetml/2009/9/main" objectType="Drop" dropLines="10" dropStyle="combo" dx="17" fmlaLink="$B$48" fmlaRange="Arbeitsgänge!$C$27:$C$80" noThreeD="1" sel="16" val="14"/>
</file>

<file path=xl/ctrlProps/ctrlProp977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978.xml><?xml version="1.0" encoding="utf-8"?>
<formControlPr xmlns="http://schemas.microsoft.com/office/spreadsheetml/2009/9/main" objectType="Drop" dropLines="10" dropStyle="combo" dx="17" fmlaLink="$B$50" fmlaRange="Arbeitsgänge!$C$27:$C$80" noThreeD="1" sel="7" val="2"/>
</file>

<file path=xl/ctrlProps/ctrlProp979.xml><?xml version="1.0" encoding="utf-8"?>
<formControlPr xmlns="http://schemas.microsoft.com/office/spreadsheetml/2009/9/main" objectType="Drop" dropLines="10" dropStyle="combo" dx="17" fmlaLink="$B$51" fmlaRange="Arbeitsgänge!$C$27:$C$80" noThreeD="1" sel="0" val="12"/>
</file>

<file path=xl/ctrlProps/ctrlProp98.xml><?xml version="1.0" encoding="utf-8"?>
<formControlPr xmlns="http://schemas.microsoft.com/office/spreadsheetml/2009/9/main" objectType="Drop" dropLines="10" dropStyle="combo" dx="17" fmlaLink="$B$51" fmlaRange="Arbeitsgänge!$C$27:$C$80" noThreeD="1" sel="31" val="30"/>
</file>

<file path=xl/ctrlProps/ctrlProp980.xml><?xml version="1.0" encoding="utf-8"?>
<formControlPr xmlns="http://schemas.microsoft.com/office/spreadsheetml/2009/9/main" objectType="Drop" dropLines="10" dropStyle="combo" dx="17" fmlaLink="$B$52" fmlaRange="Arbeitsgänge!$C$27:$C$80" noThreeD="1" sel="0" val="20"/>
</file>

<file path=xl/ctrlProps/ctrlProp981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982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983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984.xml><?xml version="1.0" encoding="utf-8"?>
<formControlPr xmlns="http://schemas.microsoft.com/office/spreadsheetml/2009/9/main" objectType="CheckBox" fmlaLink="$R$10" lockText="1" noThreeD="1"/>
</file>

<file path=xl/ctrlProps/ctrlProp985.xml><?xml version="1.0" encoding="utf-8"?>
<formControlPr xmlns="http://schemas.microsoft.com/office/spreadsheetml/2009/9/main" objectType="CheckBox" fmlaLink="$R$19" lockText="1" noThreeD="1"/>
</file>

<file path=xl/ctrlProps/ctrlProp986.xml><?xml version="1.0" encoding="utf-8"?>
<formControlPr xmlns="http://schemas.microsoft.com/office/spreadsheetml/2009/9/main" objectType="CheckBox" fmlaLink="$R$20" lockText="1" noThreeD="1"/>
</file>

<file path=xl/ctrlProps/ctrlProp987.xml><?xml version="1.0" encoding="utf-8"?>
<formControlPr xmlns="http://schemas.microsoft.com/office/spreadsheetml/2009/9/main" objectType="CheckBox" fmlaLink="$R$21" lockText="1" noThreeD="1"/>
</file>

<file path=xl/ctrlProps/ctrlProp988.xml><?xml version="1.0" encoding="utf-8"?>
<formControlPr xmlns="http://schemas.microsoft.com/office/spreadsheetml/2009/9/main" objectType="CheckBox" fmlaLink="$R$22" lockText="1" noThreeD="1"/>
</file>

<file path=xl/ctrlProps/ctrlProp989.xml><?xml version="1.0" encoding="utf-8"?>
<formControlPr xmlns="http://schemas.microsoft.com/office/spreadsheetml/2009/9/main" objectType="CheckBox" fmlaLink="$R$23" lockText="1" noThreeD="1"/>
</file>

<file path=xl/ctrlProps/ctrlProp99.xml><?xml version="1.0" encoding="utf-8"?>
<formControlPr xmlns="http://schemas.microsoft.com/office/spreadsheetml/2009/9/main" objectType="Drop" dropLines="10" dropStyle="combo" dx="17" fmlaLink="$B$52" fmlaRange="Arbeitsgänge!$C$27:$C$80" noThreeD="1" sel="52" val="41"/>
</file>

<file path=xl/ctrlProps/ctrlProp990.xml><?xml version="1.0" encoding="utf-8"?>
<formControlPr xmlns="http://schemas.microsoft.com/office/spreadsheetml/2009/9/main" objectType="CheckBox" fmlaLink="$U$19" lockText="1" noThreeD="1"/>
</file>

<file path=xl/ctrlProps/ctrlProp991.xml><?xml version="1.0" encoding="utf-8"?>
<formControlPr xmlns="http://schemas.microsoft.com/office/spreadsheetml/2009/9/main" objectType="CheckBox" fmlaLink="$U$20" lockText="1" noThreeD="1"/>
</file>

<file path=xl/ctrlProps/ctrlProp992.xml><?xml version="1.0" encoding="utf-8"?>
<formControlPr xmlns="http://schemas.microsoft.com/office/spreadsheetml/2009/9/main" objectType="CheckBox" fmlaLink="$U$21" lockText="1" noThreeD="1"/>
</file>

<file path=xl/ctrlProps/ctrlProp993.xml><?xml version="1.0" encoding="utf-8"?>
<formControlPr xmlns="http://schemas.microsoft.com/office/spreadsheetml/2009/9/main" objectType="CheckBox" fmlaLink="$U$22" lockText="1" noThreeD="1"/>
</file>

<file path=xl/ctrlProps/ctrlProp994.xml><?xml version="1.0" encoding="utf-8"?>
<formControlPr xmlns="http://schemas.microsoft.com/office/spreadsheetml/2009/9/main" objectType="CheckBox" fmlaLink="$U$23" lockText="1" noThreeD="1"/>
</file>

<file path=xl/ctrlProps/ctrlProp995.xml><?xml version="1.0" encoding="utf-8"?>
<formControlPr xmlns="http://schemas.microsoft.com/office/spreadsheetml/2009/9/main" objectType="CheckBox" fmlaLink="$X$19" lockText="1" noThreeD="1"/>
</file>

<file path=xl/ctrlProps/ctrlProp996.xml><?xml version="1.0" encoding="utf-8"?>
<formControlPr xmlns="http://schemas.microsoft.com/office/spreadsheetml/2009/9/main" objectType="CheckBox" fmlaLink="$X$20" lockText="1" noThreeD="1"/>
</file>

<file path=xl/ctrlProps/ctrlProp997.xml><?xml version="1.0" encoding="utf-8"?>
<formControlPr xmlns="http://schemas.microsoft.com/office/spreadsheetml/2009/9/main" objectType="CheckBox" fmlaLink="$X$21" lockText="1" noThreeD="1"/>
</file>

<file path=xl/ctrlProps/ctrlProp998.xml><?xml version="1.0" encoding="utf-8"?>
<formControlPr xmlns="http://schemas.microsoft.com/office/spreadsheetml/2009/9/main" objectType="CheckBox" fmlaLink="$X$22" lockText="1" noThreeD="1"/>
</file>

<file path=xl/ctrlProps/ctrlProp999.xml><?xml version="1.0" encoding="utf-8"?>
<formControlPr xmlns="http://schemas.microsoft.com/office/spreadsheetml/2009/9/main" objectType="CheckBox" fmlaLink="$X$23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#Inhalt!A1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'Sonst-Festk'!A1"/><Relationship Id="rId5" Type="http://schemas.openxmlformats.org/officeDocument/2006/relationships/hyperlink" Target="#Arbeitsg&#228;nge!A1"/><Relationship Id="rId4" Type="http://schemas.openxmlformats.org/officeDocument/2006/relationships/hyperlink" Target="#'Festk-Masch-Geb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3)Sudangras HF Biogas aF-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43)Sudangras HF Biogas aF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4)Sudangras HF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44)Sudangras HF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5)GPS+Sudangras Biogas aF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45)GPS+Sudangras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6)GPS+Sudangr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46)GPS+Sudangr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7)Zuckerhirse HF Biogas aF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47)Zuckerhirse HF Biogas aF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Arbeitsg&#228;nge!A1"/><Relationship Id="rId5" Type="http://schemas.openxmlformats.org/officeDocument/2006/relationships/hyperlink" Target="#'Sonst-Festk'!A1"/><Relationship Id="rId4" Type="http://schemas.openxmlformats.org/officeDocument/2006/relationships/hyperlink" Target="#'Festk-Masch-Geb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8)Zuhirse HF Biogas ex Silo(a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48)Zuhirse HF Biogas ex Silo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9)GPS+Zuckerhirse Biogas aF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49)GPS+Zuckerhirse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0)GPS+Zuckhi.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50)GPS+Zuckhi.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1)Sonnenblum HF Biog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51)Sonnenblum HF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2)Gr&#252;nr.+Sonnbl. Biog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52)Gr&#252;nr.+Sonnbl.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Arbeitsg&#228;nge!A1"/><Relationship Id="rId5" Type="http://schemas.openxmlformats.org/officeDocument/2006/relationships/hyperlink" Target="#'Sonst-Festk'!A1"/><Relationship Id="rId4" Type="http://schemas.openxmlformats.org/officeDocument/2006/relationships/hyperlink" Target="#'Preise-Stammdaten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3)Zuckerr&#252;ben 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53)Zuckerr&#252;ben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4)Dw. Silphie 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'54)Dw. Silphie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5)Wildpflanzen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'55)Wildpflanzen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6)Sida-Malve 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'56)Sida-Malve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7)Topi Kraut f Biogas ex S 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'57)Topi Kraut f Biogas ex S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Arbeitsg&#228;nge!A1"/><Relationship Id="rId5" Type="http://schemas.openxmlformats.org/officeDocument/2006/relationships/hyperlink" Target="#'Festk-Masch-Geb'!A1"/><Relationship Id="rId4" Type="http://schemas.openxmlformats.org/officeDocument/2006/relationships/hyperlink" Target="#'Preise-Stammdaten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'Vergleich Maisprodukte'!A1"/><Relationship Id="rId1" Type="http://schemas.openxmlformats.org/officeDocument/2006/relationships/hyperlink" Target="#Inhalt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Inhalt!A1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5" Type="http://schemas.openxmlformats.org/officeDocument/2006/relationships/hyperlink" Target="#'Festk-Masch-Geb'!A1"/><Relationship Id="rId4" Type="http://schemas.openxmlformats.org/officeDocument/2006/relationships/hyperlink" Target="#'Preise-Stammdaten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)Gr&#252;nf. 3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1)Gr&#252;nf. 3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)Gr&#252;nf. 4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2)Gr&#252;nf. 4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)Gr&#252;nf. 5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halt!A1"/><Relationship Id="rId1" Type="http://schemas.openxmlformats.org/officeDocument/2006/relationships/image" Target="../media/image7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3)Gr&#252;nf. 5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)GS 3Nutz.eig.mech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4)GS 3Nutz.eig.mech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)GS 4Nutz.eig.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5)GS 4Nutz. eig.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6)GS 5Nutz.eig.mech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6)GS 5Nutz.eig.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7)GS3Nutz.Fremd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7)GS 3Nutz.Fremd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8)GS4Nutz.Fremd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8)GS 4Nutz.Fremd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9)GS5Nutz.Fremd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9)GS 5Nutz.Fremd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0) GS 3Nutz. Ballensil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10) GS 3Nutz. Ballensil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1)Heu 2Nutz.-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11)Heu 2Nutz.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2)Heu 3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12)Heu 3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3)Grascobs 5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220;bersicht wichtige Verfahren'!A1"/><Relationship Id="rId2" Type="http://schemas.openxmlformats.org/officeDocument/2006/relationships/hyperlink" Target="#Inhalt!A1"/><Relationship Id="rId1" Type="http://schemas.openxmlformats.org/officeDocument/2006/relationships/chart" Target="../charts/chart1.xml"/><Relationship Id="rId4" Type="http://schemas.openxmlformats.org/officeDocument/2006/relationships/hyperlink" Target="#'Grafik-(b)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13)Grascobs 5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4)Weide_ext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14)Weide ext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5)Weide int. 4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15)Weide int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6)GSHeuGr&#252;nMischung-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16)GSHeuGr&#252;nMischung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7)Kleegras-Gr&#252;nFu-Eig.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17)Kleegras-Gr&#252;nFu-Eig.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8)Kleegrassi-Fremnernt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18)Kleegrassi-Fremdernt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9)LuzerneSil-Fremdernte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19)LuzerneSil-Fremdernte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0)Silomais int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20)Silomais int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1)Futterr&#252;ben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21)Futterr&#252;ben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2)ZWF-Raps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22)ZWF-Raps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220;bersicht wichtige Verfahren'!A1"/><Relationship Id="rId2" Type="http://schemas.openxmlformats.org/officeDocument/2006/relationships/hyperlink" Target="#Inhalt!A1"/><Relationship Id="rId1" Type="http://schemas.openxmlformats.org/officeDocument/2006/relationships/chart" Target="../charts/chart2.xml"/><Relationship Id="rId4" Type="http://schemas.openxmlformats.org/officeDocument/2006/relationships/hyperlink" Target="#'Grafik-(a)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3)GPS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23)GPS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4)Mais LKS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24)Mais LKS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5)Mais CCM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25)Mais CCM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6)M(ais feucht-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26)Mais feucht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7)Silomais Biogas ab Feld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Silomais Biogas ab Feld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8)Silomais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28)Silomais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9)Triticale-GPS Biogas Feld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29)Triticale-GPS Biogas Feld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0)Tritic-GPS Biogas ex Silo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30)Tritic-GPS Biogas ex Silo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1)Hafer-GPS Biogas ab Feld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31)Hafer-GPS Biogas ab Feld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2)Hafer-GPS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32)Hafer-GPS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Owerte-(b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3)Kleegrassil 4N Biogas aF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33)Kleegrassil 4N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4)Kleegrassil 4N Biog ex S(b)'!Druckbereich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34)Kleegrassil 4N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5)Weidelgrassil 4N Bg ex S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35)Weidelgrassil 4N Bg ex S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6)GS 3Nutz. Biogas Feld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36)GS 3Nutz Biogas Feld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7)GS 3Nutz.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37)GS 3Nutz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Owerte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8)GS 4Nutz. Biogas Feld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38)GS 4Nutz Biogas Feld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9)GS 4Nutz.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39)GS 4Nutz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0)Gr&#252;nroggenVF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40)Gr&#252;nroggenVF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1)Gr&#252;nrog.+S.mais Biogas aF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41)Gr&#252;nrog.+S.mais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2)Gr&#252;rog.+Silom. Biog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42)Gr&#252;rog.+Silom.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491706</xdr:colOff>
      <xdr:row>10</xdr:row>
      <xdr:rowOff>2838091</xdr:rowOff>
    </xdr:from>
    <xdr:to>
      <xdr:col>11</xdr:col>
      <xdr:colOff>17253</xdr:colOff>
      <xdr:row>11</xdr:row>
      <xdr:rowOff>2311879</xdr:rowOff>
    </xdr:to>
    <xdr:pic>
      <xdr:nvPicPr>
        <xdr:cNvPr id="31560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438" y="6633713"/>
          <a:ext cx="3847381" cy="2708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483079</xdr:colOff>
      <xdr:row>10</xdr:row>
      <xdr:rowOff>25879</xdr:rowOff>
    </xdr:from>
    <xdr:to>
      <xdr:col>11</xdr:col>
      <xdr:colOff>25879</xdr:colOff>
      <xdr:row>10</xdr:row>
      <xdr:rowOff>2743200</xdr:rowOff>
    </xdr:to>
    <xdr:pic>
      <xdr:nvPicPr>
        <xdr:cNvPr id="31560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811" y="3821502"/>
          <a:ext cx="3864634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25879</xdr:rowOff>
    </xdr:from>
    <xdr:to>
      <xdr:col>6</xdr:col>
      <xdr:colOff>15815</xdr:colOff>
      <xdr:row>10</xdr:row>
      <xdr:rowOff>2743200</xdr:rowOff>
    </xdr:to>
    <xdr:pic>
      <xdr:nvPicPr>
        <xdr:cNvPr id="315610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3821502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2838091</xdr:rowOff>
    </xdr:from>
    <xdr:to>
      <xdr:col>6</xdr:col>
      <xdr:colOff>15815</xdr:colOff>
      <xdr:row>11</xdr:row>
      <xdr:rowOff>2320506</xdr:rowOff>
    </xdr:to>
    <xdr:pic>
      <xdr:nvPicPr>
        <xdr:cNvPr id="3156101" name="Picture 14" descr="P92000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6633713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2</xdr:row>
      <xdr:rowOff>0</xdr:rowOff>
    </xdr:from>
    <xdr:to>
      <xdr:col>19</xdr:col>
      <xdr:colOff>333375</xdr:colOff>
      <xdr:row>37</xdr:row>
      <xdr:rowOff>142875</xdr:rowOff>
    </xdr:to>
    <xdr:sp macro="" textlink="">
      <xdr:nvSpPr>
        <xdr:cNvPr id="1039" name="Text Box 15"/>
        <xdr:cNvSpPr txBox="1">
          <a:spLocks noChangeArrowheads="1"/>
        </xdr:cNvSpPr>
      </xdr:nvSpPr>
      <xdr:spPr bwMode="auto">
        <a:xfrm>
          <a:off x="8029575" y="1028700"/>
          <a:ext cx="0" cy="1663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Änderung zur Vorversion vom 21.01.2009:</a:t>
          </a:r>
        </a:p>
        <a:p>
          <a:pPr algn="l" rtl="0">
            <a:defRPr sz="1000"/>
          </a:pPr>
          <a:endParaRPr lang="de-DE" sz="1600" b="1" i="0" u="sng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3.2.09:</a:t>
          </a: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- Schlepper-Reparaturkosten im Blatt "VarMakost; AKh-Bedarf" in "€/h" (nicht "€/ha") 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13.2.09: </a:t>
          </a: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Änderungen Stammdaten für Düngerpreise, Diesel, Zinsansätze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Differenzierter Pachtpreis GL (ext: 75 €/ha, int. 150 €/ha)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einheitl. ZA: 285 €/ha GL und AL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23.4.09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  <a:endParaRPr lang="de-DE" sz="1600" b="1" i="0" u="sng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Änderung Maschinenkosten(fest+var.) nach aktuellem KTBL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06.5.09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  <a:endParaRPr lang="de-DE" sz="1600" b="1" i="0" u="sng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N-Verluste von 28% auf 30%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Kombinationen und Preise Pflz.sch.mittel aktualisiert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08.5.09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m³ Gärrest pro t FM in Biogasverfahren mit Naebi-Daten abgeglichen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Hyperlinks im Blatt "Inhalt" repariert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Gärrestausbringung in Blättern "GS 3/4Nutz Biogas" von Benutzereingabe auf auto-matisierte Formel geändert (siehe Zelle L63)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15.5.09: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(Over)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Nährstoffrücklieferung über Gülle wahlweise eingebaut auch in die Futterbauverfahren (analog Kofermente), bei Weideverfahren nur 50% des Düngebedarfs über Gülleausbringung, Rest über Weidetiere direkt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Überarbeitung Text Beschreibung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20.5.09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Seitenzahlen überprüft &amp; korrigiert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Blattschutz auf jedes Arbeitsblatt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27.5.09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Deckblatt nach Vorlage Over u. Segger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MEKA-Werte 2010 löschen (Arb.auftr. Segger)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Grafik für Kofermentverfahren eingefügt (S.11b)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(Krieg)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Inhaltsverzeichnis Kofermentverfahren einheitlich auf "...gelagert (einsiliert)"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111682</xdr:colOff>
      <xdr:row>22</xdr:row>
      <xdr:rowOff>338843</xdr:rowOff>
    </xdr:from>
    <xdr:to>
      <xdr:col>9</xdr:col>
      <xdr:colOff>589010</xdr:colOff>
      <xdr:row>27</xdr:row>
      <xdr:rowOff>27215</xdr:rowOff>
    </xdr:to>
    <xdr:grpSp>
      <xdr:nvGrpSpPr>
        <xdr:cNvPr id="3156103" name="Group 25"/>
        <xdr:cNvGrpSpPr>
          <a:grpSpLocks/>
        </xdr:cNvGrpSpPr>
      </xdr:nvGrpSpPr>
      <xdr:grpSpPr bwMode="auto">
        <a:xfrm>
          <a:off x="4874182" y="14272557"/>
          <a:ext cx="2314292" cy="1280408"/>
          <a:chOff x="2136" y="1787"/>
          <a:chExt cx="5743" cy="2178"/>
        </a:xfrm>
      </xdr:grpSpPr>
      <xdr:pic>
        <xdr:nvPicPr>
          <xdr:cNvPr id="3156111" name="Picture 26" descr="P:\90_EigeneVorlagen\LOGO-LEL_transparent.tif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lum brigh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36" y="1787"/>
            <a:ext cx="1488" cy="7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51" name="Text Box 27"/>
          <xdr:cNvSpPr txBox="1">
            <a:spLocks noChangeArrowheads="1"/>
          </xdr:cNvSpPr>
        </xdr:nvSpPr>
        <xdr:spPr bwMode="auto">
          <a:xfrm flipV="1">
            <a:off x="2157" y="3712"/>
            <a:ext cx="5722" cy="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00CC9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91440" tIns="45720" rIns="91440" bIns="45720" anchor="t" upright="1">
            <a:noAutofit/>
          </a:bodyPr>
          <a:lstStyle/>
          <a:p>
            <a:pPr algn="l" rtl="0">
              <a:lnSpc>
                <a:spcPts val="300"/>
              </a:lnSpc>
              <a:defRPr sz="1000"/>
            </a:pPr>
            <a:r>
              <a:rPr lang="de-DE" sz="1400" b="0" i="0" u="none" strike="noStrike" baseline="0">
                <a:solidFill>
                  <a:srgbClr val="000000"/>
                </a:solidFill>
                <a:latin typeface="Comic Sans MS"/>
              </a:rPr>
              <a:t>Impulse für Mensch und Raum</a:t>
            </a:r>
          </a:p>
          <a:p>
            <a:pPr algn="l" rtl="0">
              <a:lnSpc>
                <a:spcPts val="300"/>
              </a:lnSpc>
              <a:defRPr sz="1000"/>
            </a:pPr>
            <a:endParaRPr lang="de-DE" sz="1400" b="0" i="0" u="none" strike="noStrike" baseline="0">
              <a:solidFill>
                <a:srgbClr val="000000"/>
              </a:solidFill>
              <a:latin typeface="Comic Sans MS"/>
            </a:endParaRPr>
          </a:p>
        </xdr:txBody>
      </xdr:sp>
    </xdr:grpSp>
    <xdr:clientData/>
  </xdr:twoCellAnchor>
  <xdr:twoCellAnchor editAs="oneCell">
    <xdr:from>
      <xdr:col>6</xdr:col>
      <xdr:colOff>491706</xdr:colOff>
      <xdr:row>10</xdr:row>
      <xdr:rowOff>2838091</xdr:rowOff>
    </xdr:from>
    <xdr:to>
      <xdr:col>11</xdr:col>
      <xdr:colOff>17253</xdr:colOff>
      <xdr:row>11</xdr:row>
      <xdr:rowOff>2320506</xdr:rowOff>
    </xdr:to>
    <xdr:pic>
      <xdr:nvPicPr>
        <xdr:cNvPr id="315610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438" y="6633713"/>
          <a:ext cx="3847381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483079</xdr:colOff>
      <xdr:row>10</xdr:row>
      <xdr:rowOff>25879</xdr:rowOff>
    </xdr:from>
    <xdr:to>
      <xdr:col>11</xdr:col>
      <xdr:colOff>34506</xdr:colOff>
      <xdr:row>10</xdr:row>
      <xdr:rowOff>2734574</xdr:rowOff>
    </xdr:to>
    <xdr:pic>
      <xdr:nvPicPr>
        <xdr:cNvPr id="315610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811" y="3821502"/>
          <a:ext cx="3873261" cy="2708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25879</xdr:rowOff>
    </xdr:from>
    <xdr:to>
      <xdr:col>6</xdr:col>
      <xdr:colOff>15815</xdr:colOff>
      <xdr:row>10</xdr:row>
      <xdr:rowOff>2734574</xdr:rowOff>
    </xdr:to>
    <xdr:pic>
      <xdr:nvPicPr>
        <xdr:cNvPr id="315610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3821502"/>
          <a:ext cx="3717985" cy="2708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2838091</xdr:rowOff>
    </xdr:from>
    <xdr:to>
      <xdr:col>6</xdr:col>
      <xdr:colOff>15815</xdr:colOff>
      <xdr:row>11</xdr:row>
      <xdr:rowOff>2320506</xdr:rowOff>
    </xdr:to>
    <xdr:pic>
      <xdr:nvPicPr>
        <xdr:cNvPr id="3156107" name="Picture 31" descr="P92000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6633713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491706</xdr:colOff>
      <xdr:row>10</xdr:row>
      <xdr:rowOff>2838091</xdr:rowOff>
    </xdr:from>
    <xdr:to>
      <xdr:col>11</xdr:col>
      <xdr:colOff>17253</xdr:colOff>
      <xdr:row>11</xdr:row>
      <xdr:rowOff>2320506</xdr:rowOff>
    </xdr:to>
    <xdr:pic>
      <xdr:nvPicPr>
        <xdr:cNvPr id="315610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438" y="6633713"/>
          <a:ext cx="3847381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483079</xdr:colOff>
      <xdr:row>10</xdr:row>
      <xdr:rowOff>25879</xdr:rowOff>
    </xdr:from>
    <xdr:to>
      <xdr:col>11</xdr:col>
      <xdr:colOff>34506</xdr:colOff>
      <xdr:row>10</xdr:row>
      <xdr:rowOff>2734574</xdr:rowOff>
    </xdr:to>
    <xdr:pic>
      <xdr:nvPicPr>
        <xdr:cNvPr id="315610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811" y="3821502"/>
          <a:ext cx="3873261" cy="2708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2838091</xdr:rowOff>
    </xdr:from>
    <xdr:to>
      <xdr:col>6</xdr:col>
      <xdr:colOff>15815</xdr:colOff>
      <xdr:row>11</xdr:row>
      <xdr:rowOff>2320506</xdr:rowOff>
    </xdr:to>
    <xdr:pic>
      <xdr:nvPicPr>
        <xdr:cNvPr id="3156110" name="Picture 38" descr="P92000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6633713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25400</xdr:colOff>
      <xdr:row>0</xdr:row>
      <xdr:rowOff>208643</xdr:rowOff>
    </xdr:from>
    <xdr:to>
      <xdr:col>20</xdr:col>
      <xdr:colOff>299357</xdr:colOff>
      <xdr:row>12</xdr:row>
      <xdr:rowOff>317500</xdr:rowOff>
    </xdr:to>
    <xdr:sp macro="" textlink="">
      <xdr:nvSpPr>
        <xdr:cNvPr id="2" name="Textfeld 1">
          <a:hlinkClick xmlns:r="http://schemas.openxmlformats.org/officeDocument/2006/relationships" r:id="rId6"/>
        </xdr:cNvPr>
        <xdr:cNvSpPr txBox="1"/>
      </xdr:nvSpPr>
      <xdr:spPr>
        <a:xfrm>
          <a:off x="25400" y="208643"/>
          <a:ext cx="8937171" cy="9833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</xdr:col>
      <xdr:colOff>1123950</xdr:colOff>
      <xdr:row>1</xdr:row>
      <xdr:rowOff>133350</xdr:rowOff>
    </xdr:to>
    <xdr:sp macro="" textlink="">
      <xdr:nvSpPr>
        <xdr:cNvPr id="2" name="Textfeld 1">
          <a:hlinkClick xmlns:r="http://schemas.openxmlformats.org/officeDocument/2006/relationships" r:id="rId1"/>
        </xdr:cNvPr>
        <xdr:cNvSpPr txBox="1"/>
      </xdr:nvSpPr>
      <xdr:spPr>
        <a:xfrm>
          <a:off x="123825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3</xdr:col>
      <xdr:colOff>1200150</xdr:colOff>
      <xdr:row>0</xdr:row>
      <xdr:rowOff>0</xdr:rowOff>
    </xdr:from>
    <xdr:to>
      <xdr:col>5</xdr:col>
      <xdr:colOff>123825</xdr:colOff>
      <xdr:row>1</xdr:row>
      <xdr:rowOff>114300</xdr:rowOff>
    </xdr:to>
    <xdr:sp macro="" textlink="">
      <xdr:nvSpPr>
        <xdr:cNvPr id="3" name="Textfeld 2">
          <a:hlinkClick xmlns:r="http://schemas.openxmlformats.org/officeDocument/2006/relationships" r:id="rId2"/>
        </xdr:cNvPr>
        <xdr:cNvSpPr txBox="1"/>
      </xdr:nvSpPr>
      <xdr:spPr>
        <a:xfrm>
          <a:off x="16002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0</xdr:rowOff>
    </xdr:from>
    <xdr:to>
      <xdr:col>8</xdr:col>
      <xdr:colOff>371475</xdr:colOff>
      <xdr:row>1</xdr:row>
      <xdr:rowOff>114300</xdr:rowOff>
    </xdr:to>
    <xdr:sp macro="" textlink="">
      <xdr:nvSpPr>
        <xdr:cNvPr id="4" name="Textfeld 3">
          <a:hlinkClick xmlns:r="http://schemas.openxmlformats.org/officeDocument/2006/relationships" r:id="rId3"/>
        </xdr:cNvPr>
        <xdr:cNvSpPr txBox="1"/>
      </xdr:nvSpPr>
      <xdr:spPr>
        <a:xfrm>
          <a:off x="40767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 fPrintsWithSheet="0"/>
  </xdr:twoCellAnchor>
  <xdr:twoCellAnchor>
    <xdr:from>
      <xdr:col>9</xdr:col>
      <xdr:colOff>485774</xdr:colOff>
      <xdr:row>0</xdr:row>
      <xdr:rowOff>0</xdr:rowOff>
    </xdr:from>
    <xdr:to>
      <xdr:col>12</xdr:col>
      <xdr:colOff>432449</xdr:colOff>
      <xdr:row>2</xdr:row>
      <xdr:rowOff>9525</xdr:rowOff>
    </xdr:to>
    <xdr:sp macro="" textlink="">
      <xdr:nvSpPr>
        <xdr:cNvPr id="5" name="Textfeld 4">
          <a:hlinkClick xmlns:r="http://schemas.openxmlformats.org/officeDocument/2006/relationships" r:id="rId4"/>
        </xdr:cNvPr>
        <xdr:cNvSpPr txBox="1"/>
      </xdr:nvSpPr>
      <xdr:spPr>
        <a:xfrm>
          <a:off x="5915024" y="0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 fPrintsWithSheet="0"/>
  </xdr:twoCellAnchor>
  <xdr:twoCellAnchor>
    <xdr:from>
      <xdr:col>9</xdr:col>
      <xdr:colOff>485774</xdr:colOff>
      <xdr:row>2</xdr:row>
      <xdr:rowOff>114300</xdr:rowOff>
    </xdr:from>
    <xdr:to>
      <xdr:col>12</xdr:col>
      <xdr:colOff>432449</xdr:colOff>
      <xdr:row>2</xdr:row>
      <xdr:rowOff>419100</xdr:rowOff>
    </xdr:to>
    <xdr:sp macro="" textlink="">
      <xdr:nvSpPr>
        <xdr:cNvPr id="7" name="Textfeld 6">
          <a:hlinkClick xmlns:r="http://schemas.openxmlformats.org/officeDocument/2006/relationships" r:id="rId5"/>
        </xdr:cNvPr>
        <xdr:cNvSpPr txBox="1"/>
      </xdr:nvSpPr>
      <xdr:spPr>
        <a:xfrm>
          <a:off x="5915024" y="571500"/>
          <a:ext cx="1404000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209551</xdr:rowOff>
    </xdr:from>
    <xdr:to>
      <xdr:col>8</xdr:col>
      <xdr:colOff>371475</xdr:colOff>
      <xdr:row>2</xdr:row>
      <xdr:rowOff>428626</xdr:rowOff>
    </xdr:to>
    <xdr:sp macro="" textlink="">
      <xdr:nvSpPr>
        <xdr:cNvPr id="8" name="Textfeld 7">
          <a:hlinkClick xmlns:r="http://schemas.openxmlformats.org/officeDocument/2006/relationships" r:id="rId6"/>
        </xdr:cNvPr>
        <xdr:cNvSpPr txBox="1"/>
      </xdr:nvSpPr>
      <xdr:spPr>
        <a:xfrm>
          <a:off x="4076700" y="409576"/>
          <a:ext cx="1238250" cy="4762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Sonstige Festkosten</a:t>
          </a:r>
        </a:p>
      </xdr:txBody>
    </xdr:sp>
    <xdr:clientData fPrint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1553" name="Check Box 1" hidden="1">
              <a:extLst>
                <a:ext uri="{63B3BB69-23CF-44E3-9099-C40C66FF867C}">
                  <a14:compatExt spid="_x0000_s15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1554" name="Check Box 2" hidden="1">
              <a:extLst>
                <a:ext uri="{63B3BB69-23CF-44E3-9099-C40C66FF867C}">
                  <a14:compatExt spid="_x0000_s15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1555" name="Check Box 3" hidden="1">
              <a:extLst>
                <a:ext uri="{63B3BB69-23CF-44E3-9099-C40C66FF867C}">
                  <a14:compatExt spid="_x0000_s15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1556" name="Check Box 4" hidden="1">
              <a:extLst>
                <a:ext uri="{63B3BB69-23CF-44E3-9099-C40C66FF867C}">
                  <a14:compatExt spid="_x0000_s15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1557" name="Check Box 5" hidden="1">
              <a:extLst>
                <a:ext uri="{63B3BB69-23CF-44E3-9099-C40C66FF867C}">
                  <a14:compatExt spid="_x0000_s15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1558" name="Check Box 6" hidden="1">
              <a:extLst>
                <a:ext uri="{63B3BB69-23CF-44E3-9099-C40C66FF867C}">
                  <a14:compatExt spid="_x0000_s15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1559" name="Check Box 7" hidden="1">
              <a:extLst>
                <a:ext uri="{63B3BB69-23CF-44E3-9099-C40C66FF867C}">
                  <a14:compatExt spid="_x0000_s15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1560" name="Check Box 8" hidden="1">
              <a:extLst>
                <a:ext uri="{63B3BB69-23CF-44E3-9099-C40C66FF867C}">
                  <a14:compatExt spid="_x0000_s15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1561" name="Check Box 9" hidden="1">
              <a:extLst>
                <a:ext uri="{63B3BB69-23CF-44E3-9099-C40C66FF867C}">
                  <a14:compatExt spid="_x0000_s15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1562" name="Check Box 10" hidden="1">
              <a:extLst>
                <a:ext uri="{63B3BB69-23CF-44E3-9099-C40C66FF867C}">
                  <a14:compatExt spid="_x0000_s15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1563" name="Check Box 11" hidden="1">
              <a:extLst>
                <a:ext uri="{63B3BB69-23CF-44E3-9099-C40C66FF867C}">
                  <a14:compatExt spid="_x0000_s15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1564" name="Check Box 12" hidden="1">
              <a:extLst>
                <a:ext uri="{63B3BB69-23CF-44E3-9099-C40C66FF867C}">
                  <a14:compatExt spid="_x0000_s15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1565" name="Check Box 13" hidden="1">
              <a:extLst>
                <a:ext uri="{63B3BB69-23CF-44E3-9099-C40C66FF867C}">
                  <a14:compatExt spid="_x0000_s15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1566" name="Check Box 14" hidden="1">
              <a:extLst>
                <a:ext uri="{63B3BB69-23CF-44E3-9099-C40C66FF867C}">
                  <a14:compatExt spid="_x0000_s15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1567" name="Check Box 15" hidden="1">
              <a:extLst>
                <a:ext uri="{63B3BB69-23CF-44E3-9099-C40C66FF867C}">
                  <a14:compatExt spid="_x0000_s15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1568" name="Drop Down 16" hidden="1">
              <a:extLst>
                <a:ext uri="{63B3BB69-23CF-44E3-9099-C40C66FF867C}">
                  <a14:compatExt spid="_x0000_s15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1569" name="Drop Down 17" hidden="1">
              <a:extLst>
                <a:ext uri="{63B3BB69-23CF-44E3-9099-C40C66FF867C}">
                  <a14:compatExt spid="_x0000_s15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51570" name="Drop Down 18" hidden="1">
              <a:extLst>
                <a:ext uri="{63B3BB69-23CF-44E3-9099-C40C66FF867C}">
                  <a14:compatExt spid="_x0000_s15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51571" name="Drop Down 19" hidden="1">
              <a:extLst>
                <a:ext uri="{63B3BB69-23CF-44E3-9099-C40C66FF867C}">
                  <a14:compatExt spid="_x0000_s15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51572" name="Drop Down 20" hidden="1">
              <a:extLst>
                <a:ext uri="{63B3BB69-23CF-44E3-9099-C40C66FF867C}">
                  <a14:compatExt spid="_x0000_s15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51573" name="Drop Down 21" hidden="1">
              <a:extLst>
                <a:ext uri="{63B3BB69-23CF-44E3-9099-C40C66FF867C}">
                  <a14:compatExt spid="_x0000_s15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51574" name="Drop Down 22" hidden="1">
              <a:extLst>
                <a:ext uri="{63B3BB69-23CF-44E3-9099-C40C66FF867C}">
                  <a14:compatExt spid="_x0000_s15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51575" name="Drop Down 23" hidden="1">
              <a:extLst>
                <a:ext uri="{63B3BB69-23CF-44E3-9099-C40C66FF867C}">
                  <a14:compatExt spid="_x0000_s15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51576" name="Drop Down 24" hidden="1">
              <a:extLst>
                <a:ext uri="{63B3BB69-23CF-44E3-9099-C40C66FF867C}">
                  <a14:compatExt spid="_x0000_s15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51577" name="Drop Down 25" hidden="1">
              <a:extLst>
                <a:ext uri="{63B3BB69-23CF-44E3-9099-C40C66FF867C}">
                  <a14:compatExt spid="_x0000_s15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1578" name="Drop Down 26" hidden="1">
              <a:extLst>
                <a:ext uri="{63B3BB69-23CF-44E3-9099-C40C66FF867C}">
                  <a14:compatExt spid="_x0000_s15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1579" name="Check Box 27" hidden="1">
              <a:extLst>
                <a:ext uri="{63B3BB69-23CF-44E3-9099-C40C66FF867C}">
                  <a14:compatExt spid="_x0000_s15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342900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9675"/>
          <a:ext cx="2657475" cy="2476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7761" name="Check Box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7762" name="Check Box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7763" name="Check Box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7764" name="Check Box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7765" name="Check Box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7766" name="Check Box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7767" name="Check Box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7768" name="Check Box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7769" name="Check Box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7770" name="Check Box 10" hidden="1">
              <a:extLst>
                <a:ext uri="{63B3BB69-23CF-44E3-9099-C40C66FF867C}">
                  <a14:compatExt spid="_x0000_s11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7771" name="Check Box 11" hidden="1">
              <a:extLst>
                <a:ext uri="{63B3BB69-23CF-44E3-9099-C40C66FF867C}">
                  <a14:compatExt spid="_x0000_s11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7772" name="Check Box 12" hidden="1">
              <a:extLst>
                <a:ext uri="{63B3BB69-23CF-44E3-9099-C40C66FF867C}">
                  <a14:compatExt spid="_x0000_s11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7773" name="Check Box 13" hidden="1">
              <a:extLst>
                <a:ext uri="{63B3BB69-23CF-44E3-9099-C40C66FF867C}">
                  <a14:compatExt spid="_x0000_s11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7774" name="Check Box 14" hidden="1">
              <a:extLst>
                <a:ext uri="{63B3BB69-23CF-44E3-9099-C40C66FF867C}">
                  <a14:compatExt spid="_x0000_s11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7775" name="Check Box 15" hidden="1">
              <a:extLst>
                <a:ext uri="{63B3BB69-23CF-44E3-9099-C40C66FF867C}">
                  <a14:compatExt spid="_x0000_s11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17776" name="Drop Down 16" hidden="1">
              <a:extLst>
                <a:ext uri="{63B3BB69-23CF-44E3-9099-C40C66FF867C}">
                  <a14:compatExt spid="_x0000_s11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17777" name="Drop Down 17" hidden="1">
              <a:extLst>
                <a:ext uri="{63B3BB69-23CF-44E3-9099-C40C66FF867C}">
                  <a14:compatExt spid="_x0000_s11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17778" name="Drop Down 18" hidden="1">
              <a:extLst>
                <a:ext uri="{63B3BB69-23CF-44E3-9099-C40C66FF867C}">
                  <a14:compatExt spid="_x0000_s11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17779" name="Drop Down 19" hidden="1">
              <a:extLst>
                <a:ext uri="{63B3BB69-23CF-44E3-9099-C40C66FF867C}">
                  <a14:compatExt spid="_x0000_s11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17780" name="Drop Down 20" hidden="1">
              <a:extLst>
                <a:ext uri="{63B3BB69-23CF-44E3-9099-C40C66FF867C}">
                  <a14:compatExt spid="_x0000_s11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17781" name="Drop Down 21" hidden="1">
              <a:extLst>
                <a:ext uri="{63B3BB69-23CF-44E3-9099-C40C66FF867C}">
                  <a14:compatExt spid="_x0000_s11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17782" name="Drop Down 22" hidden="1">
              <a:extLst>
                <a:ext uri="{63B3BB69-23CF-44E3-9099-C40C66FF867C}">
                  <a14:compatExt spid="_x0000_s11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17783" name="Drop Down 23" hidden="1">
              <a:extLst>
                <a:ext uri="{63B3BB69-23CF-44E3-9099-C40C66FF867C}">
                  <a14:compatExt spid="_x0000_s11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7784" name="Drop Down 24" hidden="1">
              <a:extLst>
                <a:ext uri="{63B3BB69-23CF-44E3-9099-C40C66FF867C}">
                  <a14:compatExt spid="_x0000_s11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17785" name="Drop Down 25" hidden="1">
              <a:extLst>
                <a:ext uri="{63B3BB69-23CF-44E3-9099-C40C66FF867C}">
                  <a14:compatExt spid="_x0000_s11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17786" name="Drop Down 26" hidden="1">
              <a:extLst>
                <a:ext uri="{63B3BB69-23CF-44E3-9099-C40C66FF867C}">
                  <a14:compatExt spid="_x0000_s11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7787" name="Check Box 27" hidden="1">
              <a:extLst>
                <a:ext uri="{63B3BB69-23CF-44E3-9099-C40C66FF867C}">
                  <a14:compatExt spid="_x0000_s11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333375</xdr:rowOff>
    </xdr:from>
    <xdr:to>
      <xdr:col>15</xdr:col>
      <xdr:colOff>0</xdr:colOff>
      <xdr:row>2</xdr:row>
      <xdr:rowOff>552449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0150"/>
          <a:ext cx="2657475" cy="21907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3601" name="Check Box 1" hidden="1">
              <a:extLst>
                <a:ext uri="{63B3BB69-23CF-44E3-9099-C40C66FF867C}">
                  <a14:compatExt spid="_x0000_s15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3602" name="Check Box 2" hidden="1">
              <a:extLst>
                <a:ext uri="{63B3BB69-23CF-44E3-9099-C40C66FF867C}">
                  <a14:compatExt spid="_x0000_s15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3603" name="Check Box 3" hidden="1">
              <a:extLst>
                <a:ext uri="{63B3BB69-23CF-44E3-9099-C40C66FF867C}">
                  <a14:compatExt spid="_x0000_s15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3604" name="Check Box 4" hidden="1">
              <a:extLst>
                <a:ext uri="{63B3BB69-23CF-44E3-9099-C40C66FF867C}">
                  <a14:compatExt spid="_x0000_s15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3605" name="Check Box 5" hidden="1">
              <a:extLst>
                <a:ext uri="{63B3BB69-23CF-44E3-9099-C40C66FF867C}">
                  <a14:compatExt spid="_x0000_s15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3606" name="Check Box 6" hidden="1">
              <a:extLst>
                <a:ext uri="{63B3BB69-23CF-44E3-9099-C40C66FF867C}">
                  <a14:compatExt spid="_x0000_s15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3607" name="Check Box 7" hidden="1">
              <a:extLst>
                <a:ext uri="{63B3BB69-23CF-44E3-9099-C40C66FF867C}">
                  <a14:compatExt spid="_x0000_s15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3608" name="Check Box 8" hidden="1">
              <a:extLst>
                <a:ext uri="{63B3BB69-23CF-44E3-9099-C40C66FF867C}">
                  <a14:compatExt spid="_x0000_s15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3609" name="Check Box 9" hidden="1">
              <a:extLst>
                <a:ext uri="{63B3BB69-23CF-44E3-9099-C40C66FF867C}">
                  <a14:compatExt spid="_x0000_s15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3610" name="Check Box 10" hidden="1">
              <a:extLst>
                <a:ext uri="{63B3BB69-23CF-44E3-9099-C40C66FF867C}">
                  <a14:compatExt spid="_x0000_s15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3611" name="Check Box 11" hidden="1">
              <a:extLst>
                <a:ext uri="{63B3BB69-23CF-44E3-9099-C40C66FF867C}">
                  <a14:compatExt spid="_x0000_s15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3612" name="Check Box 12" hidden="1">
              <a:extLst>
                <a:ext uri="{63B3BB69-23CF-44E3-9099-C40C66FF867C}">
                  <a14:compatExt spid="_x0000_s15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3613" name="Check Box 13" hidden="1">
              <a:extLst>
                <a:ext uri="{63B3BB69-23CF-44E3-9099-C40C66FF867C}">
                  <a14:compatExt spid="_x0000_s15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3614" name="Check Box 14" hidden="1">
              <a:extLst>
                <a:ext uri="{63B3BB69-23CF-44E3-9099-C40C66FF867C}">
                  <a14:compatExt spid="_x0000_s15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3615" name="Check Box 15" hidden="1">
              <a:extLst>
                <a:ext uri="{63B3BB69-23CF-44E3-9099-C40C66FF867C}">
                  <a14:compatExt spid="_x0000_s15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3616" name="Drop Down 16" hidden="1">
              <a:extLst>
                <a:ext uri="{63B3BB69-23CF-44E3-9099-C40C66FF867C}">
                  <a14:compatExt spid="_x0000_s15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3617" name="Drop Down 17" hidden="1">
              <a:extLst>
                <a:ext uri="{63B3BB69-23CF-44E3-9099-C40C66FF867C}">
                  <a14:compatExt spid="_x0000_s15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53618" name="Drop Down 18" hidden="1">
              <a:extLst>
                <a:ext uri="{63B3BB69-23CF-44E3-9099-C40C66FF867C}">
                  <a14:compatExt spid="_x0000_s15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53619" name="Drop Down 19" hidden="1">
              <a:extLst>
                <a:ext uri="{63B3BB69-23CF-44E3-9099-C40C66FF867C}">
                  <a14:compatExt spid="_x0000_s15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53620" name="Drop Down 20" hidden="1">
              <a:extLst>
                <a:ext uri="{63B3BB69-23CF-44E3-9099-C40C66FF867C}">
                  <a14:compatExt spid="_x0000_s15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53621" name="Drop Down 21" hidden="1">
              <a:extLst>
                <a:ext uri="{63B3BB69-23CF-44E3-9099-C40C66FF867C}">
                  <a14:compatExt spid="_x0000_s15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53622" name="Drop Down 22" hidden="1">
              <a:extLst>
                <a:ext uri="{63B3BB69-23CF-44E3-9099-C40C66FF867C}">
                  <a14:compatExt spid="_x0000_s15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53623" name="Drop Down 23" hidden="1">
              <a:extLst>
                <a:ext uri="{63B3BB69-23CF-44E3-9099-C40C66FF867C}">
                  <a14:compatExt spid="_x0000_s15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53624" name="Drop Down 24" hidden="1">
              <a:extLst>
                <a:ext uri="{63B3BB69-23CF-44E3-9099-C40C66FF867C}">
                  <a14:compatExt spid="_x0000_s15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53625" name="Drop Down 25" hidden="1">
              <a:extLst>
                <a:ext uri="{63B3BB69-23CF-44E3-9099-C40C66FF867C}">
                  <a14:compatExt spid="_x0000_s15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3626" name="Drop Down 26" hidden="1">
              <a:extLst>
                <a:ext uri="{63B3BB69-23CF-44E3-9099-C40C66FF867C}">
                  <a14:compatExt spid="_x0000_s15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3627" name="Check Box 27" hidden="1">
              <a:extLst>
                <a:ext uri="{63B3BB69-23CF-44E3-9099-C40C66FF867C}">
                  <a14:compatExt spid="_x0000_s15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333374</xdr:rowOff>
    </xdr:from>
    <xdr:to>
      <xdr:col>15</xdr:col>
      <xdr:colOff>0</xdr:colOff>
      <xdr:row>2</xdr:row>
      <xdr:rowOff>523873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0149"/>
          <a:ext cx="2657475" cy="190499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33121" name="Check Box 1" hidden="1">
              <a:extLst>
                <a:ext uri="{63B3BB69-23CF-44E3-9099-C40C66FF867C}">
                  <a14:compatExt spid="_x0000_s13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33122" name="Check Box 2" hidden="1">
              <a:extLst>
                <a:ext uri="{63B3BB69-23CF-44E3-9099-C40C66FF867C}">
                  <a14:compatExt spid="_x0000_s13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33123" name="Check Box 3" hidden="1">
              <a:extLst>
                <a:ext uri="{63B3BB69-23CF-44E3-9099-C40C66FF867C}">
                  <a14:compatExt spid="_x0000_s13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33124" name="Check Box 4" hidden="1">
              <a:extLst>
                <a:ext uri="{63B3BB69-23CF-44E3-9099-C40C66FF867C}">
                  <a14:compatExt spid="_x0000_s13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33125" name="Check Box 5" hidden="1">
              <a:extLst>
                <a:ext uri="{63B3BB69-23CF-44E3-9099-C40C66FF867C}">
                  <a14:compatExt spid="_x0000_s13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33126" name="Check Box 6" hidden="1">
              <a:extLst>
                <a:ext uri="{63B3BB69-23CF-44E3-9099-C40C66FF867C}">
                  <a14:compatExt spid="_x0000_s13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33127" name="Check Box 7" hidden="1">
              <a:extLst>
                <a:ext uri="{63B3BB69-23CF-44E3-9099-C40C66FF867C}">
                  <a14:compatExt spid="_x0000_s13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33128" name="Check Box 8" hidden="1">
              <a:extLst>
                <a:ext uri="{63B3BB69-23CF-44E3-9099-C40C66FF867C}">
                  <a14:compatExt spid="_x0000_s13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33129" name="Check Box 9" hidden="1">
              <a:extLst>
                <a:ext uri="{63B3BB69-23CF-44E3-9099-C40C66FF867C}">
                  <a14:compatExt spid="_x0000_s13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33130" name="Check Box 10" hidden="1">
              <a:extLst>
                <a:ext uri="{63B3BB69-23CF-44E3-9099-C40C66FF867C}">
                  <a14:compatExt spid="_x0000_s13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33131" name="Check Box 11" hidden="1">
              <a:extLst>
                <a:ext uri="{63B3BB69-23CF-44E3-9099-C40C66FF867C}">
                  <a14:compatExt spid="_x0000_s13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33132" name="Check Box 12" hidden="1">
              <a:extLst>
                <a:ext uri="{63B3BB69-23CF-44E3-9099-C40C66FF867C}">
                  <a14:compatExt spid="_x0000_s13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33133" name="Check Box 13" hidden="1">
              <a:extLst>
                <a:ext uri="{63B3BB69-23CF-44E3-9099-C40C66FF867C}">
                  <a14:compatExt spid="_x0000_s13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33134" name="Check Box 14" hidden="1">
              <a:extLst>
                <a:ext uri="{63B3BB69-23CF-44E3-9099-C40C66FF867C}">
                  <a14:compatExt spid="_x0000_s13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33135" name="Check Box 15" hidden="1">
              <a:extLst>
                <a:ext uri="{63B3BB69-23CF-44E3-9099-C40C66FF867C}">
                  <a14:compatExt spid="_x0000_s13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33136" name="Drop Down 16" hidden="1">
              <a:extLst>
                <a:ext uri="{63B3BB69-23CF-44E3-9099-C40C66FF867C}">
                  <a14:compatExt spid="_x0000_s13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33137" name="Drop Down 17" hidden="1">
              <a:extLst>
                <a:ext uri="{63B3BB69-23CF-44E3-9099-C40C66FF867C}">
                  <a14:compatExt spid="_x0000_s13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33138" name="Drop Down 18" hidden="1">
              <a:extLst>
                <a:ext uri="{63B3BB69-23CF-44E3-9099-C40C66FF867C}">
                  <a14:compatExt spid="_x0000_s13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33139" name="Drop Down 19" hidden="1">
              <a:extLst>
                <a:ext uri="{63B3BB69-23CF-44E3-9099-C40C66FF867C}">
                  <a14:compatExt spid="_x0000_s13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33140" name="Drop Down 20" hidden="1">
              <a:extLst>
                <a:ext uri="{63B3BB69-23CF-44E3-9099-C40C66FF867C}">
                  <a14:compatExt spid="_x0000_s13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33141" name="Drop Down 21" hidden="1">
              <a:extLst>
                <a:ext uri="{63B3BB69-23CF-44E3-9099-C40C66FF867C}">
                  <a14:compatExt spid="_x0000_s13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33142" name="Drop Down 22" hidden="1">
              <a:extLst>
                <a:ext uri="{63B3BB69-23CF-44E3-9099-C40C66FF867C}">
                  <a14:compatExt spid="_x0000_s13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33143" name="Drop Down 23" hidden="1">
              <a:extLst>
                <a:ext uri="{63B3BB69-23CF-44E3-9099-C40C66FF867C}">
                  <a14:compatExt spid="_x0000_s13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33144" name="Drop Down 24" hidden="1">
              <a:extLst>
                <a:ext uri="{63B3BB69-23CF-44E3-9099-C40C66FF867C}">
                  <a14:compatExt spid="_x0000_s13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33145" name="Drop Down 25" hidden="1">
              <a:extLst>
                <a:ext uri="{63B3BB69-23CF-44E3-9099-C40C66FF867C}">
                  <a14:compatExt spid="_x0000_s13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33146" name="Drop Down 26" hidden="1">
              <a:extLst>
                <a:ext uri="{63B3BB69-23CF-44E3-9099-C40C66FF867C}">
                  <a14:compatExt spid="_x0000_s13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33147" name="Check Box 27" hidden="1">
              <a:extLst>
                <a:ext uri="{63B3BB69-23CF-44E3-9099-C40C66FF867C}">
                  <a14:compatExt spid="_x0000_s13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266700</xdr:rowOff>
    </xdr:from>
    <xdr:to>
      <xdr:col>15</xdr:col>
      <xdr:colOff>0</xdr:colOff>
      <xdr:row>2</xdr:row>
      <xdr:rowOff>466724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133475"/>
          <a:ext cx="2657475" cy="20002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0529" name="Check Box 1" hidden="1">
              <a:extLst>
                <a:ext uri="{63B3BB69-23CF-44E3-9099-C40C66FF867C}">
                  <a14:compatExt spid="_x0000_s15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0530" name="Check Box 2" hidden="1">
              <a:extLst>
                <a:ext uri="{63B3BB69-23CF-44E3-9099-C40C66FF867C}">
                  <a14:compatExt spid="_x0000_s15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0531" name="Check Box 3" hidden="1">
              <a:extLst>
                <a:ext uri="{63B3BB69-23CF-44E3-9099-C40C66FF867C}">
                  <a14:compatExt spid="_x0000_s15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0532" name="Check Box 4" hidden="1">
              <a:extLst>
                <a:ext uri="{63B3BB69-23CF-44E3-9099-C40C66FF867C}">
                  <a14:compatExt spid="_x0000_s15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0533" name="Check Box 5" hidden="1">
              <a:extLst>
                <a:ext uri="{63B3BB69-23CF-44E3-9099-C40C66FF867C}">
                  <a14:compatExt spid="_x0000_s15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0534" name="Check Box 6" hidden="1">
              <a:extLst>
                <a:ext uri="{63B3BB69-23CF-44E3-9099-C40C66FF867C}">
                  <a14:compatExt spid="_x0000_s15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0535" name="Check Box 7" hidden="1">
              <a:extLst>
                <a:ext uri="{63B3BB69-23CF-44E3-9099-C40C66FF867C}">
                  <a14:compatExt spid="_x0000_s150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0536" name="Check Box 8" hidden="1">
              <a:extLst>
                <a:ext uri="{63B3BB69-23CF-44E3-9099-C40C66FF867C}">
                  <a14:compatExt spid="_x0000_s150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0537" name="Check Box 9" hidden="1">
              <a:extLst>
                <a:ext uri="{63B3BB69-23CF-44E3-9099-C40C66FF867C}">
                  <a14:compatExt spid="_x0000_s150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0538" name="Check Box 10" hidden="1">
              <a:extLst>
                <a:ext uri="{63B3BB69-23CF-44E3-9099-C40C66FF867C}">
                  <a14:compatExt spid="_x0000_s150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0539" name="Check Box 11" hidden="1">
              <a:extLst>
                <a:ext uri="{63B3BB69-23CF-44E3-9099-C40C66FF867C}">
                  <a14:compatExt spid="_x0000_s150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0540" name="Check Box 12" hidden="1">
              <a:extLst>
                <a:ext uri="{63B3BB69-23CF-44E3-9099-C40C66FF867C}">
                  <a14:compatExt spid="_x0000_s150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0541" name="Check Box 13" hidden="1">
              <a:extLst>
                <a:ext uri="{63B3BB69-23CF-44E3-9099-C40C66FF867C}">
                  <a14:compatExt spid="_x0000_s150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0542" name="Check Box 14" hidden="1">
              <a:extLst>
                <a:ext uri="{63B3BB69-23CF-44E3-9099-C40C66FF867C}">
                  <a14:compatExt spid="_x0000_s150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0543" name="Check Box 15" hidden="1">
              <a:extLst>
                <a:ext uri="{63B3BB69-23CF-44E3-9099-C40C66FF867C}">
                  <a14:compatExt spid="_x0000_s150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50544" name="Drop Down 16" hidden="1">
              <a:extLst>
                <a:ext uri="{63B3BB69-23CF-44E3-9099-C40C66FF867C}">
                  <a14:compatExt spid="_x0000_s150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0545" name="Drop Down 17" hidden="1">
              <a:extLst>
                <a:ext uri="{63B3BB69-23CF-44E3-9099-C40C66FF867C}">
                  <a14:compatExt spid="_x0000_s150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50546" name="Drop Down 18" hidden="1">
              <a:extLst>
                <a:ext uri="{63B3BB69-23CF-44E3-9099-C40C66FF867C}">
                  <a14:compatExt spid="_x0000_s150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50547" name="Drop Down 19" hidden="1">
              <a:extLst>
                <a:ext uri="{63B3BB69-23CF-44E3-9099-C40C66FF867C}">
                  <a14:compatExt spid="_x0000_s150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50548" name="Drop Down 20" hidden="1">
              <a:extLst>
                <a:ext uri="{63B3BB69-23CF-44E3-9099-C40C66FF867C}">
                  <a14:compatExt spid="_x0000_s150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50549" name="Drop Down 21" hidden="1">
              <a:extLst>
                <a:ext uri="{63B3BB69-23CF-44E3-9099-C40C66FF867C}">
                  <a14:compatExt spid="_x0000_s150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50550" name="Drop Down 22" hidden="1">
              <a:extLst>
                <a:ext uri="{63B3BB69-23CF-44E3-9099-C40C66FF867C}">
                  <a14:compatExt spid="_x0000_s150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50551" name="Drop Down 23" hidden="1">
              <a:extLst>
                <a:ext uri="{63B3BB69-23CF-44E3-9099-C40C66FF867C}">
                  <a14:compatExt spid="_x0000_s150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150552" name="Drop Down 24" hidden="1">
              <a:extLst>
                <a:ext uri="{63B3BB69-23CF-44E3-9099-C40C66FF867C}">
                  <a14:compatExt spid="_x0000_s150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50553" name="Drop Down 25" hidden="1">
              <a:extLst>
                <a:ext uri="{63B3BB69-23CF-44E3-9099-C40C66FF867C}">
                  <a14:compatExt spid="_x0000_s150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0554" name="Drop Down 26" hidden="1">
              <a:extLst>
                <a:ext uri="{63B3BB69-23CF-44E3-9099-C40C66FF867C}">
                  <a14:compatExt spid="_x0000_s150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0555" name="Check Box 27" hidden="1">
              <a:extLst>
                <a:ext uri="{63B3BB69-23CF-44E3-9099-C40C66FF867C}">
                  <a14:compatExt spid="_x0000_s150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0556" name="Check Box 28" hidden="1">
              <a:extLst>
                <a:ext uri="{63B3BB69-23CF-44E3-9099-C40C66FF867C}">
                  <a14:compatExt spid="_x0000_s150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0557" name="Check Box 29" hidden="1">
              <a:extLst>
                <a:ext uri="{63B3BB69-23CF-44E3-9099-C40C66FF867C}">
                  <a14:compatExt spid="_x0000_s150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</xdr:colOff>
      <xdr:row>17</xdr:row>
      <xdr:rowOff>38100</xdr:rowOff>
    </xdr:from>
    <xdr:to>
      <xdr:col>17</xdr:col>
      <xdr:colOff>101601</xdr:colOff>
      <xdr:row>22</xdr:row>
      <xdr:rowOff>146050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1" y="4000500"/>
          <a:ext cx="2032000" cy="110490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685800</xdr:colOff>
      <xdr:row>2</xdr:row>
      <xdr:rowOff>323850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14975" y="1190625"/>
          <a:ext cx="2667000" cy="2000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</xdr:row>
          <xdr:rowOff>57150</xdr:rowOff>
        </xdr:from>
        <xdr:to>
          <xdr:col>12</xdr:col>
          <xdr:colOff>676275</xdr:colOff>
          <xdr:row>4</xdr:row>
          <xdr:rowOff>381000</xdr:rowOff>
        </xdr:to>
        <xdr:sp macro="" textlink="">
          <xdr:nvSpPr>
            <xdr:cNvPr id="304150" name="Drop Down 22" hidden="1">
              <a:extLst>
                <a:ext uri="{63B3BB69-23CF-44E3-9099-C40C66FF867C}">
                  <a14:compatExt spid="_x0000_s30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12700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3</xdr:col>
      <xdr:colOff>647700</xdr:colOff>
      <xdr:row>1</xdr:row>
      <xdr:rowOff>142875</xdr:rowOff>
    </xdr:to>
    <xdr:sp macro="" textlink="">
      <xdr:nvSpPr>
        <xdr:cNvPr id="9" name="Textfeld 8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4</xdr:col>
      <xdr:colOff>28575</xdr:colOff>
      <xdr:row>0</xdr:row>
      <xdr:rowOff>9525</xdr:rowOff>
    </xdr:from>
    <xdr:to>
      <xdr:col>6</xdr:col>
      <xdr:colOff>219075</xdr:colOff>
      <xdr:row>1</xdr:row>
      <xdr:rowOff>133350</xdr:rowOff>
    </xdr:to>
    <xdr:sp macro="" textlink="">
      <xdr:nvSpPr>
        <xdr:cNvPr id="10" name="Textfeld 9">
          <a:hlinkClick xmlns:r="http://schemas.openxmlformats.org/officeDocument/2006/relationships" r:id="rId2"/>
        </xdr:cNvPr>
        <xdr:cNvSpPr txBox="1"/>
      </xdr:nvSpPr>
      <xdr:spPr>
        <a:xfrm>
          <a:off x="1647825" y="9525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10</xdr:col>
      <xdr:colOff>219076</xdr:colOff>
      <xdr:row>1</xdr:row>
      <xdr:rowOff>123825</xdr:rowOff>
    </xdr:to>
    <xdr:sp macro="" textlink="">
      <xdr:nvSpPr>
        <xdr:cNvPr id="11" name="Textfeld 10">
          <a:hlinkClick xmlns:r="http://schemas.openxmlformats.org/officeDocument/2006/relationships" r:id="rId3"/>
        </xdr:cNvPr>
        <xdr:cNvSpPr txBox="1"/>
      </xdr:nvSpPr>
      <xdr:spPr>
        <a:xfrm>
          <a:off x="5343525" y="0"/>
          <a:ext cx="1495426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13</xdr:col>
      <xdr:colOff>70500</xdr:colOff>
      <xdr:row>1</xdr:row>
      <xdr:rowOff>276225</xdr:rowOff>
    </xdr:to>
    <xdr:sp macro="" textlink="">
      <xdr:nvSpPr>
        <xdr:cNvPr id="12" name="Textfeld 11">
          <a:hlinkClick xmlns:r="http://schemas.openxmlformats.org/officeDocument/2006/relationships" r:id="rId4"/>
        </xdr:cNvPr>
        <xdr:cNvSpPr txBox="1"/>
      </xdr:nvSpPr>
      <xdr:spPr>
        <a:xfrm>
          <a:off x="7239000" y="0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  <xdr:twoCellAnchor>
    <xdr:from>
      <xdr:col>8</xdr:col>
      <xdr:colOff>0</xdr:colOff>
      <xdr:row>1</xdr:row>
      <xdr:rowOff>190500</xdr:rowOff>
    </xdr:from>
    <xdr:to>
      <xdr:col>10</xdr:col>
      <xdr:colOff>228600</xdr:colOff>
      <xdr:row>1</xdr:row>
      <xdr:rowOff>666750</xdr:rowOff>
    </xdr:to>
    <xdr:sp macro="" textlink="">
      <xdr:nvSpPr>
        <xdr:cNvPr id="13" name="Textfeld 12">
          <a:hlinkClick xmlns:r="http://schemas.openxmlformats.org/officeDocument/2006/relationships" r:id="rId5"/>
        </xdr:cNvPr>
        <xdr:cNvSpPr txBox="1"/>
      </xdr:nvSpPr>
      <xdr:spPr>
        <a:xfrm>
          <a:off x="5343525" y="381000"/>
          <a:ext cx="1504950" cy="4762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Sonstige Festkosten</a:t>
          </a:r>
        </a:p>
      </xdr:txBody>
    </xdr:sp>
    <xdr:clientData/>
  </xdr:twoCellAnchor>
  <xdr:twoCellAnchor>
    <xdr:from>
      <xdr:col>11</xdr:col>
      <xdr:colOff>0</xdr:colOff>
      <xdr:row>1</xdr:row>
      <xdr:rowOff>323850</xdr:rowOff>
    </xdr:from>
    <xdr:to>
      <xdr:col>13</xdr:col>
      <xdr:colOff>70500</xdr:colOff>
      <xdr:row>1</xdr:row>
      <xdr:rowOff>628650</xdr:rowOff>
    </xdr:to>
    <xdr:sp macro="" textlink="">
      <xdr:nvSpPr>
        <xdr:cNvPr id="14" name="Textfeld 13">
          <a:hlinkClick xmlns:r="http://schemas.openxmlformats.org/officeDocument/2006/relationships" r:id="rId6"/>
        </xdr:cNvPr>
        <xdr:cNvSpPr txBox="1"/>
      </xdr:nvSpPr>
      <xdr:spPr>
        <a:xfrm>
          <a:off x="7239000" y="514350"/>
          <a:ext cx="1404000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/>
  </xdr:twoCellAnchor>
  <xdr:oneCellAnchor>
    <xdr:from>
      <xdr:col>8</xdr:col>
      <xdr:colOff>901700</xdr:colOff>
      <xdr:row>160</xdr:row>
      <xdr:rowOff>228600</xdr:rowOff>
    </xdr:from>
    <xdr:ext cx="3149600" cy="501650"/>
    <xdr:sp macro="" textlink="">
      <xdr:nvSpPr>
        <xdr:cNvPr id="2" name="Textfeld 1"/>
        <xdr:cNvSpPr txBox="1"/>
      </xdr:nvSpPr>
      <xdr:spPr>
        <a:xfrm>
          <a:off x="7143750" y="37350700"/>
          <a:ext cx="3149600" cy="501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100" u="sng">
              <a:solidFill>
                <a:srgbClr val="FF0000"/>
              </a:solidFill>
            </a:rPr>
            <a:t>Achtung</a:t>
          </a:r>
          <a:r>
            <a:rPr lang="de-DE" sz="1100">
              <a:solidFill>
                <a:srgbClr val="FF0000"/>
              </a:solidFill>
            </a:rPr>
            <a:t>: Die duchwachsenen Silphie ist mehrjährig und kann gut 15 Jahre geerntet werden. </a:t>
          </a:r>
        </a:p>
      </xdr:txBody>
    </xdr:sp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9809" name="Check Box 1" hidden="1">
              <a:extLst>
                <a:ext uri="{63B3BB69-23CF-44E3-9099-C40C66FF867C}">
                  <a14:compatExt spid="_x0000_s119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9810" name="Check Box 2" hidden="1">
              <a:extLst>
                <a:ext uri="{63B3BB69-23CF-44E3-9099-C40C66FF867C}">
                  <a14:compatExt spid="_x0000_s119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9811" name="Check Box 3" hidden="1">
              <a:extLst>
                <a:ext uri="{63B3BB69-23CF-44E3-9099-C40C66FF867C}">
                  <a14:compatExt spid="_x0000_s119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9812" name="Check Box 4" hidden="1">
              <a:extLst>
                <a:ext uri="{63B3BB69-23CF-44E3-9099-C40C66FF867C}">
                  <a14:compatExt spid="_x0000_s119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9813" name="Check Box 5" hidden="1">
              <a:extLst>
                <a:ext uri="{63B3BB69-23CF-44E3-9099-C40C66FF867C}">
                  <a14:compatExt spid="_x0000_s119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9814" name="Check Box 6" hidden="1">
              <a:extLst>
                <a:ext uri="{63B3BB69-23CF-44E3-9099-C40C66FF867C}">
                  <a14:compatExt spid="_x0000_s119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9815" name="Check Box 7" hidden="1">
              <a:extLst>
                <a:ext uri="{63B3BB69-23CF-44E3-9099-C40C66FF867C}">
                  <a14:compatExt spid="_x0000_s119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9816" name="Check Box 8" hidden="1">
              <a:extLst>
                <a:ext uri="{63B3BB69-23CF-44E3-9099-C40C66FF867C}">
                  <a14:compatExt spid="_x0000_s119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9817" name="Check Box 9" hidden="1">
              <a:extLst>
                <a:ext uri="{63B3BB69-23CF-44E3-9099-C40C66FF867C}">
                  <a14:compatExt spid="_x0000_s119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9818" name="Check Box 10" hidden="1">
              <a:extLst>
                <a:ext uri="{63B3BB69-23CF-44E3-9099-C40C66FF867C}">
                  <a14:compatExt spid="_x0000_s119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9819" name="Check Box 11" hidden="1">
              <a:extLst>
                <a:ext uri="{63B3BB69-23CF-44E3-9099-C40C66FF867C}">
                  <a14:compatExt spid="_x0000_s119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9820" name="Check Box 12" hidden="1">
              <a:extLst>
                <a:ext uri="{63B3BB69-23CF-44E3-9099-C40C66FF867C}">
                  <a14:compatExt spid="_x0000_s119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9821" name="Check Box 13" hidden="1">
              <a:extLst>
                <a:ext uri="{63B3BB69-23CF-44E3-9099-C40C66FF867C}">
                  <a14:compatExt spid="_x0000_s119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9822" name="Check Box 14" hidden="1">
              <a:extLst>
                <a:ext uri="{63B3BB69-23CF-44E3-9099-C40C66FF867C}">
                  <a14:compatExt spid="_x0000_s119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9823" name="Check Box 15" hidden="1">
              <a:extLst>
                <a:ext uri="{63B3BB69-23CF-44E3-9099-C40C66FF867C}">
                  <a14:compatExt spid="_x0000_s119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19824" name="Drop Down 16" hidden="1">
              <a:extLst>
                <a:ext uri="{63B3BB69-23CF-44E3-9099-C40C66FF867C}">
                  <a14:compatExt spid="_x0000_s119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19825" name="Drop Down 17" hidden="1">
              <a:extLst>
                <a:ext uri="{63B3BB69-23CF-44E3-9099-C40C66FF867C}">
                  <a14:compatExt spid="_x0000_s119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19826" name="Drop Down 18" hidden="1">
              <a:extLst>
                <a:ext uri="{63B3BB69-23CF-44E3-9099-C40C66FF867C}">
                  <a14:compatExt spid="_x0000_s119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19827" name="Drop Down 19" hidden="1">
              <a:extLst>
                <a:ext uri="{63B3BB69-23CF-44E3-9099-C40C66FF867C}">
                  <a14:compatExt spid="_x0000_s119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19828" name="Drop Down 20" hidden="1">
              <a:extLst>
                <a:ext uri="{63B3BB69-23CF-44E3-9099-C40C66FF867C}">
                  <a14:compatExt spid="_x0000_s119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19829" name="Drop Down 21" hidden="1">
              <a:extLst>
                <a:ext uri="{63B3BB69-23CF-44E3-9099-C40C66FF867C}">
                  <a14:compatExt spid="_x0000_s119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19830" name="Drop Down 22" hidden="1">
              <a:extLst>
                <a:ext uri="{63B3BB69-23CF-44E3-9099-C40C66FF867C}">
                  <a14:compatExt spid="_x0000_s119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19831" name="Drop Down 23" hidden="1">
              <a:extLst>
                <a:ext uri="{63B3BB69-23CF-44E3-9099-C40C66FF867C}">
                  <a14:compatExt spid="_x0000_s119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9832" name="Drop Down 24" hidden="1">
              <a:extLst>
                <a:ext uri="{63B3BB69-23CF-44E3-9099-C40C66FF867C}">
                  <a14:compatExt spid="_x0000_s119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19833" name="Drop Down 25" hidden="1">
              <a:extLst>
                <a:ext uri="{63B3BB69-23CF-44E3-9099-C40C66FF867C}">
                  <a14:compatExt spid="_x0000_s119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19834" name="Drop Down 26" hidden="1">
              <a:extLst>
                <a:ext uri="{63B3BB69-23CF-44E3-9099-C40C66FF867C}">
                  <a14:compatExt spid="_x0000_s119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9835" name="Check Box 27" hidden="1">
              <a:extLst>
                <a:ext uri="{63B3BB69-23CF-44E3-9099-C40C66FF867C}">
                  <a14:compatExt spid="_x0000_s119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9836" name="Check Box 28" hidden="1">
              <a:extLst>
                <a:ext uri="{63B3BB69-23CF-44E3-9099-C40C66FF867C}">
                  <a14:compatExt spid="_x0000_s119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9837" name="Check Box 29" hidden="1">
              <a:extLst>
                <a:ext uri="{63B3BB69-23CF-44E3-9099-C40C66FF867C}">
                  <a14:compatExt spid="_x0000_s119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6351</xdr:colOff>
      <xdr:row>17</xdr:row>
      <xdr:rowOff>57150</xdr:rowOff>
    </xdr:from>
    <xdr:to>
      <xdr:col>17</xdr:col>
      <xdr:colOff>31751</xdr:colOff>
      <xdr:row>22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23501" y="4019550"/>
          <a:ext cx="1955800" cy="109220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206674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07344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4625" name="Check Box 1" hidden="1">
              <a:extLst>
                <a:ext uri="{63B3BB69-23CF-44E3-9099-C40C66FF867C}">
                  <a14:compatExt spid="_x0000_s15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4626" name="Check Box 2" hidden="1">
              <a:extLst>
                <a:ext uri="{63B3BB69-23CF-44E3-9099-C40C66FF867C}">
                  <a14:compatExt spid="_x0000_s15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4627" name="Check Box 3" hidden="1">
              <a:extLst>
                <a:ext uri="{63B3BB69-23CF-44E3-9099-C40C66FF867C}">
                  <a14:compatExt spid="_x0000_s15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4628" name="Check Box 4" hidden="1">
              <a:extLst>
                <a:ext uri="{63B3BB69-23CF-44E3-9099-C40C66FF867C}">
                  <a14:compatExt spid="_x0000_s15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4629" name="Check Box 5" hidden="1">
              <a:extLst>
                <a:ext uri="{63B3BB69-23CF-44E3-9099-C40C66FF867C}">
                  <a14:compatExt spid="_x0000_s15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4630" name="Check Box 6" hidden="1">
              <a:extLst>
                <a:ext uri="{63B3BB69-23CF-44E3-9099-C40C66FF867C}">
                  <a14:compatExt spid="_x0000_s15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4631" name="Check Box 7" hidden="1">
              <a:extLst>
                <a:ext uri="{63B3BB69-23CF-44E3-9099-C40C66FF867C}">
                  <a14:compatExt spid="_x0000_s15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4632" name="Check Box 8" hidden="1">
              <a:extLst>
                <a:ext uri="{63B3BB69-23CF-44E3-9099-C40C66FF867C}">
                  <a14:compatExt spid="_x0000_s15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4633" name="Check Box 9" hidden="1">
              <a:extLst>
                <a:ext uri="{63B3BB69-23CF-44E3-9099-C40C66FF867C}">
                  <a14:compatExt spid="_x0000_s15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4634" name="Check Box 10" hidden="1">
              <a:extLst>
                <a:ext uri="{63B3BB69-23CF-44E3-9099-C40C66FF867C}">
                  <a14:compatExt spid="_x0000_s15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4635" name="Check Box 11" hidden="1">
              <a:extLst>
                <a:ext uri="{63B3BB69-23CF-44E3-9099-C40C66FF867C}">
                  <a14:compatExt spid="_x0000_s15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4636" name="Check Box 12" hidden="1">
              <a:extLst>
                <a:ext uri="{63B3BB69-23CF-44E3-9099-C40C66FF867C}">
                  <a14:compatExt spid="_x0000_s15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4637" name="Check Box 13" hidden="1">
              <a:extLst>
                <a:ext uri="{63B3BB69-23CF-44E3-9099-C40C66FF867C}">
                  <a14:compatExt spid="_x0000_s15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4638" name="Check Box 14" hidden="1">
              <a:extLst>
                <a:ext uri="{63B3BB69-23CF-44E3-9099-C40C66FF867C}">
                  <a14:compatExt spid="_x0000_s15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4639" name="Check Box 15" hidden="1">
              <a:extLst>
                <a:ext uri="{63B3BB69-23CF-44E3-9099-C40C66FF867C}">
                  <a14:compatExt spid="_x0000_s15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4640" name="Drop Down 16" hidden="1">
              <a:extLst>
                <a:ext uri="{63B3BB69-23CF-44E3-9099-C40C66FF867C}">
                  <a14:compatExt spid="_x0000_s15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4641" name="Drop Down 17" hidden="1">
              <a:extLst>
                <a:ext uri="{63B3BB69-23CF-44E3-9099-C40C66FF867C}">
                  <a14:compatExt spid="_x0000_s15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54642" name="Drop Down 18" hidden="1">
              <a:extLst>
                <a:ext uri="{63B3BB69-23CF-44E3-9099-C40C66FF867C}">
                  <a14:compatExt spid="_x0000_s15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54643" name="Drop Down 19" hidden="1">
              <a:extLst>
                <a:ext uri="{63B3BB69-23CF-44E3-9099-C40C66FF867C}">
                  <a14:compatExt spid="_x0000_s15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54644" name="Drop Down 20" hidden="1">
              <a:extLst>
                <a:ext uri="{63B3BB69-23CF-44E3-9099-C40C66FF867C}">
                  <a14:compatExt spid="_x0000_s15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54645" name="Drop Down 21" hidden="1">
              <a:extLst>
                <a:ext uri="{63B3BB69-23CF-44E3-9099-C40C66FF867C}">
                  <a14:compatExt spid="_x0000_s15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54646" name="Drop Down 22" hidden="1">
              <a:extLst>
                <a:ext uri="{63B3BB69-23CF-44E3-9099-C40C66FF867C}">
                  <a14:compatExt spid="_x0000_s15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54647" name="Drop Down 23" hidden="1">
              <a:extLst>
                <a:ext uri="{63B3BB69-23CF-44E3-9099-C40C66FF867C}">
                  <a14:compatExt spid="_x0000_s15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54648" name="Drop Down 24" hidden="1">
              <a:extLst>
                <a:ext uri="{63B3BB69-23CF-44E3-9099-C40C66FF867C}">
                  <a14:compatExt spid="_x0000_s15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54649" name="Drop Down 25" hidden="1">
              <a:extLst>
                <a:ext uri="{63B3BB69-23CF-44E3-9099-C40C66FF867C}">
                  <a14:compatExt spid="_x0000_s15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4650" name="Drop Down 26" hidden="1">
              <a:extLst>
                <a:ext uri="{63B3BB69-23CF-44E3-9099-C40C66FF867C}">
                  <a14:compatExt spid="_x0000_s15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4651" name="Check Box 27" hidden="1">
              <a:extLst>
                <a:ext uri="{63B3BB69-23CF-44E3-9099-C40C66FF867C}">
                  <a14:compatExt spid="_x0000_s15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368599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235374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34145" name="Check Box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34146" name="Check Box 2" hidden="1">
              <a:extLst>
                <a:ext uri="{63B3BB69-23CF-44E3-9099-C40C66FF867C}">
                  <a14:compatExt spid="_x0000_s13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34147" name="Check Box 3" hidden="1">
              <a:extLst>
                <a:ext uri="{63B3BB69-23CF-44E3-9099-C40C66FF867C}">
                  <a14:compatExt spid="_x0000_s13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34148" name="Check Box 4" hidden="1">
              <a:extLst>
                <a:ext uri="{63B3BB69-23CF-44E3-9099-C40C66FF867C}">
                  <a14:compatExt spid="_x0000_s13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34149" name="Check Box 5" hidden="1">
              <a:extLst>
                <a:ext uri="{63B3BB69-23CF-44E3-9099-C40C66FF867C}">
                  <a14:compatExt spid="_x0000_s13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34150" name="Check Box 6" hidden="1">
              <a:extLst>
                <a:ext uri="{63B3BB69-23CF-44E3-9099-C40C66FF867C}">
                  <a14:compatExt spid="_x0000_s13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34151" name="Check Box 7" hidden="1">
              <a:extLst>
                <a:ext uri="{63B3BB69-23CF-44E3-9099-C40C66FF867C}">
                  <a14:compatExt spid="_x0000_s13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34152" name="Check Box 8" hidden="1">
              <a:extLst>
                <a:ext uri="{63B3BB69-23CF-44E3-9099-C40C66FF867C}">
                  <a14:compatExt spid="_x0000_s13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34153" name="Check Box 9" hidden="1">
              <a:extLst>
                <a:ext uri="{63B3BB69-23CF-44E3-9099-C40C66FF867C}">
                  <a14:compatExt spid="_x0000_s13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34154" name="Check Box 10" hidden="1">
              <a:extLst>
                <a:ext uri="{63B3BB69-23CF-44E3-9099-C40C66FF867C}">
                  <a14:compatExt spid="_x0000_s13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34155" name="Check Box 11" hidden="1">
              <a:extLst>
                <a:ext uri="{63B3BB69-23CF-44E3-9099-C40C66FF867C}">
                  <a14:compatExt spid="_x0000_s13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34156" name="Check Box 12" hidden="1">
              <a:extLst>
                <a:ext uri="{63B3BB69-23CF-44E3-9099-C40C66FF867C}">
                  <a14:compatExt spid="_x0000_s13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34157" name="Check Box 13" hidden="1">
              <a:extLst>
                <a:ext uri="{63B3BB69-23CF-44E3-9099-C40C66FF867C}">
                  <a14:compatExt spid="_x0000_s13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34158" name="Check Box 14" hidden="1">
              <a:extLst>
                <a:ext uri="{63B3BB69-23CF-44E3-9099-C40C66FF867C}">
                  <a14:compatExt spid="_x0000_s13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34159" name="Check Box 15" hidden="1">
              <a:extLst>
                <a:ext uri="{63B3BB69-23CF-44E3-9099-C40C66FF867C}">
                  <a14:compatExt spid="_x0000_s13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34160" name="Drop Down 16" hidden="1">
              <a:extLst>
                <a:ext uri="{63B3BB69-23CF-44E3-9099-C40C66FF867C}">
                  <a14:compatExt spid="_x0000_s13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34161" name="Drop Down 17" hidden="1">
              <a:extLst>
                <a:ext uri="{63B3BB69-23CF-44E3-9099-C40C66FF867C}">
                  <a14:compatExt spid="_x0000_s13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34162" name="Drop Down 18" hidden="1">
              <a:extLst>
                <a:ext uri="{63B3BB69-23CF-44E3-9099-C40C66FF867C}">
                  <a14:compatExt spid="_x0000_s13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34163" name="Drop Down 19" hidden="1">
              <a:extLst>
                <a:ext uri="{63B3BB69-23CF-44E3-9099-C40C66FF867C}">
                  <a14:compatExt spid="_x0000_s13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34164" name="Drop Down 20" hidden="1">
              <a:extLst>
                <a:ext uri="{63B3BB69-23CF-44E3-9099-C40C66FF867C}">
                  <a14:compatExt spid="_x0000_s13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34165" name="Drop Down 21" hidden="1">
              <a:extLst>
                <a:ext uri="{63B3BB69-23CF-44E3-9099-C40C66FF867C}">
                  <a14:compatExt spid="_x0000_s13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34166" name="Drop Down 22" hidden="1">
              <a:extLst>
                <a:ext uri="{63B3BB69-23CF-44E3-9099-C40C66FF867C}">
                  <a14:compatExt spid="_x0000_s13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34167" name="Drop Down 23" hidden="1">
              <a:extLst>
                <a:ext uri="{63B3BB69-23CF-44E3-9099-C40C66FF867C}">
                  <a14:compatExt spid="_x0000_s13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34168" name="Drop Down 24" hidden="1">
              <a:extLst>
                <a:ext uri="{63B3BB69-23CF-44E3-9099-C40C66FF867C}">
                  <a14:compatExt spid="_x0000_s13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34169" name="Drop Down 25" hidden="1">
              <a:extLst>
                <a:ext uri="{63B3BB69-23CF-44E3-9099-C40C66FF867C}">
                  <a14:compatExt spid="_x0000_s13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34170" name="Drop Down 26" hidden="1">
              <a:extLst>
                <a:ext uri="{63B3BB69-23CF-44E3-9099-C40C66FF867C}">
                  <a14:compatExt spid="_x0000_s13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34171" name="Check Box 27" hidden="1">
              <a:extLst>
                <a:ext uri="{63B3BB69-23CF-44E3-9099-C40C66FF867C}">
                  <a14:compatExt spid="_x0000_s13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340024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679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8785" name="Check Box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8786" name="Check Box 2" hidden="1">
              <a:extLst>
                <a:ext uri="{63B3BB69-23CF-44E3-9099-C40C66FF867C}">
                  <a14:compatExt spid="_x0000_s118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8787" name="Check Box 3" hidden="1">
              <a:extLst>
                <a:ext uri="{63B3BB69-23CF-44E3-9099-C40C66FF867C}">
                  <a14:compatExt spid="_x0000_s118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8788" name="Check Box 4" hidden="1">
              <a:extLst>
                <a:ext uri="{63B3BB69-23CF-44E3-9099-C40C66FF867C}">
                  <a14:compatExt spid="_x0000_s118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8789" name="Check Box 5" hidden="1">
              <a:extLst>
                <a:ext uri="{63B3BB69-23CF-44E3-9099-C40C66FF867C}">
                  <a14:compatExt spid="_x0000_s118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8790" name="Check Box 6" hidden="1">
              <a:extLst>
                <a:ext uri="{63B3BB69-23CF-44E3-9099-C40C66FF867C}">
                  <a14:compatExt spid="_x0000_s118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8791" name="Check Box 7" hidden="1">
              <a:extLst>
                <a:ext uri="{63B3BB69-23CF-44E3-9099-C40C66FF867C}">
                  <a14:compatExt spid="_x0000_s118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8792" name="Check Box 8" hidden="1">
              <a:extLst>
                <a:ext uri="{63B3BB69-23CF-44E3-9099-C40C66FF867C}">
                  <a14:compatExt spid="_x0000_s118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8793" name="Check Box 9" hidden="1">
              <a:extLst>
                <a:ext uri="{63B3BB69-23CF-44E3-9099-C40C66FF867C}">
                  <a14:compatExt spid="_x0000_s118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8794" name="Check Box 10" hidden="1">
              <a:extLst>
                <a:ext uri="{63B3BB69-23CF-44E3-9099-C40C66FF867C}">
                  <a14:compatExt spid="_x0000_s118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8795" name="Check Box 11" hidden="1">
              <a:extLst>
                <a:ext uri="{63B3BB69-23CF-44E3-9099-C40C66FF867C}">
                  <a14:compatExt spid="_x0000_s118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8796" name="Check Box 12" hidden="1">
              <a:extLst>
                <a:ext uri="{63B3BB69-23CF-44E3-9099-C40C66FF867C}">
                  <a14:compatExt spid="_x0000_s118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8797" name="Check Box 13" hidden="1">
              <a:extLst>
                <a:ext uri="{63B3BB69-23CF-44E3-9099-C40C66FF867C}">
                  <a14:compatExt spid="_x0000_s118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8798" name="Check Box 14" hidden="1">
              <a:extLst>
                <a:ext uri="{63B3BB69-23CF-44E3-9099-C40C66FF867C}">
                  <a14:compatExt spid="_x0000_s118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8799" name="Check Box 15" hidden="1">
              <a:extLst>
                <a:ext uri="{63B3BB69-23CF-44E3-9099-C40C66FF867C}">
                  <a14:compatExt spid="_x0000_s118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18800" name="Drop Down 16" hidden="1">
              <a:extLst>
                <a:ext uri="{63B3BB69-23CF-44E3-9099-C40C66FF867C}">
                  <a14:compatExt spid="_x0000_s118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18801" name="Drop Down 17" hidden="1">
              <a:extLst>
                <a:ext uri="{63B3BB69-23CF-44E3-9099-C40C66FF867C}">
                  <a14:compatExt spid="_x0000_s118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18802" name="Drop Down 18" hidden="1">
              <a:extLst>
                <a:ext uri="{63B3BB69-23CF-44E3-9099-C40C66FF867C}">
                  <a14:compatExt spid="_x0000_s118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18803" name="Drop Down 19" hidden="1">
              <a:extLst>
                <a:ext uri="{63B3BB69-23CF-44E3-9099-C40C66FF867C}">
                  <a14:compatExt spid="_x0000_s118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18804" name="Drop Down 20" hidden="1">
              <a:extLst>
                <a:ext uri="{63B3BB69-23CF-44E3-9099-C40C66FF867C}">
                  <a14:compatExt spid="_x0000_s118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18805" name="Drop Down 21" hidden="1">
              <a:extLst>
                <a:ext uri="{63B3BB69-23CF-44E3-9099-C40C66FF867C}">
                  <a14:compatExt spid="_x0000_s118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18806" name="Drop Down 22" hidden="1">
              <a:extLst>
                <a:ext uri="{63B3BB69-23CF-44E3-9099-C40C66FF867C}">
                  <a14:compatExt spid="_x0000_s118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18807" name="Drop Down 23" hidden="1">
              <a:extLst>
                <a:ext uri="{63B3BB69-23CF-44E3-9099-C40C66FF867C}">
                  <a14:compatExt spid="_x0000_s118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8808" name="Drop Down 24" hidden="1">
              <a:extLst>
                <a:ext uri="{63B3BB69-23CF-44E3-9099-C40C66FF867C}">
                  <a14:compatExt spid="_x0000_s118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18809" name="Drop Down 25" hidden="1">
              <a:extLst>
                <a:ext uri="{63B3BB69-23CF-44E3-9099-C40C66FF867C}">
                  <a14:compatExt spid="_x0000_s118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18810" name="Drop Down 26" hidden="1">
              <a:extLst>
                <a:ext uri="{63B3BB69-23CF-44E3-9099-C40C66FF867C}">
                  <a14:compatExt spid="_x0000_s118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8811" name="Check Box 27" hidden="1">
              <a:extLst>
                <a:ext uri="{63B3BB69-23CF-44E3-9099-C40C66FF867C}">
                  <a14:compatExt spid="_x0000_s118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0</xdr:rowOff>
        </xdr:from>
        <xdr:to>
          <xdr:col>7</xdr:col>
          <xdr:colOff>0</xdr:colOff>
          <xdr:row>40</xdr:row>
          <xdr:rowOff>9525</xdr:rowOff>
        </xdr:to>
        <xdr:sp macro="" textlink="">
          <xdr:nvSpPr>
            <xdr:cNvPr id="118812" name="Drop Down 28" hidden="1">
              <a:extLst>
                <a:ext uri="{63B3BB69-23CF-44E3-9099-C40C66FF867C}">
                  <a14:compatExt spid="_x0000_s118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7</xdr:col>
          <xdr:colOff>0</xdr:colOff>
          <xdr:row>41</xdr:row>
          <xdr:rowOff>9525</xdr:rowOff>
        </xdr:to>
        <xdr:sp macro="" textlink="">
          <xdr:nvSpPr>
            <xdr:cNvPr id="118813" name="Drop Down 29" hidden="1">
              <a:extLst>
                <a:ext uri="{63B3BB69-23CF-44E3-9099-C40C66FF867C}">
                  <a14:compatExt spid="_x0000_s118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180975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18814" name="Drop Down 30" hidden="1">
              <a:extLst>
                <a:ext uri="{63B3BB69-23CF-44E3-9099-C40C66FF867C}">
                  <a14:compatExt spid="_x0000_s118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8815" name="Check Box 31" hidden="1">
              <a:extLst>
                <a:ext uri="{63B3BB69-23CF-44E3-9099-C40C66FF867C}">
                  <a14:compatExt spid="_x0000_s118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8816" name="Check Box 32" hidden="1">
              <a:extLst>
                <a:ext uri="{63B3BB69-23CF-44E3-9099-C40C66FF867C}">
                  <a14:compatExt spid="_x0000_s118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</xdr:colOff>
      <xdr:row>17</xdr:row>
      <xdr:rowOff>38100</xdr:rowOff>
    </xdr:from>
    <xdr:to>
      <xdr:col>17</xdr:col>
      <xdr:colOff>50801</xdr:colOff>
      <xdr:row>22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1" y="4000500"/>
          <a:ext cx="1981200" cy="111125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190501</xdr:rowOff>
    </xdr:from>
    <xdr:to>
      <xdr:col>15</xdr:col>
      <xdr:colOff>1</xdr:colOff>
      <xdr:row>3</xdr:row>
      <xdr:rowOff>1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57276"/>
          <a:ext cx="2657476" cy="2286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35169" name="Check Box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35170" name="Check Box 2" hidden="1">
              <a:extLst>
                <a:ext uri="{63B3BB69-23CF-44E3-9099-C40C66FF867C}">
                  <a14:compatExt spid="_x0000_s13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35171" name="Check Box 3" hidden="1">
              <a:extLst>
                <a:ext uri="{63B3BB69-23CF-44E3-9099-C40C66FF867C}">
                  <a14:compatExt spid="_x0000_s13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35172" name="Check Box 4" hidden="1">
              <a:extLst>
                <a:ext uri="{63B3BB69-23CF-44E3-9099-C40C66FF867C}">
                  <a14:compatExt spid="_x0000_s13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35173" name="Check Box 5" hidden="1">
              <a:extLst>
                <a:ext uri="{63B3BB69-23CF-44E3-9099-C40C66FF867C}">
                  <a14:compatExt spid="_x0000_s13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35174" name="Check Box 6" hidden="1">
              <a:extLst>
                <a:ext uri="{63B3BB69-23CF-44E3-9099-C40C66FF867C}">
                  <a14:compatExt spid="_x0000_s13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35175" name="Check Box 7" hidden="1">
              <a:extLst>
                <a:ext uri="{63B3BB69-23CF-44E3-9099-C40C66FF867C}">
                  <a14:compatExt spid="_x0000_s13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35176" name="Check Box 8" hidden="1">
              <a:extLst>
                <a:ext uri="{63B3BB69-23CF-44E3-9099-C40C66FF867C}">
                  <a14:compatExt spid="_x0000_s13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35177" name="Check Box 9" hidden="1">
              <a:extLst>
                <a:ext uri="{63B3BB69-23CF-44E3-9099-C40C66FF867C}">
                  <a14:compatExt spid="_x0000_s13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35178" name="Check Box 10" hidden="1">
              <a:extLst>
                <a:ext uri="{63B3BB69-23CF-44E3-9099-C40C66FF867C}">
                  <a14:compatExt spid="_x0000_s13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35179" name="Check Box 11" hidden="1">
              <a:extLst>
                <a:ext uri="{63B3BB69-23CF-44E3-9099-C40C66FF867C}">
                  <a14:compatExt spid="_x0000_s13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35180" name="Check Box 12" hidden="1">
              <a:extLst>
                <a:ext uri="{63B3BB69-23CF-44E3-9099-C40C66FF867C}">
                  <a14:compatExt spid="_x0000_s13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35181" name="Check Box 13" hidden="1">
              <a:extLst>
                <a:ext uri="{63B3BB69-23CF-44E3-9099-C40C66FF867C}">
                  <a14:compatExt spid="_x0000_s13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35182" name="Check Box 14" hidden="1">
              <a:extLst>
                <a:ext uri="{63B3BB69-23CF-44E3-9099-C40C66FF867C}">
                  <a14:compatExt spid="_x0000_s13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35183" name="Check Box 15" hidden="1">
              <a:extLst>
                <a:ext uri="{63B3BB69-23CF-44E3-9099-C40C66FF867C}">
                  <a14:compatExt spid="_x0000_s13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35184" name="Drop Down 16" hidden="1">
              <a:extLst>
                <a:ext uri="{63B3BB69-23CF-44E3-9099-C40C66FF867C}">
                  <a14:compatExt spid="_x0000_s13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35185" name="Drop Down 17" hidden="1">
              <a:extLst>
                <a:ext uri="{63B3BB69-23CF-44E3-9099-C40C66FF867C}">
                  <a14:compatExt spid="_x0000_s13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35186" name="Drop Down 18" hidden="1">
              <a:extLst>
                <a:ext uri="{63B3BB69-23CF-44E3-9099-C40C66FF867C}">
                  <a14:compatExt spid="_x0000_s13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35187" name="Drop Down 19" hidden="1">
              <a:extLst>
                <a:ext uri="{63B3BB69-23CF-44E3-9099-C40C66FF867C}">
                  <a14:compatExt spid="_x0000_s13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35188" name="Drop Down 20" hidden="1">
              <a:extLst>
                <a:ext uri="{63B3BB69-23CF-44E3-9099-C40C66FF867C}">
                  <a14:compatExt spid="_x0000_s13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35189" name="Drop Down 21" hidden="1">
              <a:extLst>
                <a:ext uri="{63B3BB69-23CF-44E3-9099-C40C66FF867C}">
                  <a14:compatExt spid="_x0000_s13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35190" name="Drop Down 22" hidden="1">
              <a:extLst>
                <a:ext uri="{63B3BB69-23CF-44E3-9099-C40C66FF867C}">
                  <a14:compatExt spid="_x0000_s13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35191" name="Drop Down 23" hidden="1">
              <a:extLst>
                <a:ext uri="{63B3BB69-23CF-44E3-9099-C40C66FF867C}">
                  <a14:compatExt spid="_x0000_s13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35192" name="Drop Down 24" hidden="1">
              <a:extLst>
                <a:ext uri="{63B3BB69-23CF-44E3-9099-C40C66FF867C}">
                  <a14:compatExt spid="_x0000_s13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35193" name="Drop Down 25" hidden="1">
              <a:extLst>
                <a:ext uri="{63B3BB69-23CF-44E3-9099-C40C66FF867C}">
                  <a14:compatExt spid="_x0000_s13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35194" name="Drop Down 26" hidden="1">
              <a:extLst>
                <a:ext uri="{63B3BB69-23CF-44E3-9099-C40C66FF867C}">
                  <a14:compatExt spid="_x0000_s13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35195" name="Check Box 27" hidden="1">
              <a:extLst>
                <a:ext uri="{63B3BB69-23CF-44E3-9099-C40C66FF867C}">
                  <a14:compatExt spid="_x0000_s13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180975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47750"/>
          <a:ext cx="2657475" cy="18097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1400175</xdr:colOff>
      <xdr:row>1</xdr:row>
      <xdr:rowOff>152400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3335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2</xdr:col>
      <xdr:colOff>1733550</xdr:colOff>
      <xdr:row>0</xdr:row>
      <xdr:rowOff>0</xdr:rowOff>
    </xdr:from>
    <xdr:to>
      <xdr:col>4</xdr:col>
      <xdr:colOff>76200</xdr:colOff>
      <xdr:row>1</xdr:row>
      <xdr:rowOff>123825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18669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5</xdr:col>
      <xdr:colOff>847725</xdr:colOff>
      <xdr:row>0</xdr:row>
      <xdr:rowOff>0</xdr:rowOff>
    </xdr:from>
    <xdr:to>
      <xdr:col>8</xdr:col>
      <xdr:colOff>533401</xdr:colOff>
      <xdr:row>1</xdr:row>
      <xdr:rowOff>114300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4400550" y="0"/>
          <a:ext cx="1495426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 fPrintsWithSheet="0"/>
  </xdr:twoCellAnchor>
  <xdr:twoCellAnchor>
    <xdr:from>
      <xdr:col>9</xdr:col>
      <xdr:colOff>0</xdr:colOff>
      <xdr:row>0</xdr:row>
      <xdr:rowOff>0</xdr:rowOff>
    </xdr:from>
    <xdr:to>
      <xdr:col>11</xdr:col>
      <xdr:colOff>38100</xdr:colOff>
      <xdr:row>1</xdr:row>
      <xdr:rowOff>123825</xdr:rowOff>
    </xdr:to>
    <xdr:sp macro="" textlink="">
      <xdr:nvSpPr>
        <xdr:cNvPr id="6" name="Textfeld 5">
          <a:hlinkClick xmlns:r="http://schemas.openxmlformats.org/officeDocument/2006/relationships" r:id="rId4"/>
        </xdr:cNvPr>
        <xdr:cNvSpPr txBox="1"/>
      </xdr:nvSpPr>
      <xdr:spPr>
        <a:xfrm>
          <a:off x="61341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180975</xdr:rowOff>
    </xdr:from>
    <xdr:to>
      <xdr:col>8</xdr:col>
      <xdr:colOff>514350</xdr:colOff>
      <xdr:row>2</xdr:row>
      <xdr:rowOff>123825</xdr:rowOff>
    </xdr:to>
    <xdr:sp macro="" textlink="">
      <xdr:nvSpPr>
        <xdr:cNvPr id="8" name="Textfeld 7">
          <a:hlinkClick xmlns:r="http://schemas.openxmlformats.org/officeDocument/2006/relationships" r:id="rId5"/>
        </xdr:cNvPr>
        <xdr:cNvSpPr txBox="1"/>
      </xdr:nvSpPr>
      <xdr:spPr>
        <a:xfrm>
          <a:off x="4410075" y="371475"/>
          <a:ext cx="1466850" cy="4762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Sonstige Festkosten</a:t>
          </a:r>
        </a:p>
      </xdr:txBody>
    </xdr:sp>
    <xdr:clientData fPrintsWithSheet="0"/>
  </xdr:twoCellAnchor>
  <xdr:twoCellAnchor>
    <xdr:from>
      <xdr:col>9</xdr:col>
      <xdr:colOff>0</xdr:colOff>
      <xdr:row>1</xdr:row>
      <xdr:rowOff>333375</xdr:rowOff>
    </xdr:from>
    <xdr:to>
      <xdr:col>11</xdr:col>
      <xdr:colOff>47625</xdr:colOff>
      <xdr:row>2</xdr:row>
      <xdr:rowOff>104775</xdr:rowOff>
    </xdr:to>
    <xdr:sp macro="" textlink="">
      <xdr:nvSpPr>
        <xdr:cNvPr id="9" name="Textfeld 8">
          <a:hlinkClick xmlns:r="http://schemas.openxmlformats.org/officeDocument/2006/relationships" r:id="rId6"/>
        </xdr:cNvPr>
        <xdr:cNvSpPr txBox="1"/>
      </xdr:nvSpPr>
      <xdr:spPr>
        <a:xfrm>
          <a:off x="6134100" y="523875"/>
          <a:ext cx="1247775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 fPrint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17089" name="Check Box 1" hidden="1">
              <a:extLst>
                <a:ext uri="{63B3BB69-23CF-44E3-9099-C40C66FF867C}">
                  <a14:compatExt spid="_x0000_s217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17090" name="Check Box 2" hidden="1">
              <a:extLst>
                <a:ext uri="{63B3BB69-23CF-44E3-9099-C40C66FF867C}">
                  <a14:compatExt spid="_x0000_s217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17091" name="Check Box 3" hidden="1">
              <a:extLst>
                <a:ext uri="{63B3BB69-23CF-44E3-9099-C40C66FF867C}">
                  <a14:compatExt spid="_x0000_s217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17092" name="Check Box 4" hidden="1">
              <a:extLst>
                <a:ext uri="{63B3BB69-23CF-44E3-9099-C40C66FF867C}">
                  <a14:compatExt spid="_x0000_s217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17093" name="Check Box 5" hidden="1">
              <a:extLst>
                <a:ext uri="{63B3BB69-23CF-44E3-9099-C40C66FF867C}">
                  <a14:compatExt spid="_x0000_s217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17094" name="Check Box 6" hidden="1">
              <a:extLst>
                <a:ext uri="{63B3BB69-23CF-44E3-9099-C40C66FF867C}">
                  <a14:compatExt spid="_x0000_s217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17095" name="Check Box 7" hidden="1">
              <a:extLst>
                <a:ext uri="{63B3BB69-23CF-44E3-9099-C40C66FF867C}">
                  <a14:compatExt spid="_x0000_s217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17096" name="Check Box 8" hidden="1">
              <a:extLst>
                <a:ext uri="{63B3BB69-23CF-44E3-9099-C40C66FF867C}">
                  <a14:compatExt spid="_x0000_s217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17097" name="Check Box 9" hidden="1">
              <a:extLst>
                <a:ext uri="{63B3BB69-23CF-44E3-9099-C40C66FF867C}">
                  <a14:compatExt spid="_x0000_s217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17098" name="Check Box 10" hidden="1">
              <a:extLst>
                <a:ext uri="{63B3BB69-23CF-44E3-9099-C40C66FF867C}">
                  <a14:compatExt spid="_x0000_s217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7099" name="Check Box 11" hidden="1">
              <a:extLst>
                <a:ext uri="{63B3BB69-23CF-44E3-9099-C40C66FF867C}">
                  <a14:compatExt spid="_x0000_s217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17100" name="Check Box 12" hidden="1">
              <a:extLst>
                <a:ext uri="{63B3BB69-23CF-44E3-9099-C40C66FF867C}">
                  <a14:compatExt spid="_x0000_s217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17101" name="Check Box 13" hidden="1">
              <a:extLst>
                <a:ext uri="{63B3BB69-23CF-44E3-9099-C40C66FF867C}">
                  <a14:compatExt spid="_x0000_s217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17102" name="Check Box 14" hidden="1">
              <a:extLst>
                <a:ext uri="{63B3BB69-23CF-44E3-9099-C40C66FF867C}">
                  <a14:compatExt spid="_x0000_s217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17103" name="Check Box 15" hidden="1">
              <a:extLst>
                <a:ext uri="{63B3BB69-23CF-44E3-9099-C40C66FF867C}">
                  <a14:compatExt spid="_x0000_s217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17104" name="Drop Down 16" hidden="1">
              <a:extLst>
                <a:ext uri="{63B3BB69-23CF-44E3-9099-C40C66FF867C}">
                  <a14:compatExt spid="_x0000_s217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17105" name="Drop Down 17" hidden="1">
              <a:extLst>
                <a:ext uri="{63B3BB69-23CF-44E3-9099-C40C66FF867C}">
                  <a14:compatExt spid="_x0000_s21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17106" name="Drop Down 18" hidden="1">
              <a:extLst>
                <a:ext uri="{63B3BB69-23CF-44E3-9099-C40C66FF867C}">
                  <a14:compatExt spid="_x0000_s21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17107" name="Drop Down 19" hidden="1">
              <a:extLst>
                <a:ext uri="{63B3BB69-23CF-44E3-9099-C40C66FF867C}">
                  <a14:compatExt spid="_x0000_s21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17108" name="Drop Down 20" hidden="1">
              <a:extLst>
                <a:ext uri="{63B3BB69-23CF-44E3-9099-C40C66FF867C}">
                  <a14:compatExt spid="_x0000_s21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17109" name="Drop Down 21" hidden="1">
              <a:extLst>
                <a:ext uri="{63B3BB69-23CF-44E3-9099-C40C66FF867C}">
                  <a14:compatExt spid="_x0000_s21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17110" name="Drop Down 22" hidden="1">
              <a:extLst>
                <a:ext uri="{63B3BB69-23CF-44E3-9099-C40C66FF867C}">
                  <a14:compatExt spid="_x0000_s21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17111" name="Drop Down 23" hidden="1">
              <a:extLst>
                <a:ext uri="{63B3BB69-23CF-44E3-9099-C40C66FF867C}">
                  <a14:compatExt spid="_x0000_s21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17112" name="Drop Down 24" hidden="1">
              <a:extLst>
                <a:ext uri="{63B3BB69-23CF-44E3-9099-C40C66FF867C}">
                  <a14:compatExt spid="_x0000_s217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17113" name="Drop Down 25" hidden="1">
              <a:extLst>
                <a:ext uri="{63B3BB69-23CF-44E3-9099-C40C66FF867C}">
                  <a14:compatExt spid="_x0000_s217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17114" name="Drop Down 26" hidden="1">
              <a:extLst>
                <a:ext uri="{63B3BB69-23CF-44E3-9099-C40C66FF867C}">
                  <a14:compatExt spid="_x0000_s217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217116" name="Check Box 28" hidden="1">
              <a:extLst>
                <a:ext uri="{63B3BB69-23CF-44E3-9099-C40C66FF867C}">
                  <a14:compatExt spid="_x0000_s21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17117" name="Check Box 29" hidden="1">
              <a:extLst>
                <a:ext uri="{63B3BB69-23CF-44E3-9099-C40C66FF867C}">
                  <a14:compatExt spid="_x0000_s217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7118" name="Check Box 30" hidden="1">
              <a:extLst>
                <a:ext uri="{63B3BB69-23CF-44E3-9099-C40C66FF867C}">
                  <a14:compatExt spid="_x0000_s217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863601</xdr:colOff>
      <xdr:row>17</xdr:row>
      <xdr:rowOff>38100</xdr:rowOff>
    </xdr:from>
    <xdr:to>
      <xdr:col>17</xdr:col>
      <xdr:colOff>76201</xdr:colOff>
      <xdr:row>22</xdr:row>
      <xdr:rowOff>146050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69651" y="4000500"/>
          <a:ext cx="2012950" cy="1104900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161925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28700"/>
          <a:ext cx="2657475" cy="2476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62146" name="Check Box 2" hidden="1">
              <a:extLst>
                <a:ext uri="{63B3BB69-23CF-44E3-9099-C40C66FF867C}">
                  <a14:compatExt spid="_x0000_s26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62147" name="Check Box 3" hidden="1">
              <a:extLst>
                <a:ext uri="{63B3BB69-23CF-44E3-9099-C40C66FF867C}">
                  <a14:compatExt spid="_x0000_s26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62148" name="Check Box 4" hidden="1">
              <a:extLst>
                <a:ext uri="{63B3BB69-23CF-44E3-9099-C40C66FF867C}">
                  <a14:compatExt spid="_x0000_s26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62149" name="Check Box 5" hidden="1">
              <a:extLst>
                <a:ext uri="{63B3BB69-23CF-44E3-9099-C40C66FF867C}">
                  <a14:compatExt spid="_x0000_s26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62150" name="Check Box 6" hidden="1">
              <a:extLst>
                <a:ext uri="{63B3BB69-23CF-44E3-9099-C40C66FF867C}">
                  <a14:compatExt spid="_x0000_s26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62151" name="Check Box 7" hidden="1">
              <a:extLst>
                <a:ext uri="{63B3BB69-23CF-44E3-9099-C40C66FF867C}">
                  <a14:compatExt spid="_x0000_s26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62152" name="Check Box 8" hidden="1">
              <a:extLst>
                <a:ext uri="{63B3BB69-23CF-44E3-9099-C40C66FF867C}">
                  <a14:compatExt spid="_x0000_s26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62153" name="Check Box 9" hidden="1">
              <a:extLst>
                <a:ext uri="{63B3BB69-23CF-44E3-9099-C40C66FF867C}">
                  <a14:compatExt spid="_x0000_s26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62154" name="Check Box 10" hidden="1">
              <a:extLst>
                <a:ext uri="{63B3BB69-23CF-44E3-9099-C40C66FF867C}">
                  <a14:compatExt spid="_x0000_s26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62155" name="Check Box 11" hidden="1">
              <a:extLst>
                <a:ext uri="{63B3BB69-23CF-44E3-9099-C40C66FF867C}">
                  <a14:compatExt spid="_x0000_s26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62156" name="Check Box 12" hidden="1">
              <a:extLst>
                <a:ext uri="{63B3BB69-23CF-44E3-9099-C40C66FF867C}">
                  <a14:compatExt spid="_x0000_s26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62157" name="Check Box 13" hidden="1">
              <a:extLst>
                <a:ext uri="{63B3BB69-23CF-44E3-9099-C40C66FF867C}">
                  <a14:compatExt spid="_x0000_s26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62158" name="Check Box 14" hidden="1">
              <a:extLst>
                <a:ext uri="{63B3BB69-23CF-44E3-9099-C40C66FF867C}">
                  <a14:compatExt spid="_x0000_s26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62159" name="Check Box 15" hidden="1">
              <a:extLst>
                <a:ext uri="{63B3BB69-23CF-44E3-9099-C40C66FF867C}">
                  <a14:compatExt spid="_x0000_s26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62160" name="Check Box 16" hidden="1">
              <a:extLst>
                <a:ext uri="{63B3BB69-23CF-44E3-9099-C40C66FF867C}">
                  <a14:compatExt spid="_x0000_s26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62161" name="Drop Down 17" hidden="1">
              <a:extLst>
                <a:ext uri="{63B3BB69-23CF-44E3-9099-C40C66FF867C}">
                  <a14:compatExt spid="_x0000_s26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2162" name="Drop Down 18" hidden="1">
              <a:extLst>
                <a:ext uri="{63B3BB69-23CF-44E3-9099-C40C66FF867C}">
                  <a14:compatExt spid="_x0000_s26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2163" name="Drop Down 19" hidden="1">
              <a:extLst>
                <a:ext uri="{63B3BB69-23CF-44E3-9099-C40C66FF867C}">
                  <a14:compatExt spid="_x0000_s26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2164" name="Drop Down 20" hidden="1">
              <a:extLst>
                <a:ext uri="{63B3BB69-23CF-44E3-9099-C40C66FF867C}">
                  <a14:compatExt spid="_x0000_s26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2165" name="Drop Down 21" hidden="1">
              <a:extLst>
                <a:ext uri="{63B3BB69-23CF-44E3-9099-C40C66FF867C}">
                  <a14:compatExt spid="_x0000_s26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2166" name="Drop Down 22" hidden="1">
              <a:extLst>
                <a:ext uri="{63B3BB69-23CF-44E3-9099-C40C66FF867C}">
                  <a14:compatExt spid="_x0000_s26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2167" name="Drop Down 23" hidden="1">
              <a:extLst>
                <a:ext uri="{63B3BB69-23CF-44E3-9099-C40C66FF867C}">
                  <a14:compatExt spid="_x0000_s26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2168" name="Drop Down 24" hidden="1">
              <a:extLst>
                <a:ext uri="{63B3BB69-23CF-44E3-9099-C40C66FF867C}">
                  <a14:compatExt spid="_x0000_s26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2169" name="Drop Down 25" hidden="1">
              <a:extLst>
                <a:ext uri="{63B3BB69-23CF-44E3-9099-C40C66FF867C}">
                  <a14:compatExt spid="_x0000_s26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2170" name="Drop Down 26" hidden="1">
              <a:extLst>
                <a:ext uri="{63B3BB69-23CF-44E3-9099-C40C66FF867C}">
                  <a14:compatExt spid="_x0000_s26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2171" name="Drop Down 27" hidden="1">
              <a:extLst>
                <a:ext uri="{63B3BB69-23CF-44E3-9099-C40C66FF867C}">
                  <a14:compatExt spid="_x0000_s26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262172" name="Check Box 28" hidden="1">
              <a:extLst>
                <a:ext uri="{63B3BB69-23CF-44E3-9099-C40C66FF867C}">
                  <a14:compatExt spid="_x0000_s26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62173" name="Check Box 29" hidden="1">
              <a:extLst>
                <a:ext uri="{63B3BB69-23CF-44E3-9099-C40C66FF867C}">
                  <a14:compatExt spid="_x0000_s26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62174" name="Check Box 30" hidden="1">
              <a:extLst>
                <a:ext uri="{63B3BB69-23CF-44E3-9099-C40C66FF867C}">
                  <a14:compatExt spid="_x0000_s26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12701</xdr:colOff>
      <xdr:row>17</xdr:row>
      <xdr:rowOff>31750</xdr:rowOff>
    </xdr:from>
    <xdr:to>
      <xdr:col>17</xdr:col>
      <xdr:colOff>76201</xdr:colOff>
      <xdr:row>22</xdr:row>
      <xdr:rowOff>177800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88701" y="3994150"/>
          <a:ext cx="1993900" cy="114300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323850</xdr:rowOff>
    </xdr:from>
    <xdr:to>
      <xdr:col>15</xdr:col>
      <xdr:colOff>0</xdr:colOff>
      <xdr:row>2</xdr:row>
      <xdr:rowOff>504824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190625"/>
          <a:ext cx="2657475" cy="18097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11</xdr:col>
          <xdr:colOff>209550</xdr:colOff>
          <xdr:row>18</xdr:row>
          <xdr:rowOff>171450</xdr:rowOff>
        </xdr:to>
        <xdr:sp macro="" textlink="">
          <xdr:nvSpPr>
            <xdr:cNvPr id="263170" name="Check Box 2" hidden="1">
              <a:extLst>
                <a:ext uri="{63B3BB69-23CF-44E3-9099-C40C66FF867C}">
                  <a14:compatExt spid="_x0000_s26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0</xdr:rowOff>
        </xdr:from>
        <xdr:to>
          <xdr:col>11</xdr:col>
          <xdr:colOff>209550</xdr:colOff>
          <xdr:row>19</xdr:row>
          <xdr:rowOff>171450</xdr:rowOff>
        </xdr:to>
        <xdr:sp macro="" textlink="">
          <xdr:nvSpPr>
            <xdr:cNvPr id="263171" name="Check Box 3" hidden="1">
              <a:extLst>
                <a:ext uri="{63B3BB69-23CF-44E3-9099-C40C66FF867C}">
                  <a14:compatExt spid="_x0000_s26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63172" name="Check Box 4" hidden="1">
              <a:extLst>
                <a:ext uri="{63B3BB69-23CF-44E3-9099-C40C66FF867C}">
                  <a14:compatExt spid="_x0000_s26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63173" name="Check Box 5" hidden="1">
              <a:extLst>
                <a:ext uri="{63B3BB69-23CF-44E3-9099-C40C66FF867C}">
                  <a14:compatExt spid="_x0000_s26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3174" name="Check Box 6" hidden="1">
              <a:extLst>
                <a:ext uri="{63B3BB69-23CF-44E3-9099-C40C66FF867C}">
                  <a14:compatExt spid="_x0000_s26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3175" name="Check Box 7" hidden="1">
              <a:extLst>
                <a:ext uri="{63B3BB69-23CF-44E3-9099-C40C66FF867C}">
                  <a14:compatExt spid="_x0000_s26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3176" name="Check Box 8" hidden="1">
              <a:extLst>
                <a:ext uri="{63B3BB69-23CF-44E3-9099-C40C66FF867C}">
                  <a14:compatExt spid="_x0000_s26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3177" name="Check Box 9" hidden="1">
              <a:extLst>
                <a:ext uri="{63B3BB69-23CF-44E3-9099-C40C66FF867C}">
                  <a14:compatExt spid="_x0000_s26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3178" name="Check Box 10" hidden="1">
              <a:extLst>
                <a:ext uri="{63B3BB69-23CF-44E3-9099-C40C66FF867C}">
                  <a14:compatExt spid="_x0000_s26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3179" name="Check Box 11" hidden="1">
              <a:extLst>
                <a:ext uri="{63B3BB69-23CF-44E3-9099-C40C66FF867C}">
                  <a14:compatExt spid="_x0000_s26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3180" name="Check Box 12" hidden="1">
              <a:extLst>
                <a:ext uri="{63B3BB69-23CF-44E3-9099-C40C66FF867C}">
                  <a14:compatExt spid="_x0000_s26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3181" name="Check Box 13" hidden="1">
              <a:extLst>
                <a:ext uri="{63B3BB69-23CF-44E3-9099-C40C66FF867C}">
                  <a14:compatExt spid="_x0000_s26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3182" name="Check Box 14" hidden="1">
              <a:extLst>
                <a:ext uri="{63B3BB69-23CF-44E3-9099-C40C66FF867C}">
                  <a14:compatExt spid="_x0000_s26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3183" name="Check Box 15" hidden="1">
              <a:extLst>
                <a:ext uri="{63B3BB69-23CF-44E3-9099-C40C66FF867C}">
                  <a14:compatExt spid="_x0000_s26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28575</xdr:rowOff>
        </xdr:from>
        <xdr:to>
          <xdr:col>15</xdr:col>
          <xdr:colOff>209550</xdr:colOff>
          <xdr:row>23</xdr:row>
          <xdr:rowOff>0</xdr:rowOff>
        </xdr:to>
        <xdr:sp macro="" textlink="">
          <xdr:nvSpPr>
            <xdr:cNvPr id="263184" name="Check Box 16" hidden="1">
              <a:extLst>
                <a:ext uri="{63B3BB69-23CF-44E3-9099-C40C66FF867C}">
                  <a14:compatExt spid="_x0000_s26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28575</xdr:rowOff>
        </xdr:from>
        <xdr:to>
          <xdr:col>5</xdr:col>
          <xdr:colOff>428625</xdr:colOff>
          <xdr:row>9</xdr:row>
          <xdr:rowOff>171450</xdr:rowOff>
        </xdr:to>
        <xdr:sp macro="" textlink="">
          <xdr:nvSpPr>
            <xdr:cNvPr id="263196" name="Check Box 28" hidden="1">
              <a:extLst>
                <a:ext uri="{63B3BB69-23CF-44E3-9099-C40C66FF867C}">
                  <a14:compatExt spid="_x0000_s26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63208" name="Drop Down 40" hidden="1">
              <a:extLst>
                <a:ext uri="{63B3BB69-23CF-44E3-9099-C40C66FF867C}">
                  <a14:compatExt spid="_x0000_s26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3209" name="Drop Down 41" hidden="1">
              <a:extLst>
                <a:ext uri="{63B3BB69-23CF-44E3-9099-C40C66FF867C}">
                  <a14:compatExt spid="_x0000_s26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3210" name="Drop Down 42" hidden="1">
              <a:extLst>
                <a:ext uri="{63B3BB69-23CF-44E3-9099-C40C66FF867C}">
                  <a14:compatExt spid="_x0000_s26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3211" name="Drop Down 43" hidden="1">
              <a:extLst>
                <a:ext uri="{63B3BB69-23CF-44E3-9099-C40C66FF867C}">
                  <a14:compatExt spid="_x0000_s26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3212" name="Drop Down 44" hidden="1">
              <a:extLst>
                <a:ext uri="{63B3BB69-23CF-44E3-9099-C40C66FF867C}">
                  <a14:compatExt spid="_x0000_s26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3213" name="Drop Down 45" hidden="1">
              <a:extLst>
                <a:ext uri="{63B3BB69-23CF-44E3-9099-C40C66FF867C}">
                  <a14:compatExt spid="_x0000_s26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3214" name="Drop Down 46" hidden="1">
              <a:extLst>
                <a:ext uri="{63B3BB69-23CF-44E3-9099-C40C66FF867C}">
                  <a14:compatExt spid="_x0000_s26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3215" name="Drop Down 47" hidden="1">
              <a:extLst>
                <a:ext uri="{63B3BB69-23CF-44E3-9099-C40C66FF867C}">
                  <a14:compatExt spid="_x0000_s26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3216" name="Drop Down 48" hidden="1">
              <a:extLst>
                <a:ext uri="{63B3BB69-23CF-44E3-9099-C40C66FF867C}">
                  <a14:compatExt spid="_x0000_s26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3217" name="Drop Down 49" hidden="1">
              <a:extLst>
                <a:ext uri="{63B3BB69-23CF-44E3-9099-C40C66FF867C}">
                  <a14:compatExt spid="_x0000_s26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3218" name="Drop Down 50" hidden="1">
              <a:extLst>
                <a:ext uri="{63B3BB69-23CF-44E3-9099-C40C66FF867C}">
                  <a14:compatExt spid="_x0000_s26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190500</xdr:rowOff>
    </xdr:from>
    <xdr:to>
      <xdr:col>15</xdr:col>
      <xdr:colOff>0</xdr:colOff>
      <xdr:row>2</xdr:row>
      <xdr:rowOff>457199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057275"/>
          <a:ext cx="2657475" cy="266699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11</xdr:col>
          <xdr:colOff>209550</xdr:colOff>
          <xdr:row>18</xdr:row>
          <xdr:rowOff>171450</xdr:rowOff>
        </xdr:to>
        <xdr:sp macro="" textlink="">
          <xdr:nvSpPr>
            <xdr:cNvPr id="264194" name="Check Box 2" hidden="1">
              <a:extLst>
                <a:ext uri="{63B3BB69-23CF-44E3-9099-C40C66FF867C}">
                  <a14:compatExt spid="_x0000_s26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0</xdr:rowOff>
        </xdr:from>
        <xdr:to>
          <xdr:col>11</xdr:col>
          <xdr:colOff>209550</xdr:colOff>
          <xdr:row>19</xdr:row>
          <xdr:rowOff>171450</xdr:rowOff>
        </xdr:to>
        <xdr:sp macro="" textlink="">
          <xdr:nvSpPr>
            <xdr:cNvPr id="264195" name="Check Box 3" hidden="1">
              <a:extLst>
                <a:ext uri="{63B3BB69-23CF-44E3-9099-C40C66FF867C}">
                  <a14:compatExt spid="_x0000_s26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64196" name="Check Box 4" hidden="1">
              <a:extLst>
                <a:ext uri="{63B3BB69-23CF-44E3-9099-C40C66FF867C}">
                  <a14:compatExt spid="_x0000_s26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64197" name="Check Box 5" hidden="1">
              <a:extLst>
                <a:ext uri="{63B3BB69-23CF-44E3-9099-C40C66FF867C}">
                  <a14:compatExt spid="_x0000_s26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4198" name="Check Box 6" hidden="1">
              <a:extLst>
                <a:ext uri="{63B3BB69-23CF-44E3-9099-C40C66FF867C}">
                  <a14:compatExt spid="_x0000_s26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13</xdr:col>
          <xdr:colOff>209550</xdr:colOff>
          <xdr:row>18</xdr:row>
          <xdr:rowOff>171450</xdr:rowOff>
        </xdr:to>
        <xdr:sp macro="" textlink="">
          <xdr:nvSpPr>
            <xdr:cNvPr id="264199" name="Check Box 7" hidden="1">
              <a:extLst>
                <a:ext uri="{63B3BB69-23CF-44E3-9099-C40C66FF867C}">
                  <a14:compatExt spid="_x0000_s26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4200" name="Check Box 8" hidden="1">
              <a:extLst>
                <a:ext uri="{63B3BB69-23CF-44E3-9099-C40C66FF867C}">
                  <a14:compatExt spid="_x0000_s26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4201" name="Check Box 9" hidden="1">
              <a:extLst>
                <a:ext uri="{63B3BB69-23CF-44E3-9099-C40C66FF867C}">
                  <a14:compatExt spid="_x0000_s26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264202" name="Check Box 10" hidden="1">
              <a:extLst>
                <a:ext uri="{63B3BB69-23CF-44E3-9099-C40C66FF867C}">
                  <a14:compatExt spid="_x0000_s26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4203" name="Check Box 11" hidden="1">
              <a:extLst>
                <a:ext uri="{63B3BB69-23CF-44E3-9099-C40C66FF867C}">
                  <a14:compatExt spid="_x0000_s26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4204" name="Check Box 12" hidden="1">
              <a:extLst>
                <a:ext uri="{63B3BB69-23CF-44E3-9099-C40C66FF867C}">
                  <a14:compatExt spid="_x0000_s26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4205" name="Check Box 13" hidden="1">
              <a:extLst>
                <a:ext uri="{63B3BB69-23CF-44E3-9099-C40C66FF867C}">
                  <a14:compatExt spid="_x0000_s26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4206" name="Check Box 14" hidden="1">
              <a:extLst>
                <a:ext uri="{63B3BB69-23CF-44E3-9099-C40C66FF867C}">
                  <a14:compatExt spid="_x0000_s26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0</xdr:rowOff>
        </xdr:from>
        <xdr:to>
          <xdr:col>15</xdr:col>
          <xdr:colOff>209550</xdr:colOff>
          <xdr:row>21</xdr:row>
          <xdr:rowOff>171450</xdr:rowOff>
        </xdr:to>
        <xdr:sp macro="" textlink="">
          <xdr:nvSpPr>
            <xdr:cNvPr id="264207" name="Check Box 15" hidden="1">
              <a:extLst>
                <a:ext uri="{63B3BB69-23CF-44E3-9099-C40C66FF867C}">
                  <a14:compatExt spid="_x0000_s26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171450</xdr:rowOff>
        </xdr:to>
        <xdr:sp macro="" textlink="">
          <xdr:nvSpPr>
            <xdr:cNvPr id="264208" name="Check Box 16" hidden="1">
              <a:extLst>
                <a:ext uri="{63B3BB69-23CF-44E3-9099-C40C66FF867C}">
                  <a14:compatExt spid="_x0000_s26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9</xdr:row>
          <xdr:rowOff>28575</xdr:rowOff>
        </xdr:from>
        <xdr:to>
          <xdr:col>6</xdr:col>
          <xdr:colOff>0</xdr:colOff>
          <xdr:row>9</xdr:row>
          <xdr:rowOff>171450</xdr:rowOff>
        </xdr:to>
        <xdr:sp macro="" textlink="">
          <xdr:nvSpPr>
            <xdr:cNvPr id="264220" name="Check Box 28" hidden="1">
              <a:extLst>
                <a:ext uri="{63B3BB69-23CF-44E3-9099-C40C66FF867C}">
                  <a14:compatExt spid="_x0000_s26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264221" name="Drop Down 29" hidden="1">
              <a:extLst>
                <a:ext uri="{63B3BB69-23CF-44E3-9099-C40C66FF867C}">
                  <a14:compatExt spid="_x0000_s26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4222" name="Drop Down 30" hidden="1">
              <a:extLst>
                <a:ext uri="{63B3BB69-23CF-44E3-9099-C40C66FF867C}">
                  <a14:compatExt spid="_x0000_s26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4223" name="Drop Down 31" hidden="1">
              <a:extLst>
                <a:ext uri="{63B3BB69-23CF-44E3-9099-C40C66FF867C}">
                  <a14:compatExt spid="_x0000_s26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4224" name="Drop Down 32" hidden="1">
              <a:extLst>
                <a:ext uri="{63B3BB69-23CF-44E3-9099-C40C66FF867C}">
                  <a14:compatExt spid="_x0000_s26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4225" name="Drop Down 33" hidden="1">
              <a:extLst>
                <a:ext uri="{63B3BB69-23CF-44E3-9099-C40C66FF867C}">
                  <a14:compatExt spid="_x0000_s26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4226" name="Drop Down 34" hidden="1">
              <a:extLst>
                <a:ext uri="{63B3BB69-23CF-44E3-9099-C40C66FF867C}">
                  <a14:compatExt spid="_x0000_s26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4227" name="Drop Down 35" hidden="1">
              <a:extLst>
                <a:ext uri="{63B3BB69-23CF-44E3-9099-C40C66FF867C}">
                  <a14:compatExt spid="_x0000_s26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4228" name="Drop Down 36" hidden="1">
              <a:extLst>
                <a:ext uri="{63B3BB69-23CF-44E3-9099-C40C66FF867C}">
                  <a14:compatExt spid="_x0000_s26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4229" name="Drop Down 37" hidden="1">
              <a:extLst>
                <a:ext uri="{63B3BB69-23CF-44E3-9099-C40C66FF867C}">
                  <a14:compatExt spid="_x0000_s26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4230" name="Drop Down 38" hidden="1">
              <a:extLst>
                <a:ext uri="{63B3BB69-23CF-44E3-9099-C40C66FF867C}">
                  <a14:compatExt spid="_x0000_s26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4231" name="Drop Down 39" hidden="1">
              <a:extLst>
                <a:ext uri="{63B3BB69-23CF-44E3-9099-C40C66FF867C}">
                  <a14:compatExt spid="_x0000_s26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264236" name="Drop Down 44" hidden="1">
              <a:extLst>
                <a:ext uri="{63B3BB69-23CF-44E3-9099-C40C66FF867C}">
                  <a14:compatExt spid="_x0000_s26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1</xdr:colOff>
      <xdr:row>17</xdr:row>
      <xdr:rowOff>50800</xdr:rowOff>
    </xdr:from>
    <xdr:to>
      <xdr:col>17</xdr:col>
      <xdr:colOff>76201</xdr:colOff>
      <xdr:row>22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96651" y="4013200"/>
          <a:ext cx="2006600" cy="1098550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187624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5439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65218" name="Check Box 2" hidden="1">
              <a:extLst>
                <a:ext uri="{63B3BB69-23CF-44E3-9099-C40C66FF867C}">
                  <a14:compatExt spid="_x0000_s26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265219" name="Check Box 3" hidden="1">
              <a:extLst>
                <a:ext uri="{63B3BB69-23CF-44E3-9099-C40C66FF867C}">
                  <a14:compatExt spid="_x0000_s26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265220" name="Check Box 4" hidden="1">
              <a:extLst>
                <a:ext uri="{63B3BB69-23CF-44E3-9099-C40C66FF867C}">
                  <a14:compatExt spid="_x0000_s26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28575</xdr:rowOff>
        </xdr:from>
        <xdr:to>
          <xdr:col>11</xdr:col>
          <xdr:colOff>209550</xdr:colOff>
          <xdr:row>22</xdr:row>
          <xdr:rowOff>0</xdr:rowOff>
        </xdr:to>
        <xdr:sp macro="" textlink="">
          <xdr:nvSpPr>
            <xdr:cNvPr id="265221" name="Check Box 5" hidden="1">
              <a:extLst>
                <a:ext uri="{63B3BB69-23CF-44E3-9099-C40C66FF867C}">
                  <a14:compatExt spid="_x0000_s26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5222" name="Check Box 6" hidden="1">
              <a:extLst>
                <a:ext uri="{63B3BB69-23CF-44E3-9099-C40C66FF867C}">
                  <a14:compatExt spid="_x0000_s26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5223" name="Check Box 7" hidden="1">
              <a:extLst>
                <a:ext uri="{63B3BB69-23CF-44E3-9099-C40C66FF867C}">
                  <a14:compatExt spid="_x0000_s26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5224" name="Check Box 8" hidden="1">
              <a:extLst>
                <a:ext uri="{63B3BB69-23CF-44E3-9099-C40C66FF867C}">
                  <a14:compatExt spid="_x0000_s26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5225" name="Check Box 9" hidden="1">
              <a:extLst>
                <a:ext uri="{63B3BB69-23CF-44E3-9099-C40C66FF867C}">
                  <a14:compatExt spid="_x0000_s26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5226" name="Check Box 10" hidden="1">
              <a:extLst>
                <a:ext uri="{63B3BB69-23CF-44E3-9099-C40C66FF867C}">
                  <a14:compatExt spid="_x0000_s26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28575</xdr:rowOff>
        </xdr:from>
        <xdr:to>
          <xdr:col>13</xdr:col>
          <xdr:colOff>209550</xdr:colOff>
          <xdr:row>23</xdr:row>
          <xdr:rowOff>0</xdr:rowOff>
        </xdr:to>
        <xdr:sp macro="" textlink="">
          <xdr:nvSpPr>
            <xdr:cNvPr id="265227" name="Check Box 11" hidden="1">
              <a:extLst>
                <a:ext uri="{63B3BB69-23CF-44E3-9099-C40C66FF867C}">
                  <a14:compatExt spid="_x0000_s26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5228" name="Check Box 12" hidden="1">
              <a:extLst>
                <a:ext uri="{63B3BB69-23CF-44E3-9099-C40C66FF867C}">
                  <a14:compatExt spid="_x0000_s26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5229" name="Check Box 13" hidden="1">
              <a:extLst>
                <a:ext uri="{63B3BB69-23CF-44E3-9099-C40C66FF867C}">
                  <a14:compatExt spid="_x0000_s26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5230" name="Check Box 14" hidden="1">
              <a:extLst>
                <a:ext uri="{63B3BB69-23CF-44E3-9099-C40C66FF867C}">
                  <a14:compatExt spid="_x0000_s26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5231" name="Check Box 15" hidden="1">
              <a:extLst>
                <a:ext uri="{63B3BB69-23CF-44E3-9099-C40C66FF867C}">
                  <a14:compatExt spid="_x0000_s26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28575</xdr:rowOff>
        </xdr:from>
        <xdr:to>
          <xdr:col>15</xdr:col>
          <xdr:colOff>209550</xdr:colOff>
          <xdr:row>23</xdr:row>
          <xdr:rowOff>0</xdr:rowOff>
        </xdr:to>
        <xdr:sp macro="" textlink="">
          <xdr:nvSpPr>
            <xdr:cNvPr id="265232" name="Check Box 16" hidden="1">
              <a:extLst>
                <a:ext uri="{63B3BB69-23CF-44E3-9099-C40C66FF867C}">
                  <a14:compatExt spid="_x0000_s26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9</xdr:row>
          <xdr:rowOff>28575</xdr:rowOff>
        </xdr:from>
        <xdr:to>
          <xdr:col>6</xdr:col>
          <xdr:colOff>0</xdr:colOff>
          <xdr:row>9</xdr:row>
          <xdr:rowOff>171450</xdr:rowOff>
        </xdr:to>
        <xdr:sp macro="" textlink="">
          <xdr:nvSpPr>
            <xdr:cNvPr id="265244" name="Check Box 28" hidden="1">
              <a:extLst>
                <a:ext uri="{63B3BB69-23CF-44E3-9099-C40C66FF867C}">
                  <a14:compatExt spid="_x0000_s26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65245" name="Drop Down 29" hidden="1">
              <a:extLst>
                <a:ext uri="{63B3BB69-23CF-44E3-9099-C40C66FF867C}">
                  <a14:compatExt spid="_x0000_s26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5246" name="Drop Down 30" hidden="1">
              <a:extLst>
                <a:ext uri="{63B3BB69-23CF-44E3-9099-C40C66FF867C}">
                  <a14:compatExt spid="_x0000_s26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5247" name="Drop Down 31" hidden="1">
              <a:extLst>
                <a:ext uri="{63B3BB69-23CF-44E3-9099-C40C66FF867C}">
                  <a14:compatExt spid="_x0000_s26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5248" name="Drop Down 32" hidden="1">
              <a:extLst>
                <a:ext uri="{63B3BB69-23CF-44E3-9099-C40C66FF867C}">
                  <a14:compatExt spid="_x0000_s26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5249" name="Drop Down 33" hidden="1">
              <a:extLst>
                <a:ext uri="{63B3BB69-23CF-44E3-9099-C40C66FF867C}">
                  <a14:compatExt spid="_x0000_s26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5250" name="Drop Down 34" hidden="1">
              <a:extLst>
                <a:ext uri="{63B3BB69-23CF-44E3-9099-C40C66FF867C}">
                  <a14:compatExt spid="_x0000_s26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5251" name="Drop Down 35" hidden="1">
              <a:extLst>
                <a:ext uri="{63B3BB69-23CF-44E3-9099-C40C66FF867C}">
                  <a14:compatExt spid="_x0000_s26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5252" name="Drop Down 36" hidden="1">
              <a:extLst>
                <a:ext uri="{63B3BB69-23CF-44E3-9099-C40C66FF867C}">
                  <a14:compatExt spid="_x0000_s26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5253" name="Drop Down 37" hidden="1">
              <a:extLst>
                <a:ext uri="{63B3BB69-23CF-44E3-9099-C40C66FF867C}">
                  <a14:compatExt spid="_x0000_s26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5254" name="Drop Down 38" hidden="1">
              <a:extLst>
                <a:ext uri="{63B3BB69-23CF-44E3-9099-C40C66FF867C}">
                  <a14:compatExt spid="_x0000_s26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5255" name="Drop Down 39" hidden="1">
              <a:extLst>
                <a:ext uri="{63B3BB69-23CF-44E3-9099-C40C66FF867C}">
                  <a14:compatExt spid="_x0000_s26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342900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9675"/>
          <a:ext cx="2657475" cy="2095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103517</xdr:colOff>
      <xdr:row>2</xdr:row>
      <xdr:rowOff>1</xdr:rowOff>
    </xdr:from>
    <xdr:to>
      <xdr:col>12</xdr:col>
      <xdr:colOff>310551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89917" y="232914"/>
          <a:ext cx="1630392" cy="37093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5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47625</xdr:colOff>
      <xdr:row>0</xdr:row>
      <xdr:rowOff>333375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13335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4</xdr:col>
      <xdr:colOff>180975</xdr:colOff>
      <xdr:row>0</xdr:row>
      <xdr:rowOff>0</xdr:rowOff>
    </xdr:from>
    <xdr:to>
      <xdr:col>6</xdr:col>
      <xdr:colOff>200025</xdr:colOff>
      <xdr:row>0</xdr:row>
      <xdr:rowOff>314325</xdr:rowOff>
    </xdr:to>
    <xdr:sp macro="" textlink="">
      <xdr:nvSpPr>
        <xdr:cNvPr id="6" name="Textfeld 5">
          <a:hlinkClick xmlns:r="http://schemas.openxmlformats.org/officeDocument/2006/relationships" r:id="rId2"/>
        </xdr:cNvPr>
        <xdr:cNvSpPr txBox="1"/>
      </xdr:nvSpPr>
      <xdr:spPr>
        <a:xfrm>
          <a:off x="1666875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10</xdr:col>
      <xdr:colOff>133351</xdr:colOff>
      <xdr:row>0</xdr:row>
      <xdr:rowOff>342900</xdr:rowOff>
    </xdr:to>
    <xdr:sp macro="" textlink="">
      <xdr:nvSpPr>
        <xdr:cNvPr id="7" name="Textfeld 6">
          <a:hlinkClick xmlns:r="http://schemas.openxmlformats.org/officeDocument/2006/relationships" r:id="rId3"/>
        </xdr:cNvPr>
        <xdr:cNvSpPr txBox="1"/>
      </xdr:nvSpPr>
      <xdr:spPr>
        <a:xfrm>
          <a:off x="3933825" y="0"/>
          <a:ext cx="1495426" cy="3429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13</xdr:col>
      <xdr:colOff>57150</xdr:colOff>
      <xdr:row>0</xdr:row>
      <xdr:rowOff>314325</xdr:rowOff>
    </xdr:to>
    <xdr:sp macro="" textlink="">
      <xdr:nvSpPr>
        <xdr:cNvPr id="8" name="Textfeld 7">
          <a:hlinkClick xmlns:r="http://schemas.openxmlformats.org/officeDocument/2006/relationships" r:id="rId4"/>
        </xdr:cNvPr>
        <xdr:cNvSpPr txBox="1"/>
      </xdr:nvSpPr>
      <xdr:spPr>
        <a:xfrm>
          <a:off x="600075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/>
  </xdr:twoCellAnchor>
  <xdr:twoCellAnchor>
    <xdr:from>
      <xdr:col>7</xdr:col>
      <xdr:colOff>714374</xdr:colOff>
      <xdr:row>0</xdr:row>
      <xdr:rowOff>428625</xdr:rowOff>
    </xdr:from>
    <xdr:to>
      <xdr:col>10</xdr:col>
      <xdr:colOff>171449</xdr:colOff>
      <xdr:row>1</xdr:row>
      <xdr:rowOff>257175</xdr:rowOff>
    </xdr:to>
    <xdr:sp macro="" textlink="">
      <xdr:nvSpPr>
        <xdr:cNvPr id="9" name="Textfeld 8">
          <a:hlinkClick xmlns:r="http://schemas.openxmlformats.org/officeDocument/2006/relationships" r:id="rId5"/>
        </xdr:cNvPr>
        <xdr:cNvSpPr txBox="1"/>
      </xdr:nvSpPr>
      <xdr:spPr>
        <a:xfrm>
          <a:off x="3933824" y="428625"/>
          <a:ext cx="1533525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  <xdr:twoCellAnchor>
    <xdr:from>
      <xdr:col>11</xdr:col>
      <xdr:colOff>0</xdr:colOff>
      <xdr:row>0</xdr:row>
      <xdr:rowOff>571500</xdr:rowOff>
    </xdr:from>
    <xdr:to>
      <xdr:col>13</xdr:col>
      <xdr:colOff>95250</xdr:colOff>
      <xdr:row>1</xdr:row>
      <xdr:rowOff>238125</xdr:rowOff>
    </xdr:to>
    <xdr:sp macro="" textlink="">
      <xdr:nvSpPr>
        <xdr:cNvPr id="10" name="Textfeld 9">
          <a:hlinkClick xmlns:r="http://schemas.openxmlformats.org/officeDocument/2006/relationships" r:id="rId6"/>
        </xdr:cNvPr>
        <xdr:cNvSpPr txBox="1"/>
      </xdr:nvSpPr>
      <xdr:spPr>
        <a:xfrm>
          <a:off x="6000750" y="571500"/>
          <a:ext cx="1276350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66242" name="Check Box 2" hidden="1">
              <a:extLst>
                <a:ext uri="{63B3BB69-23CF-44E3-9099-C40C66FF867C}">
                  <a14:compatExt spid="_x0000_s26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266243" name="Check Box 3" hidden="1">
              <a:extLst>
                <a:ext uri="{63B3BB69-23CF-44E3-9099-C40C66FF867C}">
                  <a14:compatExt spid="_x0000_s26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266244" name="Check Box 4" hidden="1">
              <a:extLst>
                <a:ext uri="{63B3BB69-23CF-44E3-9099-C40C66FF867C}">
                  <a14:compatExt spid="_x0000_s26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38100</xdr:rowOff>
        </xdr:from>
        <xdr:to>
          <xdr:col>11</xdr:col>
          <xdr:colOff>209550</xdr:colOff>
          <xdr:row>22</xdr:row>
          <xdr:rowOff>0</xdr:rowOff>
        </xdr:to>
        <xdr:sp macro="" textlink="">
          <xdr:nvSpPr>
            <xdr:cNvPr id="266245" name="Check Box 5" hidden="1">
              <a:extLst>
                <a:ext uri="{63B3BB69-23CF-44E3-9099-C40C66FF867C}">
                  <a14:compatExt spid="_x0000_s26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28575</xdr:rowOff>
        </xdr:from>
        <xdr:to>
          <xdr:col>11</xdr:col>
          <xdr:colOff>209550</xdr:colOff>
          <xdr:row>23</xdr:row>
          <xdr:rowOff>0</xdr:rowOff>
        </xdr:to>
        <xdr:sp macro="" textlink="">
          <xdr:nvSpPr>
            <xdr:cNvPr id="266246" name="Check Box 6" hidden="1">
              <a:extLst>
                <a:ext uri="{63B3BB69-23CF-44E3-9099-C40C66FF867C}">
                  <a14:compatExt spid="_x0000_s26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6247" name="Check Box 7" hidden="1">
              <a:extLst>
                <a:ext uri="{63B3BB69-23CF-44E3-9099-C40C66FF867C}">
                  <a14:compatExt spid="_x0000_s26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9525</xdr:rowOff>
        </xdr:from>
        <xdr:to>
          <xdr:col>13</xdr:col>
          <xdr:colOff>209550</xdr:colOff>
          <xdr:row>19</xdr:row>
          <xdr:rowOff>180975</xdr:rowOff>
        </xdr:to>
        <xdr:sp macro="" textlink="">
          <xdr:nvSpPr>
            <xdr:cNvPr id="266248" name="Check Box 8" hidden="1">
              <a:extLst>
                <a:ext uri="{63B3BB69-23CF-44E3-9099-C40C66FF867C}">
                  <a14:compatExt spid="_x0000_s26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6249" name="Check Box 9" hidden="1">
              <a:extLst>
                <a:ext uri="{63B3BB69-23CF-44E3-9099-C40C66FF867C}">
                  <a14:compatExt spid="_x0000_s26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6250" name="Check Box 10" hidden="1">
              <a:extLst>
                <a:ext uri="{63B3BB69-23CF-44E3-9099-C40C66FF867C}">
                  <a14:compatExt spid="_x0000_s266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6251" name="Check Box 11" hidden="1">
              <a:extLst>
                <a:ext uri="{63B3BB69-23CF-44E3-9099-C40C66FF867C}">
                  <a14:compatExt spid="_x0000_s266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6252" name="Check Box 12" hidden="1">
              <a:extLst>
                <a:ext uri="{63B3BB69-23CF-44E3-9099-C40C66FF867C}">
                  <a14:compatExt spid="_x0000_s266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6253" name="Check Box 13" hidden="1">
              <a:extLst>
                <a:ext uri="{63B3BB69-23CF-44E3-9099-C40C66FF867C}">
                  <a14:compatExt spid="_x0000_s266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6254" name="Check Box 14" hidden="1">
              <a:extLst>
                <a:ext uri="{63B3BB69-23CF-44E3-9099-C40C66FF867C}">
                  <a14:compatExt spid="_x0000_s266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6255" name="Check Box 15" hidden="1">
              <a:extLst>
                <a:ext uri="{63B3BB69-23CF-44E3-9099-C40C66FF867C}">
                  <a14:compatExt spid="_x0000_s266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171450</xdr:rowOff>
        </xdr:to>
        <xdr:sp macro="" textlink="">
          <xdr:nvSpPr>
            <xdr:cNvPr id="266256" name="Check Box 16" hidden="1">
              <a:extLst>
                <a:ext uri="{63B3BB69-23CF-44E3-9099-C40C66FF867C}">
                  <a14:compatExt spid="_x0000_s266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266700</xdr:colOff>
          <xdr:row>9</xdr:row>
          <xdr:rowOff>38100</xdr:rowOff>
        </xdr:from>
        <xdr:to>
          <xdr:col>6</xdr:col>
          <xdr:colOff>19050</xdr:colOff>
          <xdr:row>9</xdr:row>
          <xdr:rowOff>180975</xdr:rowOff>
        </xdr:to>
        <xdr:sp macro="" textlink="">
          <xdr:nvSpPr>
            <xdr:cNvPr id="266268" name="Check Box 28" hidden="1">
              <a:extLst>
                <a:ext uri="{63B3BB69-23CF-44E3-9099-C40C66FF867C}">
                  <a14:compatExt spid="_x0000_s266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6</xdr:col>
          <xdr:colOff>685800</xdr:colOff>
          <xdr:row>45</xdr:row>
          <xdr:rowOff>0</xdr:rowOff>
        </xdr:to>
        <xdr:sp macro="" textlink="">
          <xdr:nvSpPr>
            <xdr:cNvPr id="266273" name="Drop Down 33" hidden="1">
              <a:extLst>
                <a:ext uri="{63B3BB69-23CF-44E3-9099-C40C66FF867C}">
                  <a14:compatExt spid="_x0000_s266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266279" name="Drop Down 39" hidden="1">
              <a:extLst>
                <a:ext uri="{63B3BB69-23CF-44E3-9099-C40C66FF867C}">
                  <a14:compatExt spid="_x0000_s266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19050</xdr:rowOff>
        </xdr:from>
        <xdr:to>
          <xdr:col>7</xdr:col>
          <xdr:colOff>0</xdr:colOff>
          <xdr:row>47</xdr:row>
          <xdr:rowOff>19050</xdr:rowOff>
        </xdr:to>
        <xdr:sp macro="" textlink="">
          <xdr:nvSpPr>
            <xdr:cNvPr id="266280" name="Drop Down 40" hidden="1">
              <a:extLst>
                <a:ext uri="{63B3BB69-23CF-44E3-9099-C40C66FF867C}">
                  <a14:compatExt spid="_x0000_s266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266282" name="Drop Down 42" hidden="1">
              <a:extLst>
                <a:ext uri="{63B3BB69-23CF-44E3-9099-C40C66FF867C}">
                  <a14:compatExt spid="_x0000_s266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266284" name="Drop Down 44" hidden="1">
              <a:extLst>
                <a:ext uri="{63B3BB69-23CF-44E3-9099-C40C66FF867C}">
                  <a14:compatExt spid="_x0000_s266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266285" name="Drop Down 45" hidden="1">
              <a:extLst>
                <a:ext uri="{63B3BB69-23CF-44E3-9099-C40C66FF867C}">
                  <a14:compatExt spid="_x0000_s266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266286" name="Drop Down 46" hidden="1">
              <a:extLst>
                <a:ext uri="{63B3BB69-23CF-44E3-9099-C40C66FF867C}">
                  <a14:compatExt spid="_x0000_s266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266287" name="Drop Down 47" hidden="1">
              <a:extLst>
                <a:ext uri="{63B3BB69-23CF-44E3-9099-C40C66FF867C}">
                  <a14:compatExt spid="_x0000_s266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266288" name="Drop Down 48" hidden="1">
              <a:extLst>
                <a:ext uri="{63B3BB69-23CF-44E3-9099-C40C66FF867C}">
                  <a14:compatExt spid="_x0000_s266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266290" name="Drop Down 50" hidden="1">
              <a:extLst>
                <a:ext uri="{63B3BB69-23CF-44E3-9099-C40C66FF867C}">
                  <a14:compatExt spid="_x0000_s266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266291" name="Drop Down 51" hidden="1">
              <a:extLst>
                <a:ext uri="{63B3BB69-23CF-44E3-9099-C40C66FF867C}">
                  <a14:compatExt spid="_x0000_s266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67266" name="Check Box 2" hidden="1">
              <a:extLst>
                <a:ext uri="{63B3BB69-23CF-44E3-9099-C40C66FF867C}">
                  <a14:compatExt spid="_x0000_s26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0</xdr:rowOff>
        </xdr:from>
        <xdr:to>
          <xdr:col>11</xdr:col>
          <xdr:colOff>209550</xdr:colOff>
          <xdr:row>19</xdr:row>
          <xdr:rowOff>171450</xdr:rowOff>
        </xdr:to>
        <xdr:sp macro="" textlink="">
          <xdr:nvSpPr>
            <xdr:cNvPr id="267267" name="Check Box 3" hidden="1">
              <a:extLst>
                <a:ext uri="{63B3BB69-23CF-44E3-9099-C40C66FF867C}">
                  <a14:compatExt spid="_x0000_s267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67268" name="Check Box 4" hidden="1">
              <a:extLst>
                <a:ext uri="{63B3BB69-23CF-44E3-9099-C40C66FF867C}">
                  <a14:compatExt spid="_x0000_s267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67269" name="Check Box 5" hidden="1">
              <a:extLst>
                <a:ext uri="{63B3BB69-23CF-44E3-9099-C40C66FF867C}">
                  <a14:compatExt spid="_x0000_s26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7270" name="Check Box 6" hidden="1">
              <a:extLst>
                <a:ext uri="{63B3BB69-23CF-44E3-9099-C40C66FF867C}">
                  <a14:compatExt spid="_x0000_s267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7271" name="Check Box 7" hidden="1">
              <a:extLst>
                <a:ext uri="{63B3BB69-23CF-44E3-9099-C40C66FF867C}">
                  <a14:compatExt spid="_x0000_s267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7272" name="Check Box 8" hidden="1">
              <a:extLst>
                <a:ext uri="{63B3BB69-23CF-44E3-9099-C40C66FF867C}">
                  <a14:compatExt spid="_x0000_s267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7273" name="Check Box 9" hidden="1">
              <a:extLst>
                <a:ext uri="{63B3BB69-23CF-44E3-9099-C40C66FF867C}">
                  <a14:compatExt spid="_x0000_s267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7274" name="Check Box 10" hidden="1">
              <a:extLst>
                <a:ext uri="{63B3BB69-23CF-44E3-9099-C40C66FF867C}">
                  <a14:compatExt spid="_x0000_s267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7275" name="Check Box 11" hidden="1">
              <a:extLst>
                <a:ext uri="{63B3BB69-23CF-44E3-9099-C40C66FF867C}">
                  <a14:compatExt spid="_x0000_s267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7276" name="Check Box 12" hidden="1">
              <a:extLst>
                <a:ext uri="{63B3BB69-23CF-44E3-9099-C40C66FF867C}">
                  <a14:compatExt spid="_x0000_s267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7277" name="Check Box 13" hidden="1">
              <a:extLst>
                <a:ext uri="{63B3BB69-23CF-44E3-9099-C40C66FF867C}">
                  <a14:compatExt spid="_x0000_s267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7278" name="Check Box 14" hidden="1">
              <a:extLst>
                <a:ext uri="{63B3BB69-23CF-44E3-9099-C40C66FF867C}">
                  <a14:compatExt spid="_x0000_s267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7279" name="Check Box 15" hidden="1">
              <a:extLst>
                <a:ext uri="{63B3BB69-23CF-44E3-9099-C40C66FF867C}">
                  <a14:compatExt spid="_x0000_s267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171450</xdr:rowOff>
        </xdr:to>
        <xdr:sp macro="" textlink="">
          <xdr:nvSpPr>
            <xdr:cNvPr id="267280" name="Check Box 16" hidden="1">
              <a:extLst>
                <a:ext uri="{63B3BB69-23CF-44E3-9099-C40C66FF867C}">
                  <a14:compatExt spid="_x0000_s267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9525</xdr:rowOff>
        </xdr:from>
        <xdr:to>
          <xdr:col>5</xdr:col>
          <xdr:colOff>457200</xdr:colOff>
          <xdr:row>9</xdr:row>
          <xdr:rowOff>152400</xdr:rowOff>
        </xdr:to>
        <xdr:sp macro="" textlink="">
          <xdr:nvSpPr>
            <xdr:cNvPr id="267292" name="Check Box 28" hidden="1">
              <a:extLst>
                <a:ext uri="{63B3BB69-23CF-44E3-9099-C40C66FF867C}">
                  <a14:compatExt spid="_x0000_s267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6</xdr:col>
          <xdr:colOff>685800</xdr:colOff>
          <xdr:row>45</xdr:row>
          <xdr:rowOff>9525</xdr:rowOff>
        </xdr:to>
        <xdr:sp macro="" textlink="">
          <xdr:nvSpPr>
            <xdr:cNvPr id="267303" name="Drop Down 39" hidden="1">
              <a:extLst>
                <a:ext uri="{63B3BB69-23CF-44E3-9099-C40C66FF867C}">
                  <a14:compatExt spid="_x0000_s267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6</xdr:col>
          <xdr:colOff>685800</xdr:colOff>
          <xdr:row>46</xdr:row>
          <xdr:rowOff>9525</xdr:rowOff>
        </xdr:to>
        <xdr:sp macro="" textlink="">
          <xdr:nvSpPr>
            <xdr:cNvPr id="267304" name="Drop Down 40" hidden="1">
              <a:extLst>
                <a:ext uri="{63B3BB69-23CF-44E3-9099-C40C66FF867C}">
                  <a14:compatExt spid="_x0000_s267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180975</xdr:rowOff>
        </xdr:from>
        <xdr:to>
          <xdr:col>6</xdr:col>
          <xdr:colOff>685800</xdr:colOff>
          <xdr:row>47</xdr:row>
          <xdr:rowOff>0</xdr:rowOff>
        </xdr:to>
        <xdr:sp macro="" textlink="">
          <xdr:nvSpPr>
            <xdr:cNvPr id="267305" name="Drop Down 41" hidden="1">
              <a:extLst>
                <a:ext uri="{63B3BB69-23CF-44E3-9099-C40C66FF867C}">
                  <a14:compatExt spid="_x0000_s267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180975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267306" name="Drop Down 42" hidden="1">
              <a:extLst>
                <a:ext uri="{63B3BB69-23CF-44E3-9099-C40C66FF867C}">
                  <a14:compatExt spid="_x0000_s267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6</xdr:col>
          <xdr:colOff>685800</xdr:colOff>
          <xdr:row>49</xdr:row>
          <xdr:rowOff>9525</xdr:rowOff>
        </xdr:to>
        <xdr:sp macro="" textlink="">
          <xdr:nvSpPr>
            <xdr:cNvPr id="267307" name="Drop Down 43" hidden="1">
              <a:extLst>
                <a:ext uri="{63B3BB69-23CF-44E3-9099-C40C66FF867C}">
                  <a14:compatExt spid="_x0000_s267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9525</xdr:rowOff>
        </xdr:to>
        <xdr:sp macro="" textlink="">
          <xdr:nvSpPr>
            <xdr:cNvPr id="267308" name="Drop Down 44" hidden="1">
              <a:extLst>
                <a:ext uri="{63B3BB69-23CF-44E3-9099-C40C66FF867C}">
                  <a14:compatExt spid="_x0000_s267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6</xdr:col>
          <xdr:colOff>685800</xdr:colOff>
          <xdr:row>51</xdr:row>
          <xdr:rowOff>9525</xdr:rowOff>
        </xdr:to>
        <xdr:sp macro="" textlink="">
          <xdr:nvSpPr>
            <xdr:cNvPr id="267309" name="Drop Down 45" hidden="1">
              <a:extLst>
                <a:ext uri="{63B3BB69-23CF-44E3-9099-C40C66FF867C}">
                  <a14:compatExt spid="_x0000_s267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9525</xdr:rowOff>
        </xdr:to>
        <xdr:sp macro="" textlink="">
          <xdr:nvSpPr>
            <xdr:cNvPr id="267310" name="Drop Down 46" hidden="1">
              <a:extLst>
                <a:ext uri="{63B3BB69-23CF-44E3-9099-C40C66FF867C}">
                  <a14:compatExt spid="_x0000_s267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6</xdr:col>
          <xdr:colOff>685800</xdr:colOff>
          <xdr:row>53</xdr:row>
          <xdr:rowOff>9525</xdr:rowOff>
        </xdr:to>
        <xdr:sp macro="" textlink="">
          <xdr:nvSpPr>
            <xdr:cNvPr id="267311" name="Drop Down 47" hidden="1">
              <a:extLst>
                <a:ext uri="{63B3BB69-23CF-44E3-9099-C40C66FF867C}">
                  <a14:compatExt spid="_x0000_s267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9525</xdr:rowOff>
        </xdr:to>
        <xdr:sp macro="" textlink="">
          <xdr:nvSpPr>
            <xdr:cNvPr id="267312" name="Drop Down 48" hidden="1">
              <a:extLst>
                <a:ext uri="{63B3BB69-23CF-44E3-9099-C40C66FF867C}">
                  <a14:compatExt spid="_x0000_s267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304800</xdr:colOff>
      <xdr:row>1</xdr:row>
      <xdr:rowOff>19049</xdr:rowOff>
    </xdr:to>
    <xdr:sp macro="" textlink="">
      <xdr:nvSpPr>
        <xdr:cNvPr id="2" name="Textfeld 1">
          <a:hlinkClick xmlns:r="http://schemas.openxmlformats.org/officeDocument/2006/relationships" r:id="rId1"/>
        </xdr:cNvPr>
        <xdr:cNvSpPr txBox="1"/>
      </xdr:nvSpPr>
      <xdr:spPr>
        <a:xfrm>
          <a:off x="762000" y="0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5</xdr:col>
      <xdr:colOff>581025</xdr:colOff>
      <xdr:row>0</xdr:row>
      <xdr:rowOff>0</xdr:rowOff>
    </xdr:from>
    <xdr:to>
      <xdr:col>6</xdr:col>
      <xdr:colOff>714375</xdr:colOff>
      <xdr:row>1</xdr:row>
      <xdr:rowOff>19049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4391025" y="0"/>
          <a:ext cx="89535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zurück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8</xdr:col>
      <xdr:colOff>619125</xdr:colOff>
      <xdr:row>1</xdr:row>
      <xdr:rowOff>19049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5705475" y="0"/>
          <a:ext cx="100965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weiter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9112926" cy="5620426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0.8795</cdr:y>
    </cdr:from>
    <cdr:to>
      <cdr:x>0.571</cdr:x>
      <cdr:y>0.999</cdr:y>
    </cdr:to>
    <cdr:sp macro="" textlink="">
      <cdr:nvSpPr>
        <cdr:cNvPr id="62472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950757"/>
          <a:ext cx="5207508" cy="691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1) </a:t>
          </a:r>
          <a:r>
            <a:rPr lang="de-DE" sz="800" b="0" i="0" u="sng" strike="noStrike" baseline="0">
              <a:solidFill>
                <a:srgbClr val="000000"/>
              </a:solidFill>
              <a:latin typeface="Arial"/>
              <a:cs typeface="Arial"/>
            </a:rPr>
            <a:t>Vollkosten nach Silo, vor Fermenter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inkl. Lohnansatz (12,50 €), Aussaat u. Ernte überbetrieblich, Bruttoerträge auf dem Feld, Nettoerträge im Silo! nach Abzug von  8% Feld- und 5% Konservierungsverlusten</a:t>
          </a:r>
        </a:p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Prämien aus Zahlungsansprüchen 285 €/ha Acker eingerechnet in den Kosten je t TM </a:t>
          </a:r>
        </a:p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Düngungskosten: Nährstofflieferung über Güllerücklieferung (Ausbringung überbetrieblich 3,50 €/m</a:t>
          </a:r>
          <a:r>
            <a:rPr lang="de-DE" sz="800" b="0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netto in Kosten Lohnmaschinen/Lohnarbeit), 30% N-Verluste ausgeglichen über  mineral. Düngung</a:t>
          </a:r>
        </a:p>
      </cdr:txBody>
    </cdr:sp>
  </cdr:relSizeAnchor>
  <cdr:relSizeAnchor xmlns:cdr="http://schemas.openxmlformats.org/drawingml/2006/chartDrawing">
    <cdr:from>
      <cdr:x>0.126</cdr:x>
      <cdr:y>0.15975</cdr:y>
    </cdr:from>
    <cdr:to>
      <cdr:x>0.169</cdr:x>
      <cdr:y>0.20375</cdr:y>
    </cdr:to>
    <cdr:sp macro="" textlink="'28)Silomais Biogas ex Silo (b)'!$M$75">
      <cdr:nvSpPr>
        <cdr:cNvPr id="62474" name="Text Box 1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186434" y="865606"/>
          <a:ext cx="388620" cy="24005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89F25FDB-7A69-40F7-906F-A5594624FAC6}" type="TxLink"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lnSpc>
                <a:spcPts val="1100"/>
              </a:lnSpc>
              <a:defRPr sz="1000"/>
            </a:pPr>
            <a:t>219 €/t TM</a:t>
          </a:fld>
          <a:endParaRPr lang="de-DE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0.27775</cdr:x>
      <cdr:y>0.21975</cdr:y>
    </cdr:from>
    <cdr:to>
      <cdr:x>0.32175</cdr:x>
      <cdr:y>0.2645</cdr:y>
    </cdr:to>
    <cdr:sp macro="" textlink="'28)Silomais Biogas ex Silo (b)'!$N$75">
      <cdr:nvSpPr>
        <cdr:cNvPr id="62475" name="Text Box 1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58034" y="1197445"/>
          <a:ext cx="397764" cy="25417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3EF3C8B3-BA84-4B80-A133-4096F49C86E2}" type="TxLink"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lnSpc>
                <a:spcPts val="1100"/>
              </a:lnSpc>
              <a:defRPr sz="1000"/>
            </a:pPr>
            <a:t>191 €/t TM</a:t>
          </a:fld>
          <a:endParaRPr lang="de-DE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0.4395</cdr:x>
      <cdr:y>0.28775</cdr:y>
    </cdr:from>
    <cdr:to>
      <cdr:x>0.48625</cdr:x>
      <cdr:y>0.33375</cdr:y>
    </cdr:to>
    <cdr:sp macro="" textlink="'28)Silomais Biogas ex Silo (b)'!$O$75">
      <cdr:nvSpPr>
        <cdr:cNvPr id="62476" name="Text Box 1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21074" y="1582943"/>
          <a:ext cx="420624" cy="2598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9891B825-B81B-4C07-868A-3395A0686EAA}" type="TxLink"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lnSpc>
                <a:spcPts val="1100"/>
              </a:lnSpc>
              <a:defRPr sz="1000"/>
            </a:pPr>
            <a:t>172 €/t TM</a:t>
          </a:fld>
          <a:endParaRPr lang="de-DE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0.51825</cdr:x>
      <cdr:y>0.121</cdr:y>
    </cdr:from>
    <cdr:to>
      <cdr:x>0.678</cdr:x>
      <cdr:y>0.16925</cdr:y>
    </cdr:to>
    <cdr:sp macro="" textlink="">
      <cdr:nvSpPr>
        <cdr:cNvPr id="62477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9734" y="655206"/>
          <a:ext cx="1456182" cy="26123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Vollkosten (€/t TM)</a:t>
          </a:r>
        </a:p>
      </cdr:txBody>
    </cdr:sp>
  </cdr:relSizeAnchor>
  <cdr:relSizeAnchor xmlns:cdr="http://schemas.openxmlformats.org/drawingml/2006/chartDrawing">
    <cdr:from>
      <cdr:x>1.09625E-7</cdr:x>
      <cdr:y>0.05128</cdr:y>
    </cdr:from>
    <cdr:to>
      <cdr:x>0.27565</cdr:x>
      <cdr:y>0.09904</cdr:y>
    </cdr:to>
    <cdr:sp macro="" textlink="'Preise-Stammdaten'!$W$8">
      <cdr:nvSpPr>
        <cdr:cNvPr id="7" name="Abgerundetes Rechteck 6"/>
        <cdr:cNvSpPr/>
      </cdr:nvSpPr>
      <cdr:spPr bwMode="auto">
        <a:xfrm xmlns:a="http://schemas.openxmlformats.org/drawingml/2006/main">
          <a:off x="1" y="289403"/>
          <a:ext cx="2514508" cy="26957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C62DFE4-A33C-4ABC-BD97-73D2513821B0}" type="TxLink">
            <a:rPr lang="en-US" sz="1000" b="0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0.78826</cdr:x>
      <cdr:y>0.06466</cdr:y>
    </cdr:from>
    <cdr:to>
      <cdr:x>0.98835</cdr:x>
      <cdr:y>0.14229</cdr:y>
    </cdr:to>
    <cdr:sp macro="" textlink="">
      <cdr:nvSpPr>
        <cdr:cNvPr id="8" name="Textfeld 2">
          <a:hlinkClick xmlns:a="http://schemas.openxmlformats.org/drawingml/2006/main" xmlns:r="http://schemas.openxmlformats.org/officeDocument/2006/relationships" r:id="rId1"/>
        </cdr:cNvPr>
        <cdr:cNvSpPr txBox="1"/>
      </cdr:nvSpPr>
      <cdr:spPr>
        <a:xfrm xmlns:a="http://schemas.openxmlformats.org/drawingml/2006/main">
          <a:off x="7204683" y="364922"/>
          <a:ext cx="1828800" cy="43814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scene3d xmlns:a="http://schemas.openxmlformats.org/drawingml/2006/main">
          <a:camera prst="orthographicFront"/>
          <a:lightRig rig="threePt" dir="t"/>
        </a:scene3d>
        <a:sp3d xmlns:a="http://schemas.openxmlformats.org/drawingml/2006/main">
          <a:bevelT/>
        </a:sp3d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100" b="1"/>
            <a:t>Inhaltsverzeichnis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1319841</xdr:colOff>
      <xdr:row>1</xdr:row>
      <xdr:rowOff>43132</xdr:rowOff>
    </xdr:from>
    <xdr:to>
      <xdr:col>5</xdr:col>
      <xdr:colOff>832449</xdr:colOff>
      <xdr:row>1</xdr:row>
      <xdr:rowOff>310550</xdr:rowOff>
    </xdr:to>
    <xdr:sp macro="" textlink="'Preise-Stammdaten'!W8">
      <xdr:nvSpPr>
        <xdr:cNvPr id="3" name="Abgerundetes Rechteck 2"/>
        <xdr:cNvSpPr/>
      </xdr:nvSpPr>
      <xdr:spPr bwMode="auto">
        <a:xfrm>
          <a:off x="5305245" y="310551"/>
          <a:ext cx="2695755" cy="26741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8</xdr:col>
      <xdr:colOff>304800</xdr:colOff>
      <xdr:row>1</xdr:row>
      <xdr:rowOff>180974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7991475" y="0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0"/>
    <xdr:ext cx="9120909" cy="5628409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0.06444</cdr:y>
    </cdr:from>
    <cdr:to>
      <cdr:x>0.21674</cdr:x>
      <cdr:y>0.12652</cdr:y>
    </cdr:to>
    <cdr:sp macro="" textlink="'Preise-Stammdaten'!$W$8">
      <cdr:nvSpPr>
        <cdr:cNvPr id="2" name="Abgerundetes Rechteck 1"/>
        <cdr:cNvSpPr/>
      </cdr:nvSpPr>
      <cdr:spPr bwMode="auto">
        <a:xfrm xmlns:a="http://schemas.openxmlformats.org/drawingml/2006/main">
          <a:off x="0" y="364488"/>
          <a:ext cx="1980154" cy="3511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A5FF18B-D5CD-43D4-9AF8-7900CA93DAFF}" type="TxLink">
            <a:rPr lang="en-US" sz="900" b="0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2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0.85106</cdr:x>
      <cdr:y>0.01474</cdr:y>
    </cdr:from>
    <cdr:to>
      <cdr:x>0.99291</cdr:x>
      <cdr:y>0.06513</cdr:y>
    </cdr:to>
    <cdr:sp macro="" textlink="">
      <cdr:nvSpPr>
        <cdr:cNvPr id="3" name="Textfeld 2">
          <a:hlinkClick xmlns:a="http://schemas.openxmlformats.org/drawingml/2006/main" xmlns:r="http://schemas.openxmlformats.org/officeDocument/2006/relationships" r:id="rId1"/>
        </cdr:cNvPr>
        <cdr:cNvSpPr txBox="1"/>
      </cdr:nvSpPr>
      <cdr:spPr>
        <a:xfrm xmlns:a="http://schemas.openxmlformats.org/drawingml/2006/main">
          <a:off x="7793182" y="83272"/>
          <a:ext cx="1298863" cy="2847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scene3d xmlns:a="http://schemas.openxmlformats.org/drawingml/2006/main">
          <a:camera prst="orthographicFront"/>
          <a:lightRig rig="threePt" dir="t"/>
        </a:scene3d>
        <a:sp3d xmlns:a="http://schemas.openxmlformats.org/drawingml/2006/main">
          <a:bevelT/>
        </a:sp3d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100" b="1"/>
            <a:t>Inhaltsverzeichnis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181581</xdr:colOff>
      <xdr:row>47</xdr:row>
      <xdr:rowOff>147025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25" y="7375585"/>
          <a:ext cx="7772826" cy="686700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26</xdr:col>
      <xdr:colOff>414631</xdr:colOff>
      <xdr:row>17</xdr:row>
      <xdr:rowOff>77732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0649" y="7539487"/>
          <a:ext cx="10283250" cy="17167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</xdr:col>
      <xdr:colOff>304800</xdr:colOff>
      <xdr:row>2</xdr:row>
      <xdr:rowOff>114299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171450" y="0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1076325</xdr:colOff>
      <xdr:row>1</xdr:row>
      <xdr:rowOff>152400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3335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2</xdr:col>
      <xdr:colOff>1476375</xdr:colOff>
      <xdr:row>0</xdr:row>
      <xdr:rowOff>0</xdr:rowOff>
    </xdr:from>
    <xdr:to>
      <xdr:col>2</xdr:col>
      <xdr:colOff>2714625</xdr:colOff>
      <xdr:row>1</xdr:row>
      <xdr:rowOff>123825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1933575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7</xdr:col>
      <xdr:colOff>371476</xdr:colOff>
      <xdr:row>1</xdr:row>
      <xdr:rowOff>133350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5210175" y="0"/>
          <a:ext cx="1495426" cy="3238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66675</xdr:colOff>
      <xdr:row>1</xdr:row>
      <xdr:rowOff>123825</xdr:rowOff>
    </xdr:to>
    <xdr:sp macro="" textlink="">
      <xdr:nvSpPr>
        <xdr:cNvPr id="6" name="Textfeld 5">
          <a:hlinkClick xmlns:r="http://schemas.openxmlformats.org/officeDocument/2006/relationships" r:id="rId4"/>
        </xdr:cNvPr>
        <xdr:cNvSpPr txBox="1"/>
      </xdr:nvSpPr>
      <xdr:spPr>
        <a:xfrm>
          <a:off x="7067550" y="0"/>
          <a:ext cx="140970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/>
  </xdr:twoCellAnchor>
  <xdr:twoCellAnchor>
    <xdr:from>
      <xdr:col>5</xdr:col>
      <xdr:colOff>0</xdr:colOff>
      <xdr:row>1</xdr:row>
      <xdr:rowOff>228600</xdr:rowOff>
    </xdr:from>
    <xdr:to>
      <xdr:col>7</xdr:col>
      <xdr:colOff>280050</xdr:colOff>
      <xdr:row>1</xdr:row>
      <xdr:rowOff>695325</xdr:rowOff>
    </xdr:to>
    <xdr:sp macro="" textlink="">
      <xdr:nvSpPr>
        <xdr:cNvPr id="7" name="Textfeld 6">
          <a:hlinkClick xmlns:r="http://schemas.openxmlformats.org/officeDocument/2006/relationships" r:id="rId5"/>
        </xdr:cNvPr>
        <xdr:cNvSpPr txBox="1"/>
      </xdr:nvSpPr>
      <xdr:spPr>
        <a:xfrm>
          <a:off x="5210175" y="419100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  <xdr:twoCellAnchor>
    <xdr:from>
      <xdr:col>8</xdr:col>
      <xdr:colOff>0</xdr:colOff>
      <xdr:row>1</xdr:row>
      <xdr:rowOff>219075</xdr:rowOff>
    </xdr:from>
    <xdr:to>
      <xdr:col>11</xdr:col>
      <xdr:colOff>60975</xdr:colOff>
      <xdr:row>1</xdr:row>
      <xdr:rowOff>685800</xdr:rowOff>
    </xdr:to>
    <xdr:sp macro="" textlink="">
      <xdr:nvSpPr>
        <xdr:cNvPr id="9" name="Textfeld 8">
          <a:hlinkClick xmlns:r="http://schemas.openxmlformats.org/officeDocument/2006/relationships" r:id="rId5"/>
        </xdr:cNvPr>
        <xdr:cNvSpPr txBox="1"/>
      </xdr:nvSpPr>
      <xdr:spPr>
        <a:xfrm>
          <a:off x="7067550" y="409575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5125" name="Drop Down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9525</xdr:rowOff>
        </xdr:from>
        <xdr:to>
          <xdr:col>6</xdr:col>
          <xdr:colOff>0</xdr:colOff>
          <xdr:row>46</xdr:row>
          <xdr:rowOff>19050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19050</xdr:rowOff>
        </xdr:from>
        <xdr:to>
          <xdr:col>6</xdr:col>
          <xdr:colOff>0</xdr:colOff>
          <xdr:row>47</xdr:row>
          <xdr:rowOff>28575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19050</xdr:rowOff>
        </xdr:from>
        <xdr:to>
          <xdr:col>6</xdr:col>
          <xdr:colOff>0</xdr:colOff>
          <xdr:row>49</xdr:row>
          <xdr:rowOff>28575</xdr:rowOff>
        </xdr:to>
        <xdr:sp macro="" textlink="">
          <xdr:nvSpPr>
            <xdr:cNvPr id="5129" name="Drop Down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28575</xdr:rowOff>
        </xdr:from>
        <xdr:to>
          <xdr:col>6</xdr:col>
          <xdr:colOff>0</xdr:colOff>
          <xdr:row>50</xdr:row>
          <xdr:rowOff>38100</xdr:rowOff>
        </xdr:to>
        <xdr:sp macro="" textlink="">
          <xdr:nvSpPr>
            <xdr:cNvPr id="5130" name="Drop Down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38100</xdr:rowOff>
        </xdr:from>
        <xdr:to>
          <xdr:col>6</xdr:col>
          <xdr:colOff>0</xdr:colOff>
          <xdr:row>51</xdr:row>
          <xdr:rowOff>47625</xdr:rowOff>
        </xdr:to>
        <xdr:sp macro="" textlink="">
          <xdr:nvSpPr>
            <xdr:cNvPr id="5131" name="Drop Down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38100</xdr:rowOff>
        </xdr:from>
        <xdr:to>
          <xdr:col>6</xdr:col>
          <xdr:colOff>0</xdr:colOff>
          <xdr:row>52</xdr:row>
          <xdr:rowOff>47625</xdr:rowOff>
        </xdr:to>
        <xdr:sp macro="" textlink="">
          <xdr:nvSpPr>
            <xdr:cNvPr id="5132" name="Drop Dow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28575</xdr:rowOff>
        </xdr:from>
        <xdr:to>
          <xdr:col>6</xdr:col>
          <xdr:colOff>0</xdr:colOff>
          <xdr:row>53</xdr:row>
          <xdr:rowOff>38100</xdr:rowOff>
        </xdr:to>
        <xdr:sp macro="" textlink="">
          <xdr:nvSpPr>
            <xdr:cNvPr id="5133" name="Drop Down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28575</xdr:rowOff>
        </xdr:from>
        <xdr:to>
          <xdr:col>6</xdr:col>
          <xdr:colOff>0</xdr:colOff>
          <xdr:row>54</xdr:row>
          <xdr:rowOff>38100</xdr:rowOff>
        </xdr:to>
        <xdr:sp macro="" textlink="">
          <xdr:nvSpPr>
            <xdr:cNvPr id="5134" name="Drop Dow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28575</xdr:rowOff>
        </xdr:from>
        <xdr:to>
          <xdr:col>6</xdr:col>
          <xdr:colOff>0</xdr:colOff>
          <xdr:row>55</xdr:row>
          <xdr:rowOff>38100</xdr:rowOff>
        </xdr:to>
        <xdr:sp macro="" textlink="">
          <xdr:nvSpPr>
            <xdr:cNvPr id="5136" name="Drop Down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55</xdr:row>
          <xdr:rowOff>9525</xdr:rowOff>
        </xdr:from>
        <xdr:to>
          <xdr:col>6</xdr:col>
          <xdr:colOff>0</xdr:colOff>
          <xdr:row>56</xdr:row>
          <xdr:rowOff>28575</xdr:rowOff>
        </xdr:to>
        <xdr:sp macro="" textlink="">
          <xdr:nvSpPr>
            <xdr:cNvPr id="5137" name="Drop Down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6066" name="Rechteck 1"/>
        <xdr:cNvSpPr>
          <a:spLocks noChangeArrowheads="1"/>
        </xdr:cNvSpPr>
      </xdr:nvSpPr>
      <xdr:spPr bwMode="auto">
        <a:xfrm>
          <a:off x="6438900" y="1330984"/>
          <a:ext cx="2952750" cy="26921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oneCellAnchor>
    <xdr:from>
      <xdr:col>16</xdr:col>
      <xdr:colOff>609600</xdr:colOff>
      <xdr:row>23</xdr:row>
      <xdr:rowOff>146050</xdr:rowOff>
    </xdr:from>
    <xdr:ext cx="2400300" cy="1098550"/>
    <xdr:sp macro="" textlink="">
      <xdr:nvSpPr>
        <xdr:cNvPr id="2" name="Textfeld 1"/>
        <xdr:cNvSpPr txBox="1"/>
      </xdr:nvSpPr>
      <xdr:spPr>
        <a:xfrm>
          <a:off x="9817100" y="5257800"/>
          <a:ext cx="2400300" cy="1098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100">
              <a:solidFill>
                <a:srgbClr val="FF0000"/>
              </a:solidFill>
            </a:rPr>
            <a:t>Hinweis:</a:t>
          </a:r>
        </a:p>
        <a:p>
          <a:r>
            <a:rPr lang="de-DE" sz="1100">
              <a:solidFill>
                <a:srgbClr val="FF0000"/>
              </a:solidFill>
            </a:rPr>
            <a:t>Verfahrensspezifische Ausgleichsl. bitte Betriebsspezifisch auf dem Blatt "Ausgl.leist." auswählen und </a:t>
          </a:r>
          <a:r>
            <a:rPr lang="de-DE" sz="1100" b="1" u="sng">
              <a:solidFill>
                <a:srgbClr val="FF0000"/>
              </a:solidFill>
            </a:rPr>
            <a:t>nur</a:t>
          </a:r>
          <a:r>
            <a:rPr lang="de-DE" sz="1100" baseline="0">
              <a:solidFill>
                <a:srgbClr val="FF0000"/>
              </a:solidFill>
            </a:rPr>
            <a:t> </a:t>
          </a:r>
          <a:r>
            <a:rPr lang="de-DE" sz="1100">
              <a:solidFill>
                <a:srgbClr val="FF0000"/>
              </a:solidFill>
            </a:rPr>
            <a:t>die </a:t>
          </a:r>
          <a:r>
            <a:rPr lang="de-DE" sz="1100" b="1" u="sng">
              <a:solidFill>
                <a:srgbClr val="FF0000"/>
              </a:solidFill>
            </a:rPr>
            <a:t>entsprechende</a:t>
          </a:r>
          <a:r>
            <a:rPr lang="de-DE" sz="1100" b="1" u="sng" baseline="0">
              <a:solidFill>
                <a:srgbClr val="FF0000"/>
              </a:solidFill>
            </a:rPr>
            <a:t> Nummer</a:t>
          </a:r>
          <a:r>
            <a:rPr lang="de-DE" sz="1100" baseline="0">
              <a:solidFill>
                <a:srgbClr val="FF0000"/>
              </a:solidFill>
            </a:rPr>
            <a:t> eintragen.</a:t>
          </a:r>
          <a:endParaRPr lang="de-DE" sz="1100">
            <a:solidFill>
              <a:srgbClr val="FF0000"/>
            </a:solidFill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1</xdr:rowOff>
    </xdr:from>
    <xdr:to>
      <xdr:col>18</xdr:col>
      <xdr:colOff>0</xdr:colOff>
      <xdr:row>3</xdr:row>
      <xdr:rowOff>1</xdr:rowOff>
    </xdr:to>
    <xdr:sp macro="" textlink="'Preise-Stammdaten'!W8">
      <xdr:nvSpPr>
        <xdr:cNvPr id="2" name="Abgerundetes Rechteck 1"/>
        <xdr:cNvSpPr/>
      </xdr:nvSpPr>
      <xdr:spPr bwMode="auto">
        <a:xfrm>
          <a:off x="5743575" y="914401"/>
          <a:ext cx="31908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6</xdr:col>
          <xdr:colOff>19050</xdr:colOff>
          <xdr:row>47</xdr:row>
          <xdr:rowOff>19050</xdr:rowOff>
        </xdr:to>
        <xdr:sp macro="" textlink="">
          <xdr:nvSpPr>
            <xdr:cNvPr id="4104" name="Drop Down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6</xdr:col>
          <xdr:colOff>19050</xdr:colOff>
          <xdr:row>48</xdr:row>
          <xdr:rowOff>19050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19050</xdr:rowOff>
        </xdr:from>
        <xdr:to>
          <xdr:col>6</xdr:col>
          <xdr:colOff>19050</xdr:colOff>
          <xdr:row>49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6</xdr:col>
          <xdr:colOff>19050</xdr:colOff>
          <xdr:row>51</xdr:row>
          <xdr:rowOff>19050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6</xdr:col>
          <xdr:colOff>19050</xdr:colOff>
          <xdr:row>55</xdr:row>
          <xdr:rowOff>19050</xdr:rowOff>
        </xdr:to>
        <xdr:sp macro="" textlink="">
          <xdr:nvSpPr>
            <xdr:cNvPr id="4108" name="Drop Down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6</xdr:col>
          <xdr:colOff>19050</xdr:colOff>
          <xdr:row>50</xdr:row>
          <xdr:rowOff>19050</xdr:rowOff>
        </xdr:to>
        <xdr:sp macro="" textlink="">
          <xdr:nvSpPr>
            <xdr:cNvPr id="4109" name="Drop Down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0</xdr:rowOff>
        </xdr:from>
        <xdr:to>
          <xdr:col>6</xdr:col>
          <xdr:colOff>19050</xdr:colOff>
          <xdr:row>56</xdr:row>
          <xdr:rowOff>19050</xdr:rowOff>
        </xdr:to>
        <xdr:sp macro="" textlink="">
          <xdr:nvSpPr>
            <xdr:cNvPr id="4110" name="Drop Down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6</xdr:col>
          <xdr:colOff>19050</xdr:colOff>
          <xdr:row>52</xdr:row>
          <xdr:rowOff>19050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6</xdr:col>
          <xdr:colOff>19050</xdr:colOff>
          <xdr:row>53</xdr:row>
          <xdr:rowOff>19050</xdr:rowOff>
        </xdr:to>
        <xdr:sp macro="" textlink="">
          <xdr:nvSpPr>
            <xdr:cNvPr id="4112" name="Drop Down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6</xdr:col>
          <xdr:colOff>19050</xdr:colOff>
          <xdr:row>54</xdr:row>
          <xdr:rowOff>19050</xdr:rowOff>
        </xdr:to>
        <xdr:sp macro="" textlink="">
          <xdr:nvSpPr>
            <xdr:cNvPr id="4113" name="Drop Down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6</xdr:col>
          <xdr:colOff>19050</xdr:colOff>
          <xdr:row>46</xdr:row>
          <xdr:rowOff>19050</xdr:rowOff>
        </xdr:to>
        <xdr:sp macro="" textlink="">
          <xdr:nvSpPr>
            <xdr:cNvPr id="4114" name="Drop Down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3" name="Textfeld 12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4" name="Textfeld 13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15" name="Textfeld 14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16" name="Textfeld 15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oneCellAnchor>
    <xdr:from>
      <xdr:col>17</xdr:col>
      <xdr:colOff>25400</xdr:colOff>
      <xdr:row>23</xdr:row>
      <xdr:rowOff>152400</xdr:rowOff>
    </xdr:from>
    <xdr:ext cx="2241550" cy="1125693"/>
    <xdr:sp macro="" textlink="">
      <xdr:nvSpPr>
        <xdr:cNvPr id="2" name="Textfeld 1"/>
        <xdr:cNvSpPr txBox="1"/>
      </xdr:nvSpPr>
      <xdr:spPr>
        <a:xfrm>
          <a:off x="9861550" y="5264150"/>
          <a:ext cx="2241550" cy="112569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  <xdr:twoCellAnchor>
    <xdr:from>
      <xdr:col>13</xdr:col>
      <xdr:colOff>0</xdr:colOff>
      <xdr:row>2</xdr:row>
      <xdr:rowOff>1</xdr:rowOff>
    </xdr:from>
    <xdr:to>
      <xdr:col>17</xdr:col>
      <xdr:colOff>614363</xdr:colOff>
      <xdr:row>2</xdr:row>
      <xdr:rowOff>338141</xdr:rowOff>
    </xdr:to>
    <xdr:sp macro="" textlink="'Preise-Stammdaten'!W8">
      <xdr:nvSpPr>
        <xdr:cNvPr id="6" name="Abgerundetes Rechteck 5"/>
        <xdr:cNvSpPr/>
      </xdr:nvSpPr>
      <xdr:spPr bwMode="auto">
        <a:xfrm>
          <a:off x="5750719" y="916782"/>
          <a:ext cx="3186113" cy="33814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800" b="1">
            <a:solidFill>
              <a:srgbClr val="FF0000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171450</xdr:rowOff>
        </xdr:from>
        <xdr:to>
          <xdr:col>5</xdr:col>
          <xdr:colOff>590550</xdr:colOff>
          <xdr:row>46</xdr:row>
          <xdr:rowOff>0</xdr:rowOff>
        </xdr:to>
        <xdr:sp macro="" textlink="">
          <xdr:nvSpPr>
            <xdr:cNvPr id="6150" name="Drop Down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9525</xdr:rowOff>
        </xdr:from>
        <xdr:to>
          <xdr:col>5</xdr:col>
          <xdr:colOff>590550</xdr:colOff>
          <xdr:row>47</xdr:row>
          <xdr:rowOff>28575</xdr:rowOff>
        </xdr:to>
        <xdr:sp macro="" textlink="">
          <xdr:nvSpPr>
            <xdr:cNvPr id="6151" name="Drop Down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590550</xdr:colOff>
          <xdr:row>48</xdr:row>
          <xdr:rowOff>19050</xdr:rowOff>
        </xdr:to>
        <xdr:sp macro="" textlink="">
          <xdr:nvSpPr>
            <xdr:cNvPr id="6152" name="Drop Down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590550</xdr:colOff>
          <xdr:row>49</xdr:row>
          <xdr:rowOff>19050</xdr:rowOff>
        </xdr:to>
        <xdr:sp macro="" textlink="">
          <xdr:nvSpPr>
            <xdr:cNvPr id="6153" name="Drop Down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590550</xdr:colOff>
          <xdr:row>50</xdr:row>
          <xdr:rowOff>19050</xdr:rowOff>
        </xdr:to>
        <xdr:sp macro="" textlink="">
          <xdr:nvSpPr>
            <xdr:cNvPr id="6154" name="Drop Down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590550</xdr:colOff>
          <xdr:row>51</xdr:row>
          <xdr:rowOff>19050</xdr:rowOff>
        </xdr:to>
        <xdr:sp macro="" textlink="">
          <xdr:nvSpPr>
            <xdr:cNvPr id="6155" name="Drop Down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590550</xdr:colOff>
          <xdr:row>52</xdr:row>
          <xdr:rowOff>19050</xdr:rowOff>
        </xdr:to>
        <xdr:sp macro="" textlink="">
          <xdr:nvSpPr>
            <xdr:cNvPr id="6156" name="Drop Down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590550</xdr:colOff>
          <xdr:row>53</xdr:row>
          <xdr:rowOff>19050</xdr:rowOff>
        </xdr:to>
        <xdr:sp macro="" textlink="">
          <xdr:nvSpPr>
            <xdr:cNvPr id="6157" name="Drop Down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590550</xdr:colOff>
          <xdr:row>54</xdr:row>
          <xdr:rowOff>19050</xdr:rowOff>
        </xdr:to>
        <xdr:sp macro="" textlink="">
          <xdr:nvSpPr>
            <xdr:cNvPr id="6158" name="Drop Down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5</xdr:col>
          <xdr:colOff>590550</xdr:colOff>
          <xdr:row>55</xdr:row>
          <xdr:rowOff>19050</xdr:rowOff>
        </xdr:to>
        <xdr:sp macro="" textlink="">
          <xdr:nvSpPr>
            <xdr:cNvPr id="6159" name="Drop Down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5</xdr:col>
          <xdr:colOff>590550</xdr:colOff>
          <xdr:row>56</xdr:row>
          <xdr:rowOff>19050</xdr:rowOff>
        </xdr:to>
        <xdr:sp macro="" textlink="">
          <xdr:nvSpPr>
            <xdr:cNvPr id="6160" name="Drop Down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198408</xdr:rowOff>
    </xdr:from>
    <xdr:to>
      <xdr:col>17</xdr:col>
      <xdr:colOff>0</xdr:colOff>
      <xdr:row>4</xdr:row>
      <xdr:rowOff>224287</xdr:rowOff>
    </xdr:to>
    <xdr:sp macro="" textlink="">
      <xdr:nvSpPr>
        <xdr:cNvPr id="7076" name="Rechteck 1"/>
        <xdr:cNvSpPr>
          <a:spLocks noChangeArrowheads="1"/>
        </xdr:cNvSpPr>
      </xdr:nvSpPr>
      <xdr:spPr bwMode="auto">
        <a:xfrm>
          <a:off x="6659592" y="966158"/>
          <a:ext cx="3062378" cy="25879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4" name="Textfeld 13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5" name="Textfeld 14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16" name="Textfeld 15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17" name="Textfeld 16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oneCellAnchor>
    <xdr:from>
      <xdr:col>17</xdr:col>
      <xdr:colOff>12700</xdr:colOff>
      <xdr:row>23</xdr:row>
      <xdr:rowOff>171451</xdr:rowOff>
    </xdr:from>
    <xdr:ext cx="2501900" cy="1047750"/>
    <xdr:sp macro="" textlink="">
      <xdr:nvSpPr>
        <xdr:cNvPr id="2" name="Textfeld 1"/>
        <xdr:cNvSpPr txBox="1"/>
      </xdr:nvSpPr>
      <xdr:spPr>
        <a:xfrm>
          <a:off x="9836150" y="5283201"/>
          <a:ext cx="2501900" cy="10477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76261</xdr:colOff>
      <xdr:row>1</xdr:row>
      <xdr:rowOff>96847</xdr:rowOff>
    </xdr:from>
    <xdr:to>
      <xdr:col>2</xdr:col>
      <xdr:colOff>542087</xdr:colOff>
      <xdr:row>4</xdr:row>
      <xdr:rowOff>79593</xdr:rowOff>
    </xdr:to>
    <xdr:pic>
      <xdr:nvPicPr>
        <xdr:cNvPr id="2438494" name="Bild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8" y="647180"/>
          <a:ext cx="1227826" cy="66537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41</xdr:row>
          <xdr:rowOff>38100</xdr:rowOff>
        </xdr:from>
        <xdr:to>
          <xdr:col>8</xdr:col>
          <xdr:colOff>685800</xdr:colOff>
          <xdr:row>55</xdr:row>
          <xdr:rowOff>142875</xdr:rowOff>
        </xdr:to>
        <xdr:sp macro="" textlink="">
          <xdr:nvSpPr>
            <xdr:cNvPr id="2059" name="Bild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87313</xdr:colOff>
      <xdr:row>0</xdr:row>
      <xdr:rowOff>15875</xdr:rowOff>
    </xdr:from>
    <xdr:to>
      <xdr:col>3</xdr:col>
      <xdr:colOff>277813</xdr:colOff>
      <xdr:row>0</xdr:row>
      <xdr:rowOff>500063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134938" y="15875"/>
          <a:ext cx="1714500" cy="484188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  <xdr:twoCellAnchor>
    <xdr:from>
      <xdr:col>13</xdr:col>
      <xdr:colOff>0</xdr:colOff>
      <xdr:row>2</xdr:row>
      <xdr:rowOff>0</xdr:rowOff>
    </xdr:from>
    <xdr:to>
      <xdr:col>18</xdr:col>
      <xdr:colOff>1</xdr:colOff>
      <xdr:row>3</xdr:row>
      <xdr:rowOff>0</xdr:rowOff>
    </xdr:to>
    <xdr:sp macro="" textlink="'Preise-Stammdaten'!W8">
      <xdr:nvSpPr>
        <xdr:cNvPr id="6" name="Abgerundetes Rechteck 5"/>
        <xdr:cNvSpPr/>
      </xdr:nvSpPr>
      <xdr:spPr bwMode="auto">
        <a:xfrm>
          <a:off x="5750719" y="916781"/>
          <a:ext cx="32146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800" b="1">
            <a:solidFill>
              <a:srgbClr val="FF0000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4</xdr:row>
          <xdr:rowOff>28575</xdr:rowOff>
        </xdr:from>
        <xdr:to>
          <xdr:col>12</xdr:col>
          <xdr:colOff>504825</xdr:colOff>
          <xdr:row>4</xdr:row>
          <xdr:rowOff>171450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85725</xdr:colOff>
          <xdr:row>4</xdr:row>
          <xdr:rowOff>38100</xdr:rowOff>
        </xdr:from>
        <xdr:to>
          <xdr:col>13</xdr:col>
          <xdr:colOff>495300</xdr:colOff>
          <xdr:row>4</xdr:row>
          <xdr:rowOff>180975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4</xdr:row>
          <xdr:rowOff>38100</xdr:rowOff>
        </xdr:from>
        <xdr:to>
          <xdr:col>14</xdr:col>
          <xdr:colOff>504825</xdr:colOff>
          <xdr:row>4</xdr:row>
          <xdr:rowOff>180975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4</xdr:row>
          <xdr:rowOff>38100</xdr:rowOff>
        </xdr:from>
        <xdr:to>
          <xdr:col>15</xdr:col>
          <xdr:colOff>571500</xdr:colOff>
          <xdr:row>4</xdr:row>
          <xdr:rowOff>180975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34825" name="Drop Dow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504825</xdr:colOff>
          <xdr:row>50</xdr:row>
          <xdr:rowOff>19050</xdr:rowOff>
        </xdr:to>
        <xdr:sp macro="" textlink="">
          <xdr:nvSpPr>
            <xdr:cNvPr id="34826" name="Drop Dow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504825</xdr:colOff>
          <xdr:row>51</xdr:row>
          <xdr:rowOff>19050</xdr:rowOff>
        </xdr:to>
        <xdr:sp macro="" textlink="">
          <xdr:nvSpPr>
            <xdr:cNvPr id="34827" name="Drop Dow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504825</xdr:colOff>
          <xdr:row>52</xdr:row>
          <xdr:rowOff>19050</xdr:rowOff>
        </xdr:to>
        <xdr:sp macro="" textlink="">
          <xdr:nvSpPr>
            <xdr:cNvPr id="34828" name="Drop Down 12" hidden="1">
              <a:extLst>
                <a:ext uri="{63B3BB69-23CF-44E3-9099-C40C66FF867C}">
                  <a14:compatExt spid="_x0000_s3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34829" name="Drop Dow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34830" name="Drop Dow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34831" name="Drop Dow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34832" name="Drop Dow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35748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82550</xdr:colOff>
      <xdr:row>24</xdr:row>
      <xdr:rowOff>19050</xdr:rowOff>
    </xdr:from>
    <xdr:to>
      <xdr:col>21</xdr:col>
      <xdr:colOff>241300</xdr:colOff>
      <xdr:row>29</xdr:row>
      <xdr:rowOff>6350</xdr:rowOff>
    </xdr:to>
    <xdr:sp macro="" textlink="">
      <xdr:nvSpPr>
        <xdr:cNvPr id="2" name="Textfeld 1"/>
        <xdr:cNvSpPr txBox="1"/>
      </xdr:nvSpPr>
      <xdr:spPr>
        <a:xfrm>
          <a:off x="9906000" y="5321300"/>
          <a:ext cx="2489200" cy="9588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4</xdr:row>
          <xdr:rowOff>76200</xdr:rowOff>
        </xdr:from>
        <xdr:to>
          <xdr:col>12</xdr:col>
          <xdr:colOff>504825</xdr:colOff>
          <xdr:row>4</xdr:row>
          <xdr:rowOff>171450</xdr:rowOff>
        </xdr:to>
        <xdr:sp macro="" textlink="">
          <xdr:nvSpPr>
            <xdr:cNvPr id="112641" name="Drop Down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4</xdr:row>
          <xdr:rowOff>66675</xdr:rowOff>
        </xdr:from>
        <xdr:to>
          <xdr:col>13</xdr:col>
          <xdr:colOff>466725</xdr:colOff>
          <xdr:row>4</xdr:row>
          <xdr:rowOff>171450</xdr:rowOff>
        </xdr:to>
        <xdr:sp macro="" textlink="">
          <xdr:nvSpPr>
            <xdr:cNvPr id="112642" name="Drop Down 2" hidden="1">
              <a:extLst>
                <a:ext uri="{63B3BB69-23CF-44E3-9099-C40C66FF867C}">
                  <a14:compatExt spid="_x0000_s1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95250</xdr:rowOff>
        </xdr:from>
        <xdr:to>
          <xdr:col>14</xdr:col>
          <xdr:colOff>400050</xdr:colOff>
          <xdr:row>4</xdr:row>
          <xdr:rowOff>190500</xdr:rowOff>
        </xdr:to>
        <xdr:sp macro="" textlink="">
          <xdr:nvSpPr>
            <xdr:cNvPr id="112643" name="Drop Down 3" hidden="1">
              <a:extLst>
                <a:ext uri="{63B3BB69-23CF-44E3-9099-C40C66FF867C}">
                  <a14:compatExt spid="_x0000_s1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4</xdr:row>
          <xdr:rowOff>57150</xdr:rowOff>
        </xdr:from>
        <xdr:to>
          <xdr:col>15</xdr:col>
          <xdr:colOff>447675</xdr:colOff>
          <xdr:row>4</xdr:row>
          <xdr:rowOff>152400</xdr:rowOff>
        </xdr:to>
        <xdr:sp macro="" textlink="">
          <xdr:nvSpPr>
            <xdr:cNvPr id="112644" name="Drop Down 4" hidden="1">
              <a:extLst>
                <a:ext uri="{63B3BB69-23CF-44E3-9099-C40C66FF867C}">
                  <a14:compatExt spid="_x0000_s1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4</xdr:row>
          <xdr:rowOff>66675</xdr:rowOff>
        </xdr:from>
        <xdr:to>
          <xdr:col>16</xdr:col>
          <xdr:colOff>409575</xdr:colOff>
          <xdr:row>4</xdr:row>
          <xdr:rowOff>161925</xdr:rowOff>
        </xdr:to>
        <xdr:sp macro="" textlink="">
          <xdr:nvSpPr>
            <xdr:cNvPr id="112645" name="Drop Down 5" hidden="1">
              <a:extLst>
                <a:ext uri="{63B3BB69-23CF-44E3-9099-C40C66FF867C}">
                  <a14:compatExt spid="_x0000_s1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112646" name="Drop Down 6" hidden="1">
              <a:extLst>
                <a:ext uri="{63B3BB69-23CF-44E3-9099-C40C66FF867C}">
                  <a14:compatExt spid="_x0000_s1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112647" name="Drop Down 7" hidden="1">
              <a:extLst>
                <a:ext uri="{63B3BB69-23CF-44E3-9099-C40C66FF867C}">
                  <a14:compatExt spid="_x0000_s1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112648" name="Drop Down 8" hidden="1">
              <a:extLst>
                <a:ext uri="{63B3BB69-23CF-44E3-9099-C40C66FF867C}">
                  <a14:compatExt spid="_x0000_s1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112649" name="Drop Down 9" hidden="1">
              <a:extLst>
                <a:ext uri="{63B3BB69-23CF-44E3-9099-C40C66FF867C}">
                  <a14:compatExt spid="_x0000_s1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504825</xdr:colOff>
          <xdr:row>50</xdr:row>
          <xdr:rowOff>19050</xdr:rowOff>
        </xdr:to>
        <xdr:sp macro="" textlink="">
          <xdr:nvSpPr>
            <xdr:cNvPr id="112650" name="Drop Down 10" hidden="1">
              <a:extLst>
                <a:ext uri="{63B3BB69-23CF-44E3-9099-C40C66FF867C}">
                  <a14:compatExt spid="_x0000_s1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504825</xdr:colOff>
          <xdr:row>51</xdr:row>
          <xdr:rowOff>19050</xdr:rowOff>
        </xdr:to>
        <xdr:sp macro="" textlink="">
          <xdr:nvSpPr>
            <xdr:cNvPr id="112651" name="Drop Down 11" hidden="1">
              <a:extLst>
                <a:ext uri="{63B3BB69-23CF-44E3-9099-C40C66FF867C}">
                  <a14:compatExt spid="_x0000_s1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504825</xdr:colOff>
          <xdr:row>52</xdr:row>
          <xdr:rowOff>19050</xdr:rowOff>
        </xdr:to>
        <xdr:sp macro="" textlink="">
          <xdr:nvSpPr>
            <xdr:cNvPr id="112652" name="Drop Down 12" hidden="1">
              <a:extLst>
                <a:ext uri="{63B3BB69-23CF-44E3-9099-C40C66FF867C}">
                  <a14:compatExt spid="_x0000_s1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504825</xdr:colOff>
          <xdr:row>53</xdr:row>
          <xdr:rowOff>0</xdr:rowOff>
        </xdr:to>
        <xdr:sp macro="" textlink="">
          <xdr:nvSpPr>
            <xdr:cNvPr id="112653" name="Drop Down 13" hidden="1">
              <a:extLst>
                <a:ext uri="{63B3BB69-23CF-44E3-9099-C40C66FF867C}">
                  <a14:compatExt spid="_x0000_s1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504825</xdr:colOff>
          <xdr:row>54</xdr:row>
          <xdr:rowOff>19050</xdr:rowOff>
        </xdr:to>
        <xdr:sp macro="" textlink="">
          <xdr:nvSpPr>
            <xdr:cNvPr id="112654" name="Drop Down 14" hidden="1">
              <a:extLst>
                <a:ext uri="{63B3BB69-23CF-44E3-9099-C40C66FF867C}">
                  <a14:compatExt spid="_x0000_s1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112655" name="Drop Down 15" hidden="1">
              <a:extLst>
                <a:ext uri="{63B3BB69-23CF-44E3-9099-C40C66FF867C}">
                  <a14:compatExt spid="_x0000_s1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112656" name="Drop Down 16" hidden="1">
              <a:extLst>
                <a:ext uri="{63B3BB69-23CF-44E3-9099-C40C66FF867C}">
                  <a14:compatExt spid="_x0000_s1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4</xdr:row>
      <xdr:rowOff>0</xdr:rowOff>
    </xdr:from>
    <xdr:to>
      <xdr:col>17</xdr:col>
      <xdr:colOff>0</xdr:colOff>
      <xdr:row>5</xdr:row>
      <xdr:rowOff>25879</xdr:rowOff>
    </xdr:to>
    <xdr:sp macro="" textlink="">
      <xdr:nvSpPr>
        <xdr:cNvPr id="113573" name="Rechteck 1"/>
        <xdr:cNvSpPr>
          <a:spLocks noChangeArrowheads="1"/>
        </xdr:cNvSpPr>
      </xdr:nvSpPr>
      <xdr:spPr bwMode="auto">
        <a:xfrm>
          <a:off x="6659592" y="1000664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133350</xdr:colOff>
      <xdr:row>23</xdr:row>
      <xdr:rowOff>177800</xdr:rowOff>
    </xdr:from>
    <xdr:to>
      <xdr:col>21</xdr:col>
      <xdr:colOff>146050</xdr:colOff>
      <xdr:row>28</xdr:row>
      <xdr:rowOff>177800</xdr:rowOff>
    </xdr:to>
    <xdr:sp macro="" textlink="">
      <xdr:nvSpPr>
        <xdr:cNvPr id="2" name="Textfeld 1"/>
        <xdr:cNvSpPr txBox="1"/>
      </xdr:nvSpPr>
      <xdr:spPr>
        <a:xfrm>
          <a:off x="9956800" y="5289550"/>
          <a:ext cx="2343150" cy="9715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4</xdr:row>
          <xdr:rowOff>9525</xdr:rowOff>
        </xdr:from>
        <xdr:to>
          <xdr:col>12</xdr:col>
          <xdr:colOff>504825</xdr:colOff>
          <xdr:row>4</xdr:row>
          <xdr:rowOff>152400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4</xdr:row>
          <xdr:rowOff>38100</xdr:rowOff>
        </xdr:from>
        <xdr:to>
          <xdr:col>13</xdr:col>
          <xdr:colOff>533400</xdr:colOff>
          <xdr:row>4</xdr:row>
          <xdr:rowOff>180975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</xdr:row>
          <xdr:rowOff>47625</xdr:rowOff>
        </xdr:from>
        <xdr:to>
          <xdr:col>14</xdr:col>
          <xdr:colOff>485775</xdr:colOff>
          <xdr:row>4</xdr:row>
          <xdr:rowOff>190500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4</xdr:row>
          <xdr:rowOff>57150</xdr:rowOff>
        </xdr:from>
        <xdr:to>
          <xdr:col>15</xdr:col>
          <xdr:colOff>485775</xdr:colOff>
          <xdr:row>4</xdr:row>
          <xdr:rowOff>209550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66675</xdr:colOff>
          <xdr:row>4</xdr:row>
          <xdr:rowOff>47625</xdr:rowOff>
        </xdr:from>
        <xdr:to>
          <xdr:col>16</xdr:col>
          <xdr:colOff>476250</xdr:colOff>
          <xdr:row>4</xdr:row>
          <xdr:rowOff>190500</xdr:rowOff>
        </xdr:to>
        <xdr:sp macro="" textlink="">
          <xdr:nvSpPr>
            <xdr:cNvPr id="8197" name="Drop Down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45</xdr:row>
          <xdr:rowOff>9525</xdr:rowOff>
        </xdr:from>
        <xdr:to>
          <xdr:col>5</xdr:col>
          <xdr:colOff>514350</xdr:colOff>
          <xdr:row>46</xdr:row>
          <xdr:rowOff>28575</xdr:rowOff>
        </xdr:to>
        <xdr:sp macro="" textlink="">
          <xdr:nvSpPr>
            <xdr:cNvPr id="8198" name="Drop Down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8199" name="Drop Dow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8200" name="Drop Down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8201" name="Drop Down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8202" name="Drop Down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8203" name="Drop Down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8204" name="Drop Down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504825</xdr:colOff>
          <xdr:row>53</xdr:row>
          <xdr:rowOff>0</xdr:rowOff>
        </xdr:to>
        <xdr:sp macro="" textlink="">
          <xdr:nvSpPr>
            <xdr:cNvPr id="8205" name="Drop Down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8206" name="Drop Down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8207" name="Drop Down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8208" name="Drop Down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9124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23</xdr:row>
      <xdr:rowOff>184150</xdr:rowOff>
    </xdr:from>
    <xdr:to>
      <xdr:col>21</xdr:col>
      <xdr:colOff>444500</xdr:colOff>
      <xdr:row>28</xdr:row>
      <xdr:rowOff>171450</xdr:rowOff>
    </xdr:to>
    <xdr:sp macro="" textlink="">
      <xdr:nvSpPr>
        <xdr:cNvPr id="2" name="Textfeld 1"/>
        <xdr:cNvSpPr txBox="1"/>
      </xdr:nvSpPr>
      <xdr:spPr>
        <a:xfrm>
          <a:off x="9874250" y="5295900"/>
          <a:ext cx="2724150" cy="9588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679281" y="916781"/>
          <a:ext cx="32146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7175" name="Drop Down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7176" name="Drop Down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7177" name="Drop Down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7178" name="Drop Down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7179" name="Drop Down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7180" name="Drop Down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7181" name="Drop Down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7182" name="Drop Down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7183" name="Drop Down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7184" name="Drop Down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7185" name="Text Box 17"/>
        <xdr:cNvSpPr txBox="1">
          <a:spLocks noChangeArrowheads="1"/>
        </xdr:cNvSpPr>
      </xdr:nvSpPr>
      <xdr:spPr bwMode="auto">
        <a:xfrm>
          <a:off x="1057275" y="12792075"/>
          <a:ext cx="34766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2443965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24</xdr:row>
      <xdr:rowOff>57150</xdr:rowOff>
    </xdr:from>
    <xdr:to>
      <xdr:col>21</xdr:col>
      <xdr:colOff>203200</xdr:colOff>
      <xdr:row>29</xdr:row>
      <xdr:rowOff>44450</xdr:rowOff>
    </xdr:to>
    <xdr:sp macro="" textlink="">
      <xdr:nvSpPr>
        <xdr:cNvPr id="2" name="Textfeld 1"/>
        <xdr:cNvSpPr txBox="1"/>
      </xdr:nvSpPr>
      <xdr:spPr>
        <a:xfrm>
          <a:off x="9874250" y="5359400"/>
          <a:ext cx="2482850" cy="9588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144257" name="Drop Down 1" hidden="1">
              <a:extLst>
                <a:ext uri="{63B3BB69-23CF-44E3-9099-C40C66FF867C}">
                  <a14:compatExt spid="_x0000_s214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144258" name="Drop Down 2" hidden="1">
              <a:extLst>
                <a:ext uri="{63B3BB69-23CF-44E3-9099-C40C66FF867C}">
                  <a14:compatExt spid="_x0000_s214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144259" name="Drop Down 3" hidden="1">
              <a:extLst>
                <a:ext uri="{63B3BB69-23CF-44E3-9099-C40C66FF867C}">
                  <a14:compatExt spid="_x0000_s214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144260" name="Drop Down 4" hidden="1">
              <a:extLst>
                <a:ext uri="{63B3BB69-23CF-44E3-9099-C40C66FF867C}">
                  <a14:compatExt spid="_x0000_s214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144261" name="Drop Down 5" hidden="1">
              <a:extLst>
                <a:ext uri="{63B3BB69-23CF-44E3-9099-C40C66FF867C}">
                  <a14:compatExt spid="_x0000_s214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144262" name="Drop Down 6" hidden="1">
              <a:extLst>
                <a:ext uri="{63B3BB69-23CF-44E3-9099-C40C66FF867C}">
                  <a14:compatExt spid="_x0000_s214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144263" name="Drop Down 7" hidden="1">
              <a:extLst>
                <a:ext uri="{63B3BB69-23CF-44E3-9099-C40C66FF867C}">
                  <a14:compatExt spid="_x0000_s214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144264" name="Drop Down 8" hidden="1">
              <a:extLst>
                <a:ext uri="{63B3BB69-23CF-44E3-9099-C40C66FF867C}">
                  <a14:compatExt spid="_x0000_s214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144265" name="Drop Down 9" hidden="1">
              <a:extLst>
                <a:ext uri="{63B3BB69-23CF-44E3-9099-C40C66FF867C}">
                  <a14:compatExt spid="_x0000_s214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144266" name="Drop Down 10" hidden="1">
              <a:extLst>
                <a:ext uri="{63B3BB69-23CF-44E3-9099-C40C66FF867C}">
                  <a14:compatExt spid="_x0000_s214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144267" name="Drop Down 11" hidden="1">
              <a:extLst>
                <a:ext uri="{63B3BB69-23CF-44E3-9099-C40C66FF867C}">
                  <a14:compatExt spid="_x0000_s214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144268" name="Drop Down 12" hidden="1">
              <a:extLst>
                <a:ext uri="{63B3BB69-23CF-44E3-9099-C40C66FF867C}">
                  <a14:compatExt spid="_x0000_s214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144269" name="Drop Down 13" hidden="1">
              <a:extLst>
                <a:ext uri="{63B3BB69-23CF-44E3-9099-C40C66FF867C}">
                  <a14:compatExt spid="_x0000_s214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144270" name="Drop Down 14" hidden="1">
              <a:extLst>
                <a:ext uri="{63B3BB69-23CF-44E3-9099-C40C66FF867C}">
                  <a14:compatExt spid="_x0000_s214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144271" name="Drop Down 15" hidden="1">
              <a:extLst>
                <a:ext uri="{63B3BB69-23CF-44E3-9099-C40C66FF867C}">
                  <a14:compatExt spid="_x0000_s214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144272" name="Drop Down 16" hidden="1">
              <a:extLst>
                <a:ext uri="{63B3BB69-23CF-44E3-9099-C40C66FF867C}">
                  <a14:compatExt spid="_x0000_s214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127000</xdr:colOff>
      <xdr:row>24</xdr:row>
      <xdr:rowOff>44450</xdr:rowOff>
    </xdr:from>
    <xdr:to>
      <xdr:col>21</xdr:col>
      <xdr:colOff>431800</xdr:colOff>
      <xdr:row>29</xdr:row>
      <xdr:rowOff>107950</xdr:rowOff>
    </xdr:to>
    <xdr:sp macro="" textlink="">
      <xdr:nvSpPr>
        <xdr:cNvPr id="2" name="Textfeld 1"/>
        <xdr:cNvSpPr txBox="1"/>
      </xdr:nvSpPr>
      <xdr:spPr>
        <a:xfrm>
          <a:off x="9950450" y="5346700"/>
          <a:ext cx="2635250" cy="1035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2904228</xdr:colOff>
      <xdr:row>2</xdr:row>
      <xdr:rowOff>14378</xdr:rowOff>
    </xdr:from>
    <xdr:to>
      <xdr:col>3</xdr:col>
      <xdr:colOff>201283</xdr:colOff>
      <xdr:row>2</xdr:row>
      <xdr:rowOff>646982</xdr:rowOff>
    </xdr:to>
    <xdr:sp macro="" textlink="'Preise-Stammdaten'!W8">
      <xdr:nvSpPr>
        <xdr:cNvPr id="2" name="Abgerundetes Rechteck 1"/>
        <xdr:cNvSpPr/>
      </xdr:nvSpPr>
      <xdr:spPr bwMode="auto">
        <a:xfrm>
          <a:off x="3048001" y="733246"/>
          <a:ext cx="2372264" cy="63260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93D6B0D1-BE05-43B4-9724-B613A3DFD181}" type="TxLink">
            <a:rPr lang="en-US" sz="14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238125</xdr:colOff>
      <xdr:row>0</xdr:row>
      <xdr:rowOff>174625</xdr:rowOff>
    </xdr:from>
    <xdr:to>
      <xdr:col>1</xdr:col>
      <xdr:colOff>1952625</xdr:colOff>
      <xdr:row>0</xdr:row>
      <xdr:rowOff>612774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381000" y="1746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5</xdr:col>
          <xdr:colOff>571500</xdr:colOff>
          <xdr:row>46</xdr:row>
          <xdr:rowOff>19050</xdr:rowOff>
        </xdr:to>
        <xdr:sp macro="" textlink="">
          <xdr:nvSpPr>
            <xdr:cNvPr id="2146310" name="Drop Down 6" hidden="1">
              <a:extLst>
                <a:ext uri="{63B3BB69-23CF-44E3-9099-C40C66FF867C}">
                  <a14:compatExt spid="_x0000_s214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5</xdr:col>
          <xdr:colOff>571500</xdr:colOff>
          <xdr:row>47</xdr:row>
          <xdr:rowOff>19050</xdr:rowOff>
        </xdr:to>
        <xdr:sp macro="" textlink="">
          <xdr:nvSpPr>
            <xdr:cNvPr id="2146311" name="Drop Down 7" hidden="1">
              <a:extLst>
                <a:ext uri="{63B3BB69-23CF-44E3-9099-C40C66FF867C}">
                  <a14:compatExt spid="_x0000_s214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9525</xdr:rowOff>
        </xdr:from>
        <xdr:to>
          <xdr:col>5</xdr:col>
          <xdr:colOff>571500</xdr:colOff>
          <xdr:row>48</xdr:row>
          <xdr:rowOff>28575</xdr:rowOff>
        </xdr:to>
        <xdr:sp macro="" textlink="">
          <xdr:nvSpPr>
            <xdr:cNvPr id="2146312" name="Drop Down 8" hidden="1">
              <a:extLst>
                <a:ext uri="{63B3BB69-23CF-44E3-9099-C40C66FF867C}">
                  <a14:compatExt spid="_x0000_s214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28575</xdr:rowOff>
        </xdr:from>
        <xdr:to>
          <xdr:col>5</xdr:col>
          <xdr:colOff>571500</xdr:colOff>
          <xdr:row>49</xdr:row>
          <xdr:rowOff>47625</xdr:rowOff>
        </xdr:to>
        <xdr:sp macro="" textlink="">
          <xdr:nvSpPr>
            <xdr:cNvPr id="2146313" name="Drop Down 9" hidden="1">
              <a:extLst>
                <a:ext uri="{63B3BB69-23CF-44E3-9099-C40C66FF867C}">
                  <a14:compatExt spid="_x0000_s214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47625</xdr:rowOff>
        </xdr:from>
        <xdr:to>
          <xdr:col>5</xdr:col>
          <xdr:colOff>571500</xdr:colOff>
          <xdr:row>50</xdr:row>
          <xdr:rowOff>57150</xdr:rowOff>
        </xdr:to>
        <xdr:sp macro="" textlink="">
          <xdr:nvSpPr>
            <xdr:cNvPr id="2146314" name="Drop Down 10" hidden="1">
              <a:extLst>
                <a:ext uri="{63B3BB69-23CF-44E3-9099-C40C66FF867C}">
                  <a14:compatExt spid="_x0000_s214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50</xdr:row>
          <xdr:rowOff>66675</xdr:rowOff>
        </xdr:from>
        <xdr:to>
          <xdr:col>5</xdr:col>
          <xdr:colOff>571500</xdr:colOff>
          <xdr:row>51</xdr:row>
          <xdr:rowOff>85725</xdr:rowOff>
        </xdr:to>
        <xdr:sp macro="" textlink="">
          <xdr:nvSpPr>
            <xdr:cNvPr id="2146315" name="Drop Down 11" hidden="1">
              <a:extLst>
                <a:ext uri="{63B3BB69-23CF-44E3-9099-C40C66FF867C}">
                  <a14:compatExt spid="_x0000_s214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51</xdr:row>
          <xdr:rowOff>28575</xdr:rowOff>
        </xdr:from>
        <xdr:to>
          <xdr:col>5</xdr:col>
          <xdr:colOff>571500</xdr:colOff>
          <xdr:row>52</xdr:row>
          <xdr:rowOff>47625</xdr:rowOff>
        </xdr:to>
        <xdr:sp macro="" textlink="">
          <xdr:nvSpPr>
            <xdr:cNvPr id="2146316" name="Drop Down 12" hidden="1">
              <a:extLst>
                <a:ext uri="{63B3BB69-23CF-44E3-9099-C40C66FF867C}">
                  <a14:compatExt spid="_x0000_s214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52</xdr:row>
          <xdr:rowOff>28575</xdr:rowOff>
        </xdr:from>
        <xdr:to>
          <xdr:col>5</xdr:col>
          <xdr:colOff>571500</xdr:colOff>
          <xdr:row>53</xdr:row>
          <xdr:rowOff>47625</xdr:rowOff>
        </xdr:to>
        <xdr:sp macro="" textlink="">
          <xdr:nvSpPr>
            <xdr:cNvPr id="2146317" name="Drop Down 13" hidden="1">
              <a:extLst>
                <a:ext uri="{63B3BB69-23CF-44E3-9099-C40C66FF867C}">
                  <a14:compatExt spid="_x0000_s214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53</xdr:row>
          <xdr:rowOff>28575</xdr:rowOff>
        </xdr:from>
        <xdr:to>
          <xdr:col>5</xdr:col>
          <xdr:colOff>571500</xdr:colOff>
          <xdr:row>54</xdr:row>
          <xdr:rowOff>47625</xdr:rowOff>
        </xdr:to>
        <xdr:sp macro="" textlink="">
          <xdr:nvSpPr>
            <xdr:cNvPr id="2146318" name="Drop Down 14" hidden="1">
              <a:extLst>
                <a:ext uri="{63B3BB69-23CF-44E3-9099-C40C66FF867C}">
                  <a14:compatExt spid="_x0000_s214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54</xdr:row>
          <xdr:rowOff>28575</xdr:rowOff>
        </xdr:from>
        <xdr:to>
          <xdr:col>5</xdr:col>
          <xdr:colOff>571500</xdr:colOff>
          <xdr:row>55</xdr:row>
          <xdr:rowOff>47625</xdr:rowOff>
        </xdr:to>
        <xdr:sp macro="" textlink="">
          <xdr:nvSpPr>
            <xdr:cNvPr id="2146319" name="Drop Down 15" hidden="1">
              <a:extLst>
                <a:ext uri="{63B3BB69-23CF-44E3-9099-C40C66FF867C}">
                  <a14:compatExt spid="_x0000_s214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54</xdr:row>
          <xdr:rowOff>180975</xdr:rowOff>
        </xdr:from>
        <xdr:to>
          <xdr:col>5</xdr:col>
          <xdr:colOff>571500</xdr:colOff>
          <xdr:row>56</xdr:row>
          <xdr:rowOff>9525</xdr:rowOff>
        </xdr:to>
        <xdr:sp macro="" textlink="">
          <xdr:nvSpPr>
            <xdr:cNvPr id="2146320" name="Drop Down 16" hidden="1">
              <a:extLst>
                <a:ext uri="{63B3BB69-23CF-44E3-9099-C40C66FF867C}">
                  <a14:compatExt spid="_x0000_s214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5" name="Textfeld 14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6" name="Textfeld 15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17" name="Textfeld 16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63500</xdr:colOff>
      <xdr:row>23</xdr:row>
      <xdr:rowOff>165100</xdr:rowOff>
    </xdr:from>
    <xdr:to>
      <xdr:col>21</xdr:col>
      <xdr:colOff>393700</xdr:colOff>
      <xdr:row>29</xdr:row>
      <xdr:rowOff>6350</xdr:rowOff>
    </xdr:to>
    <xdr:sp macro="" textlink="">
      <xdr:nvSpPr>
        <xdr:cNvPr id="2" name="Textfeld 1"/>
        <xdr:cNvSpPr txBox="1"/>
      </xdr:nvSpPr>
      <xdr:spPr>
        <a:xfrm>
          <a:off x="9886950" y="5276850"/>
          <a:ext cx="2660650" cy="10033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4</xdr:row>
          <xdr:rowOff>28575</xdr:rowOff>
        </xdr:from>
        <xdr:to>
          <xdr:col>12</xdr:col>
          <xdr:colOff>514350</xdr:colOff>
          <xdr:row>4</xdr:row>
          <xdr:rowOff>171450</xdr:rowOff>
        </xdr:to>
        <xdr:sp macro="" textlink="">
          <xdr:nvSpPr>
            <xdr:cNvPr id="51201" name="Drop Down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4</xdr:row>
          <xdr:rowOff>47625</xdr:rowOff>
        </xdr:from>
        <xdr:to>
          <xdr:col>13</xdr:col>
          <xdr:colOff>466725</xdr:colOff>
          <xdr:row>4</xdr:row>
          <xdr:rowOff>190500</xdr:rowOff>
        </xdr:to>
        <xdr:sp macro="" textlink="">
          <xdr:nvSpPr>
            <xdr:cNvPr id="51202" name="Drop Down 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</xdr:row>
          <xdr:rowOff>47625</xdr:rowOff>
        </xdr:from>
        <xdr:to>
          <xdr:col>14</xdr:col>
          <xdr:colOff>485775</xdr:colOff>
          <xdr:row>4</xdr:row>
          <xdr:rowOff>190500</xdr:rowOff>
        </xdr:to>
        <xdr:sp macro="" textlink="">
          <xdr:nvSpPr>
            <xdr:cNvPr id="51203" name="Drop Down 3" hidden="1">
              <a:extLst>
                <a:ext uri="{63B3BB69-23CF-44E3-9099-C40C66FF867C}">
                  <a14:compatExt spid="_x0000_s5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4</xdr:row>
          <xdr:rowOff>57150</xdr:rowOff>
        </xdr:from>
        <xdr:to>
          <xdr:col>15</xdr:col>
          <xdr:colOff>504825</xdr:colOff>
          <xdr:row>4</xdr:row>
          <xdr:rowOff>209550</xdr:rowOff>
        </xdr:to>
        <xdr:sp macro="" textlink="">
          <xdr:nvSpPr>
            <xdr:cNvPr id="51204" name="Drop Down 4" hidden="1">
              <a:extLst>
                <a:ext uri="{63B3BB69-23CF-44E3-9099-C40C66FF867C}">
                  <a14:compatExt spid="_x0000_s5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4</xdr:row>
          <xdr:rowOff>19050</xdr:rowOff>
        </xdr:from>
        <xdr:to>
          <xdr:col>16</xdr:col>
          <xdr:colOff>504825</xdr:colOff>
          <xdr:row>4</xdr:row>
          <xdr:rowOff>161925</xdr:rowOff>
        </xdr:to>
        <xdr:sp macro="" textlink="">
          <xdr:nvSpPr>
            <xdr:cNvPr id="51205" name="Drop Down 5" hidden="1">
              <a:extLst>
                <a:ext uri="{63B3BB69-23CF-44E3-9099-C40C66FF867C}">
                  <a14:compatExt spid="_x0000_s5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51206" name="Drop Down 6" hidden="1">
              <a:extLst>
                <a:ext uri="{63B3BB69-23CF-44E3-9099-C40C66FF867C}">
                  <a14:compatExt spid="_x0000_s5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51207" name="Drop Down 7" hidden="1">
              <a:extLst>
                <a:ext uri="{63B3BB69-23CF-44E3-9099-C40C66FF867C}">
                  <a14:compatExt spid="_x0000_s5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51208" name="Drop Down 8" hidden="1">
              <a:extLst>
                <a:ext uri="{63B3BB69-23CF-44E3-9099-C40C66FF867C}">
                  <a14:compatExt spid="_x0000_s5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51209" name="Drop Down 9" hidden="1">
              <a:extLst>
                <a:ext uri="{63B3BB69-23CF-44E3-9099-C40C66FF867C}">
                  <a14:compatExt spid="_x0000_s5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504825</xdr:colOff>
          <xdr:row>50</xdr:row>
          <xdr:rowOff>19050</xdr:rowOff>
        </xdr:to>
        <xdr:sp macro="" textlink="">
          <xdr:nvSpPr>
            <xdr:cNvPr id="51210" name="Drop Down 10" hidden="1">
              <a:extLst>
                <a:ext uri="{63B3BB69-23CF-44E3-9099-C40C66FF867C}">
                  <a14:compatExt spid="_x0000_s5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504825</xdr:colOff>
          <xdr:row>51</xdr:row>
          <xdr:rowOff>19050</xdr:rowOff>
        </xdr:to>
        <xdr:sp macro="" textlink="">
          <xdr:nvSpPr>
            <xdr:cNvPr id="51211" name="Drop Down 11" hidden="1">
              <a:extLst>
                <a:ext uri="{63B3BB69-23CF-44E3-9099-C40C66FF867C}">
                  <a14:compatExt spid="_x0000_s5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504825</xdr:colOff>
          <xdr:row>52</xdr:row>
          <xdr:rowOff>19050</xdr:rowOff>
        </xdr:to>
        <xdr:sp macro="" textlink="">
          <xdr:nvSpPr>
            <xdr:cNvPr id="51212" name="Drop Down 12" hidden="1">
              <a:extLst>
                <a:ext uri="{63B3BB69-23CF-44E3-9099-C40C66FF867C}">
                  <a14:compatExt spid="_x0000_s5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51213" name="Drop Down 13" hidden="1">
              <a:extLst>
                <a:ext uri="{63B3BB69-23CF-44E3-9099-C40C66FF867C}">
                  <a14:compatExt spid="_x0000_s5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51214" name="Drop Down 14" hidden="1">
              <a:extLst>
                <a:ext uri="{63B3BB69-23CF-44E3-9099-C40C66FF867C}">
                  <a14:compatExt spid="_x0000_s5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5</xdr:col>
          <xdr:colOff>504825</xdr:colOff>
          <xdr:row>55</xdr:row>
          <xdr:rowOff>19050</xdr:rowOff>
        </xdr:to>
        <xdr:sp macro="" textlink="">
          <xdr:nvSpPr>
            <xdr:cNvPr id="51215" name="Drop Down 15" hidden="1">
              <a:extLst>
                <a:ext uri="{63B3BB69-23CF-44E3-9099-C40C66FF867C}">
                  <a14:compatExt spid="_x0000_s5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5</xdr:col>
          <xdr:colOff>504825</xdr:colOff>
          <xdr:row>56</xdr:row>
          <xdr:rowOff>19050</xdr:rowOff>
        </xdr:to>
        <xdr:sp macro="" textlink="">
          <xdr:nvSpPr>
            <xdr:cNvPr id="51216" name="Drop Down 16" hidden="1">
              <a:extLst>
                <a:ext uri="{63B3BB69-23CF-44E3-9099-C40C66FF867C}">
                  <a14:compatExt spid="_x0000_s5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361051</xdr:colOff>
      <xdr:row>14</xdr:row>
      <xdr:rowOff>85725</xdr:rowOff>
    </xdr:from>
    <xdr:to>
      <xdr:col>8</xdr:col>
      <xdr:colOff>655432</xdr:colOff>
      <xdr:row>16</xdr:row>
      <xdr:rowOff>0</xdr:rowOff>
    </xdr:to>
    <xdr:sp macro="" textlink="">
      <xdr:nvSpPr>
        <xdr:cNvPr id="51218" name="Text Box 18"/>
        <xdr:cNvSpPr txBox="1">
          <a:spLocks noChangeArrowheads="1"/>
        </xdr:cNvSpPr>
      </xdr:nvSpPr>
      <xdr:spPr bwMode="auto">
        <a:xfrm>
          <a:off x="2724150" y="3114675"/>
          <a:ext cx="2143125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Achtung: Formel für Fahrsilolagerraumbedarf gelöscht, da kein Silolager notw.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4</xdr:row>
      <xdr:rowOff>0</xdr:rowOff>
    </xdr:from>
    <xdr:to>
      <xdr:col>17</xdr:col>
      <xdr:colOff>0</xdr:colOff>
      <xdr:row>5</xdr:row>
      <xdr:rowOff>25879</xdr:rowOff>
    </xdr:to>
    <xdr:sp macro="" textlink="">
      <xdr:nvSpPr>
        <xdr:cNvPr id="3073125" name="Rechteck 1"/>
        <xdr:cNvSpPr>
          <a:spLocks noChangeArrowheads="1"/>
        </xdr:cNvSpPr>
      </xdr:nvSpPr>
      <xdr:spPr bwMode="auto">
        <a:xfrm>
          <a:off x="6659592" y="1000664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24</xdr:row>
      <xdr:rowOff>44450</xdr:rowOff>
    </xdr:from>
    <xdr:to>
      <xdr:col>20</xdr:col>
      <xdr:colOff>577850</xdr:colOff>
      <xdr:row>29</xdr:row>
      <xdr:rowOff>57150</xdr:rowOff>
    </xdr:to>
    <xdr:sp macro="" textlink="">
      <xdr:nvSpPr>
        <xdr:cNvPr id="2" name="Textfeld 1"/>
        <xdr:cNvSpPr txBox="1"/>
      </xdr:nvSpPr>
      <xdr:spPr>
        <a:xfrm>
          <a:off x="9874250" y="5346700"/>
          <a:ext cx="2197100" cy="9842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4</xdr:row>
          <xdr:rowOff>28575</xdr:rowOff>
        </xdr:from>
        <xdr:to>
          <xdr:col>12</xdr:col>
          <xdr:colOff>514350</xdr:colOff>
          <xdr:row>4</xdr:row>
          <xdr:rowOff>171450</xdr:rowOff>
        </xdr:to>
        <xdr:sp macro="" textlink="">
          <xdr:nvSpPr>
            <xdr:cNvPr id="25601" name="Drop Dow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4</xdr:row>
          <xdr:rowOff>57150</xdr:rowOff>
        </xdr:from>
        <xdr:to>
          <xdr:col>13</xdr:col>
          <xdr:colOff>514350</xdr:colOff>
          <xdr:row>4</xdr:row>
          <xdr:rowOff>209550</xdr:rowOff>
        </xdr:to>
        <xdr:sp macro="" textlink="">
          <xdr:nvSpPr>
            <xdr:cNvPr id="25602" name="Drop Dow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</xdr:row>
          <xdr:rowOff>28575</xdr:rowOff>
        </xdr:from>
        <xdr:to>
          <xdr:col>14</xdr:col>
          <xdr:colOff>476250</xdr:colOff>
          <xdr:row>4</xdr:row>
          <xdr:rowOff>171450</xdr:rowOff>
        </xdr:to>
        <xdr:sp macro="" textlink="">
          <xdr:nvSpPr>
            <xdr:cNvPr id="25603" name="Drop Down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4</xdr:row>
          <xdr:rowOff>38100</xdr:rowOff>
        </xdr:from>
        <xdr:to>
          <xdr:col>15</xdr:col>
          <xdr:colOff>504825</xdr:colOff>
          <xdr:row>4</xdr:row>
          <xdr:rowOff>180975</xdr:rowOff>
        </xdr:to>
        <xdr:sp macro="" textlink="">
          <xdr:nvSpPr>
            <xdr:cNvPr id="25604" name="Drop Dow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4</xdr:row>
          <xdr:rowOff>38100</xdr:rowOff>
        </xdr:from>
        <xdr:to>
          <xdr:col>16</xdr:col>
          <xdr:colOff>476250</xdr:colOff>
          <xdr:row>4</xdr:row>
          <xdr:rowOff>180975</xdr:rowOff>
        </xdr:to>
        <xdr:sp macro="" textlink="">
          <xdr:nvSpPr>
            <xdr:cNvPr id="25605" name="Drop Dow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514350</xdr:colOff>
          <xdr:row>49</xdr:row>
          <xdr:rowOff>9525</xdr:rowOff>
        </xdr:to>
        <xdr:sp macro="" textlink="">
          <xdr:nvSpPr>
            <xdr:cNvPr id="25606" name="Drop Down 6" hidden="1">
              <a:extLst>
                <a:ext uri="{63B3BB69-23CF-44E3-9099-C40C66FF867C}">
                  <a14:compatExt spid="_x0000_s2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514350</xdr:colOff>
          <xdr:row>50</xdr:row>
          <xdr:rowOff>0</xdr:rowOff>
        </xdr:to>
        <xdr:sp macro="" textlink="">
          <xdr:nvSpPr>
            <xdr:cNvPr id="25607" name="Drop Down 7" hidden="1">
              <a:extLst>
                <a:ext uri="{63B3BB69-23CF-44E3-9099-C40C66FF867C}">
                  <a14:compatExt spid="_x0000_s2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514350</xdr:colOff>
          <xdr:row>51</xdr:row>
          <xdr:rowOff>0</xdr:rowOff>
        </xdr:to>
        <xdr:sp macro="" textlink="">
          <xdr:nvSpPr>
            <xdr:cNvPr id="25608" name="Drop Down 8" hidden="1">
              <a:extLst>
                <a:ext uri="{63B3BB69-23CF-44E3-9099-C40C66FF867C}">
                  <a14:compatExt spid="_x0000_s2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514350</xdr:colOff>
          <xdr:row>52</xdr:row>
          <xdr:rowOff>0</xdr:rowOff>
        </xdr:to>
        <xdr:sp macro="" textlink="">
          <xdr:nvSpPr>
            <xdr:cNvPr id="25609" name="Drop Down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514350</xdr:colOff>
          <xdr:row>53</xdr:row>
          <xdr:rowOff>0</xdr:rowOff>
        </xdr:to>
        <xdr:sp macro="" textlink="">
          <xdr:nvSpPr>
            <xdr:cNvPr id="25610" name="Drop Down 10" hidden="1">
              <a:extLst>
                <a:ext uri="{63B3BB69-23CF-44E3-9099-C40C66FF867C}">
                  <a14:compatExt spid="_x0000_s2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514350</xdr:colOff>
          <xdr:row>46</xdr:row>
          <xdr:rowOff>9525</xdr:rowOff>
        </xdr:to>
        <xdr:sp macro="" textlink="">
          <xdr:nvSpPr>
            <xdr:cNvPr id="25611" name="Drop Down 11" hidden="1">
              <a:extLst>
                <a:ext uri="{63B3BB69-23CF-44E3-9099-C40C66FF867C}">
                  <a14:compatExt spid="_x0000_s2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514350</xdr:colOff>
          <xdr:row>47</xdr:row>
          <xdr:rowOff>9525</xdr:rowOff>
        </xdr:to>
        <xdr:sp macro="" textlink="">
          <xdr:nvSpPr>
            <xdr:cNvPr id="25612" name="Drop Down 12" hidden="1">
              <a:extLst>
                <a:ext uri="{63B3BB69-23CF-44E3-9099-C40C66FF867C}">
                  <a14:compatExt spid="_x0000_s2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514350</xdr:colOff>
          <xdr:row>48</xdr:row>
          <xdr:rowOff>9525</xdr:rowOff>
        </xdr:to>
        <xdr:sp macro="" textlink="">
          <xdr:nvSpPr>
            <xdr:cNvPr id="25613" name="Drop Down 13" hidden="1">
              <a:extLst>
                <a:ext uri="{63B3BB69-23CF-44E3-9099-C40C66FF867C}">
                  <a14:compatExt spid="_x0000_s2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514350</xdr:colOff>
          <xdr:row>54</xdr:row>
          <xdr:rowOff>0</xdr:rowOff>
        </xdr:to>
        <xdr:sp macro="" textlink="">
          <xdr:nvSpPr>
            <xdr:cNvPr id="25614" name="Drop Down 14" hidden="1">
              <a:extLst>
                <a:ext uri="{63B3BB69-23CF-44E3-9099-C40C66FF867C}">
                  <a14:compatExt spid="_x0000_s2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514350</xdr:colOff>
          <xdr:row>55</xdr:row>
          <xdr:rowOff>0</xdr:rowOff>
        </xdr:to>
        <xdr:sp macro="" textlink="">
          <xdr:nvSpPr>
            <xdr:cNvPr id="25615" name="Drop Down 15" hidden="1">
              <a:extLst>
                <a:ext uri="{63B3BB69-23CF-44E3-9099-C40C66FF867C}">
                  <a14:compatExt spid="_x0000_s2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514350</xdr:colOff>
          <xdr:row>56</xdr:row>
          <xdr:rowOff>0</xdr:rowOff>
        </xdr:to>
        <xdr:sp macro="" textlink="">
          <xdr:nvSpPr>
            <xdr:cNvPr id="25616" name="Drop Down 16" hidden="1">
              <a:extLst>
                <a:ext uri="{63B3BB69-23CF-44E3-9099-C40C66FF867C}">
                  <a14:compatExt spid="_x0000_s2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8626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26533" name="Rechteck 1"/>
        <xdr:cNvSpPr>
          <a:spLocks noChangeArrowheads="1"/>
        </xdr:cNvSpPr>
      </xdr:nvSpPr>
      <xdr:spPr bwMode="auto">
        <a:xfrm>
          <a:off x="6668218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25400</xdr:colOff>
      <xdr:row>24</xdr:row>
      <xdr:rowOff>6350</xdr:rowOff>
    </xdr:from>
    <xdr:to>
      <xdr:col>21</xdr:col>
      <xdr:colOff>53975</xdr:colOff>
      <xdr:row>29</xdr:row>
      <xdr:rowOff>44450</xdr:rowOff>
    </xdr:to>
    <xdr:sp macro="" textlink="">
      <xdr:nvSpPr>
        <xdr:cNvPr id="2" name="Textfeld 1"/>
        <xdr:cNvSpPr txBox="1"/>
      </xdr:nvSpPr>
      <xdr:spPr>
        <a:xfrm>
          <a:off x="9426575" y="5349875"/>
          <a:ext cx="2247900" cy="10096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893593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13</xdr:col>
          <xdr:colOff>590550</xdr:colOff>
          <xdr:row>4</xdr:row>
          <xdr:rowOff>228600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9219" name="Drop Down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9221" name="Drop Down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581025</xdr:colOff>
          <xdr:row>49</xdr:row>
          <xdr:rowOff>0</xdr:rowOff>
        </xdr:to>
        <xdr:sp macro="" textlink="">
          <xdr:nvSpPr>
            <xdr:cNvPr id="9222" name="Drop Down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180975</xdr:rowOff>
        </xdr:from>
        <xdr:to>
          <xdr:col>5</xdr:col>
          <xdr:colOff>581025</xdr:colOff>
          <xdr:row>50</xdr:row>
          <xdr:rowOff>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180975</xdr:rowOff>
        </xdr:from>
        <xdr:to>
          <xdr:col>5</xdr:col>
          <xdr:colOff>581025</xdr:colOff>
          <xdr:row>51</xdr:row>
          <xdr:rowOff>0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581025</xdr:colOff>
          <xdr:row>52</xdr:row>
          <xdr:rowOff>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180975</xdr:rowOff>
        </xdr:from>
        <xdr:to>
          <xdr:col>5</xdr:col>
          <xdr:colOff>581025</xdr:colOff>
          <xdr:row>53</xdr:row>
          <xdr:rowOff>0</xdr:rowOff>
        </xdr:to>
        <xdr:sp macro="" textlink="">
          <xdr:nvSpPr>
            <xdr:cNvPr id="9226" name="Drop Down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581025</xdr:colOff>
          <xdr:row>46</xdr:row>
          <xdr:rowOff>0</xdr:rowOff>
        </xdr:to>
        <xdr:sp macro="" textlink="">
          <xdr:nvSpPr>
            <xdr:cNvPr id="9227" name="Drop Down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581025</xdr:colOff>
          <xdr:row>47</xdr:row>
          <xdr:rowOff>0</xdr:rowOff>
        </xdr:to>
        <xdr:sp macro="" textlink="">
          <xdr:nvSpPr>
            <xdr:cNvPr id="9228" name="Drop Down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581025</xdr:colOff>
          <xdr:row>48</xdr:row>
          <xdr:rowOff>0</xdr:rowOff>
        </xdr:to>
        <xdr:sp macro="" textlink="">
          <xdr:nvSpPr>
            <xdr:cNvPr id="9229" name="Drop Down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581025</xdr:colOff>
          <xdr:row>54</xdr:row>
          <xdr:rowOff>9525</xdr:rowOff>
        </xdr:to>
        <xdr:sp macro="" textlink="">
          <xdr:nvSpPr>
            <xdr:cNvPr id="9230" name="Drop Down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180975</xdr:rowOff>
        </xdr:from>
        <xdr:to>
          <xdr:col>5</xdr:col>
          <xdr:colOff>581025</xdr:colOff>
          <xdr:row>55</xdr:row>
          <xdr:rowOff>0</xdr:rowOff>
        </xdr:to>
        <xdr:sp macro="" textlink="">
          <xdr:nvSpPr>
            <xdr:cNvPr id="9231" name="Drop Down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180975</xdr:rowOff>
        </xdr:from>
        <xdr:to>
          <xdr:col>5</xdr:col>
          <xdr:colOff>581025</xdr:colOff>
          <xdr:row>56</xdr:row>
          <xdr:rowOff>0</xdr:rowOff>
        </xdr:to>
        <xdr:sp macro="" textlink="">
          <xdr:nvSpPr>
            <xdr:cNvPr id="9232" name="Drop Down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8626</xdr:colOff>
      <xdr:row>4</xdr:row>
      <xdr:rowOff>0</xdr:rowOff>
    </xdr:from>
    <xdr:to>
      <xdr:col>17</xdr:col>
      <xdr:colOff>0</xdr:colOff>
      <xdr:row>5</xdr:row>
      <xdr:rowOff>25879</xdr:rowOff>
    </xdr:to>
    <xdr:sp macro="" textlink="">
      <xdr:nvSpPr>
        <xdr:cNvPr id="10150" name="Rechteck 1"/>
        <xdr:cNvSpPr>
          <a:spLocks noChangeArrowheads="1"/>
        </xdr:cNvSpPr>
      </xdr:nvSpPr>
      <xdr:spPr bwMode="auto">
        <a:xfrm>
          <a:off x="6668218" y="1000664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0</xdr:colOff>
      <xdr:row>23</xdr:row>
      <xdr:rowOff>184150</xdr:rowOff>
    </xdr:from>
    <xdr:to>
      <xdr:col>21</xdr:col>
      <xdr:colOff>196850</xdr:colOff>
      <xdr:row>29</xdr:row>
      <xdr:rowOff>19050</xdr:rowOff>
    </xdr:to>
    <xdr:sp macro="" textlink="">
      <xdr:nvSpPr>
        <xdr:cNvPr id="2" name="Textfeld 1"/>
        <xdr:cNvSpPr txBox="1"/>
      </xdr:nvSpPr>
      <xdr:spPr>
        <a:xfrm>
          <a:off x="9836150" y="5295900"/>
          <a:ext cx="2527300" cy="9969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893593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4</xdr:row>
          <xdr:rowOff>47625</xdr:rowOff>
        </xdr:from>
        <xdr:to>
          <xdr:col>12</xdr:col>
          <xdr:colOff>523875</xdr:colOff>
          <xdr:row>4</xdr:row>
          <xdr:rowOff>190500</xdr:rowOff>
        </xdr:to>
        <xdr:sp macro="" textlink="">
          <xdr:nvSpPr>
            <xdr:cNvPr id="26625" name="Drop Dow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6626" name="Drop Down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4</xdr:row>
          <xdr:rowOff>28575</xdr:rowOff>
        </xdr:from>
        <xdr:to>
          <xdr:col>14</xdr:col>
          <xdr:colOff>504825</xdr:colOff>
          <xdr:row>4</xdr:row>
          <xdr:rowOff>171450</xdr:rowOff>
        </xdr:to>
        <xdr:sp macro="" textlink="">
          <xdr:nvSpPr>
            <xdr:cNvPr id="26627" name="Drop Down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133350</xdr:colOff>
          <xdr:row>4</xdr:row>
          <xdr:rowOff>38100</xdr:rowOff>
        </xdr:from>
        <xdr:to>
          <xdr:col>15</xdr:col>
          <xdr:colOff>533400</xdr:colOff>
          <xdr:row>4</xdr:row>
          <xdr:rowOff>180975</xdr:rowOff>
        </xdr:to>
        <xdr:sp macro="" textlink="">
          <xdr:nvSpPr>
            <xdr:cNvPr id="26628" name="Drop Down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47625</xdr:colOff>
          <xdr:row>4</xdr:row>
          <xdr:rowOff>19050</xdr:rowOff>
        </xdr:from>
        <xdr:to>
          <xdr:col>16</xdr:col>
          <xdr:colOff>457200</xdr:colOff>
          <xdr:row>4</xdr:row>
          <xdr:rowOff>161925</xdr:rowOff>
        </xdr:to>
        <xdr:sp macro="" textlink="">
          <xdr:nvSpPr>
            <xdr:cNvPr id="26629" name="Drop Down 5" hidden="1">
              <a:extLst>
                <a:ext uri="{63B3BB69-23CF-44E3-9099-C40C66FF867C}">
                  <a14:compatExt spid="_x0000_s2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171450</xdr:rowOff>
        </xdr:from>
        <xdr:to>
          <xdr:col>5</xdr:col>
          <xdr:colOff>523875</xdr:colOff>
          <xdr:row>46</xdr:row>
          <xdr:rowOff>0</xdr:rowOff>
        </xdr:to>
        <xdr:sp macro="" textlink="">
          <xdr:nvSpPr>
            <xdr:cNvPr id="26630" name="Drop Down 6" hidden="1">
              <a:extLst>
                <a:ext uri="{63B3BB69-23CF-44E3-9099-C40C66FF867C}">
                  <a14:compatExt spid="_x0000_s2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171450</xdr:rowOff>
        </xdr:from>
        <xdr:to>
          <xdr:col>5</xdr:col>
          <xdr:colOff>523875</xdr:colOff>
          <xdr:row>47</xdr:row>
          <xdr:rowOff>0</xdr:rowOff>
        </xdr:to>
        <xdr:sp macro="" textlink="">
          <xdr:nvSpPr>
            <xdr:cNvPr id="26631" name="Drop Down 7" hidden="1">
              <a:extLst>
                <a:ext uri="{63B3BB69-23CF-44E3-9099-C40C66FF867C}">
                  <a14:compatExt spid="_x0000_s2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171450</xdr:rowOff>
        </xdr:from>
        <xdr:to>
          <xdr:col>5</xdr:col>
          <xdr:colOff>523875</xdr:colOff>
          <xdr:row>48</xdr:row>
          <xdr:rowOff>0</xdr:rowOff>
        </xdr:to>
        <xdr:sp macro="" textlink="">
          <xdr:nvSpPr>
            <xdr:cNvPr id="26632" name="Drop Down 8" hidden="1">
              <a:extLst>
                <a:ext uri="{63B3BB69-23CF-44E3-9099-C40C66FF867C}">
                  <a14:compatExt spid="_x0000_s2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171450</xdr:rowOff>
        </xdr:from>
        <xdr:to>
          <xdr:col>5</xdr:col>
          <xdr:colOff>523875</xdr:colOff>
          <xdr:row>49</xdr:row>
          <xdr:rowOff>0</xdr:rowOff>
        </xdr:to>
        <xdr:sp macro="" textlink="">
          <xdr:nvSpPr>
            <xdr:cNvPr id="26633" name="Drop Down 9" hidden="1">
              <a:extLst>
                <a:ext uri="{63B3BB69-23CF-44E3-9099-C40C66FF867C}">
                  <a14:compatExt spid="_x0000_s2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523875</xdr:colOff>
          <xdr:row>50</xdr:row>
          <xdr:rowOff>0</xdr:rowOff>
        </xdr:to>
        <xdr:sp macro="" textlink="">
          <xdr:nvSpPr>
            <xdr:cNvPr id="26634" name="Drop Down 10" hidden="1">
              <a:extLst>
                <a:ext uri="{63B3BB69-23CF-44E3-9099-C40C66FF867C}">
                  <a14:compatExt spid="_x0000_s26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523875</xdr:colOff>
          <xdr:row>51</xdr:row>
          <xdr:rowOff>0</xdr:rowOff>
        </xdr:to>
        <xdr:sp macro="" textlink="">
          <xdr:nvSpPr>
            <xdr:cNvPr id="26635" name="Drop Down 11" hidden="1">
              <a:extLst>
                <a:ext uri="{63B3BB69-23CF-44E3-9099-C40C66FF867C}">
                  <a14:compatExt spid="_x0000_s26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523875</xdr:colOff>
          <xdr:row>52</xdr:row>
          <xdr:rowOff>0</xdr:rowOff>
        </xdr:to>
        <xdr:sp macro="" textlink="">
          <xdr:nvSpPr>
            <xdr:cNvPr id="26636" name="Drop Down 12" hidden="1">
              <a:extLst>
                <a:ext uri="{63B3BB69-23CF-44E3-9099-C40C66FF867C}">
                  <a14:compatExt spid="_x0000_s26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523875</xdr:colOff>
          <xdr:row>53</xdr:row>
          <xdr:rowOff>0</xdr:rowOff>
        </xdr:to>
        <xdr:sp macro="" textlink="">
          <xdr:nvSpPr>
            <xdr:cNvPr id="26637" name="Drop Down 13" hidden="1">
              <a:extLst>
                <a:ext uri="{63B3BB69-23CF-44E3-9099-C40C66FF867C}">
                  <a14:compatExt spid="_x0000_s2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523875</xdr:colOff>
          <xdr:row>54</xdr:row>
          <xdr:rowOff>0</xdr:rowOff>
        </xdr:to>
        <xdr:sp macro="" textlink="">
          <xdr:nvSpPr>
            <xdr:cNvPr id="26638" name="Drop Down 14" hidden="1">
              <a:extLst>
                <a:ext uri="{63B3BB69-23CF-44E3-9099-C40C66FF867C}">
                  <a14:compatExt spid="_x0000_s2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523875</xdr:colOff>
          <xdr:row>55</xdr:row>
          <xdr:rowOff>0</xdr:rowOff>
        </xdr:to>
        <xdr:sp macro="" textlink="">
          <xdr:nvSpPr>
            <xdr:cNvPr id="26639" name="Drop Down 15" hidden="1">
              <a:extLst>
                <a:ext uri="{63B3BB69-23CF-44E3-9099-C40C66FF867C}">
                  <a14:compatExt spid="_x0000_s2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523875</xdr:colOff>
          <xdr:row>56</xdr:row>
          <xdr:rowOff>0</xdr:rowOff>
        </xdr:to>
        <xdr:sp macro="" textlink="">
          <xdr:nvSpPr>
            <xdr:cNvPr id="26640" name="Drop Down 16" hidden="1">
              <a:extLst>
                <a:ext uri="{63B3BB69-23CF-44E3-9099-C40C66FF867C}">
                  <a14:compatExt spid="_x0000_s2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215660</xdr:rowOff>
    </xdr:from>
    <xdr:to>
      <xdr:col>17</xdr:col>
      <xdr:colOff>0</xdr:colOff>
      <xdr:row>5</xdr:row>
      <xdr:rowOff>8626</xdr:rowOff>
    </xdr:to>
    <xdr:sp macro="" textlink="">
      <xdr:nvSpPr>
        <xdr:cNvPr id="27556" name="Rechteck 1"/>
        <xdr:cNvSpPr>
          <a:spLocks noChangeArrowheads="1"/>
        </xdr:cNvSpPr>
      </xdr:nvSpPr>
      <xdr:spPr bwMode="auto">
        <a:xfrm>
          <a:off x="6659592" y="983411"/>
          <a:ext cx="3062378" cy="25879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88900</xdr:colOff>
      <xdr:row>23</xdr:row>
      <xdr:rowOff>165100</xdr:rowOff>
    </xdr:from>
    <xdr:to>
      <xdr:col>21</xdr:col>
      <xdr:colOff>57150</xdr:colOff>
      <xdr:row>29</xdr:row>
      <xdr:rowOff>120650</xdr:rowOff>
    </xdr:to>
    <xdr:sp macro="" textlink="">
      <xdr:nvSpPr>
        <xdr:cNvPr id="2" name="Textfeld 1"/>
        <xdr:cNvSpPr txBox="1"/>
      </xdr:nvSpPr>
      <xdr:spPr>
        <a:xfrm>
          <a:off x="9912350" y="5276850"/>
          <a:ext cx="2298700" cy="11176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723660</xdr:colOff>
      <xdr:row>0</xdr:row>
      <xdr:rowOff>730370</xdr:rowOff>
    </xdr:from>
    <xdr:to>
      <xdr:col>22</xdr:col>
      <xdr:colOff>12700</xdr:colOff>
      <xdr:row>23</xdr:row>
      <xdr:rowOff>292579</xdr:rowOff>
    </xdr:to>
    <xdr:graphicFrame macro="">
      <xdr:nvGraphicFramePr>
        <xdr:cNvPr id="24395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57150</xdr:rowOff>
    </xdr:from>
    <xdr:to>
      <xdr:col>5</xdr:col>
      <xdr:colOff>685800</xdr:colOff>
      <xdr:row>0</xdr:row>
      <xdr:rowOff>704850</xdr:rowOff>
    </xdr:to>
    <xdr:sp macro="" textlink="">
      <xdr:nvSpPr>
        <xdr:cNvPr id="3" name="Textfeld 2">
          <a:hlinkClick xmlns:r="http://schemas.openxmlformats.org/officeDocument/2006/relationships" r:id="rId2"/>
        </xdr:cNvPr>
        <xdr:cNvSpPr txBox="1"/>
      </xdr:nvSpPr>
      <xdr:spPr>
        <a:xfrm>
          <a:off x="266700" y="57150"/>
          <a:ext cx="358140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Inhaltsverzeichnis</a:t>
          </a:r>
          <a:endParaRPr lang="de-DE" sz="1100" b="1"/>
        </a:p>
      </xdr:txBody>
    </xdr:sp>
    <xdr:clientData/>
  </xdr:twoCellAnchor>
  <xdr:twoCellAnchor>
    <xdr:from>
      <xdr:col>10</xdr:col>
      <xdr:colOff>0</xdr:colOff>
      <xdr:row>0</xdr:row>
      <xdr:rowOff>57150</xdr:rowOff>
    </xdr:from>
    <xdr:to>
      <xdr:col>13</xdr:col>
      <xdr:colOff>171450</xdr:colOff>
      <xdr:row>0</xdr:row>
      <xdr:rowOff>704850</xdr:rowOff>
    </xdr:to>
    <xdr:sp macro="" textlink="">
      <xdr:nvSpPr>
        <xdr:cNvPr id="4" name="Textfeld 3">
          <a:hlinkClick xmlns:r="http://schemas.openxmlformats.org/officeDocument/2006/relationships" r:id="rId3"/>
        </xdr:cNvPr>
        <xdr:cNvSpPr txBox="1"/>
      </xdr:nvSpPr>
      <xdr:spPr>
        <a:xfrm>
          <a:off x="6781800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Übersicht</a:t>
          </a:r>
          <a:endParaRPr lang="de-DE" sz="1100" b="1"/>
        </a:p>
      </xdr:txBody>
    </xdr:sp>
    <xdr:clientData/>
  </xdr:twoCellAnchor>
  <xdr:twoCellAnchor>
    <xdr:from>
      <xdr:col>16</xdr:col>
      <xdr:colOff>704850</xdr:colOff>
      <xdr:row>0</xdr:row>
      <xdr:rowOff>57150</xdr:rowOff>
    </xdr:from>
    <xdr:to>
      <xdr:col>20</xdr:col>
      <xdr:colOff>0</xdr:colOff>
      <xdr:row>0</xdr:row>
      <xdr:rowOff>704850</xdr:rowOff>
    </xdr:to>
    <xdr:sp macro="" textlink="">
      <xdr:nvSpPr>
        <xdr:cNvPr id="5" name="Textfeld 4">
          <a:hlinkClick xmlns:r="http://schemas.openxmlformats.org/officeDocument/2006/relationships" r:id="rId4"/>
        </xdr:cNvPr>
        <xdr:cNvSpPr txBox="1"/>
      </xdr:nvSpPr>
      <xdr:spPr>
        <a:xfrm>
          <a:off x="11830050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Grafik 2</a:t>
          </a:r>
          <a:endParaRPr lang="de-DE" sz="1100" b="1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4</xdr:row>
          <xdr:rowOff>47625</xdr:rowOff>
        </xdr:from>
        <xdr:to>
          <xdr:col>12</xdr:col>
          <xdr:colOff>523875</xdr:colOff>
          <xdr:row>4</xdr:row>
          <xdr:rowOff>190500</xdr:rowOff>
        </xdr:to>
        <xdr:sp macro="" textlink="">
          <xdr:nvSpPr>
            <xdr:cNvPr id="35841" name="Drop Down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76200</xdr:colOff>
          <xdr:row>4</xdr:row>
          <xdr:rowOff>57150</xdr:rowOff>
        </xdr:from>
        <xdr:to>
          <xdr:col>13</xdr:col>
          <xdr:colOff>485775</xdr:colOff>
          <xdr:row>4</xdr:row>
          <xdr:rowOff>209550</xdr:rowOff>
        </xdr:to>
        <xdr:sp macro="" textlink="">
          <xdr:nvSpPr>
            <xdr:cNvPr id="35842" name="Drop Down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161925</xdr:colOff>
          <xdr:row>4</xdr:row>
          <xdr:rowOff>47625</xdr:rowOff>
        </xdr:from>
        <xdr:to>
          <xdr:col>14</xdr:col>
          <xdr:colOff>571500</xdr:colOff>
          <xdr:row>4</xdr:row>
          <xdr:rowOff>200025</xdr:rowOff>
        </xdr:to>
        <xdr:sp macro="" textlink="">
          <xdr:nvSpPr>
            <xdr:cNvPr id="35843" name="Drop Down 3" hidden="1">
              <a:extLst>
                <a:ext uri="{63B3BB69-23CF-44E3-9099-C40C66FF867C}">
                  <a14:compatExt spid="_x0000_s3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4</xdr:row>
          <xdr:rowOff>57150</xdr:rowOff>
        </xdr:from>
        <xdr:to>
          <xdr:col>15</xdr:col>
          <xdr:colOff>485775</xdr:colOff>
          <xdr:row>4</xdr:row>
          <xdr:rowOff>209550</xdr:rowOff>
        </xdr:to>
        <xdr:sp macro="" textlink="">
          <xdr:nvSpPr>
            <xdr:cNvPr id="35844" name="Drop Down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4</xdr:row>
          <xdr:rowOff>47625</xdr:rowOff>
        </xdr:from>
        <xdr:to>
          <xdr:col>16</xdr:col>
          <xdr:colOff>466725</xdr:colOff>
          <xdr:row>4</xdr:row>
          <xdr:rowOff>200025</xdr:rowOff>
        </xdr:to>
        <xdr:sp macro="" textlink="">
          <xdr:nvSpPr>
            <xdr:cNvPr id="35845" name="Drop Down 5" hidden="1">
              <a:extLst>
                <a:ext uri="{63B3BB69-23CF-44E3-9099-C40C66FF867C}">
                  <a14:compatExt spid="_x0000_s3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552450</xdr:colOff>
          <xdr:row>48</xdr:row>
          <xdr:rowOff>9525</xdr:rowOff>
        </xdr:to>
        <xdr:sp macro="" textlink="">
          <xdr:nvSpPr>
            <xdr:cNvPr id="35863" name="Drop Down 23" hidden="1">
              <a:extLst>
                <a:ext uri="{63B3BB69-23CF-44E3-9099-C40C66FF867C}">
                  <a14:compatExt spid="_x0000_s3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552450</xdr:colOff>
          <xdr:row>49</xdr:row>
          <xdr:rowOff>9525</xdr:rowOff>
        </xdr:to>
        <xdr:sp macro="" textlink="">
          <xdr:nvSpPr>
            <xdr:cNvPr id="35864" name="Drop Down 24" hidden="1">
              <a:extLst>
                <a:ext uri="{63B3BB69-23CF-44E3-9099-C40C66FF867C}">
                  <a14:compatExt spid="_x0000_s3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180975</xdr:rowOff>
        </xdr:from>
        <xdr:to>
          <xdr:col>5</xdr:col>
          <xdr:colOff>552450</xdr:colOff>
          <xdr:row>50</xdr:row>
          <xdr:rowOff>0</xdr:rowOff>
        </xdr:to>
        <xdr:sp macro="" textlink="">
          <xdr:nvSpPr>
            <xdr:cNvPr id="35865" name="Drop Down 25" hidden="1">
              <a:extLst>
                <a:ext uri="{63B3BB69-23CF-44E3-9099-C40C66FF867C}">
                  <a14:compatExt spid="_x0000_s3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180975</xdr:rowOff>
        </xdr:from>
        <xdr:to>
          <xdr:col>5</xdr:col>
          <xdr:colOff>552450</xdr:colOff>
          <xdr:row>51</xdr:row>
          <xdr:rowOff>0</xdr:rowOff>
        </xdr:to>
        <xdr:sp macro="" textlink="">
          <xdr:nvSpPr>
            <xdr:cNvPr id="35866" name="Drop Down 26" hidden="1">
              <a:extLst>
                <a:ext uri="{63B3BB69-23CF-44E3-9099-C40C66FF867C}">
                  <a14:compatExt spid="_x0000_s3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552450</xdr:colOff>
          <xdr:row>52</xdr:row>
          <xdr:rowOff>9525</xdr:rowOff>
        </xdr:to>
        <xdr:sp macro="" textlink="">
          <xdr:nvSpPr>
            <xdr:cNvPr id="35867" name="Drop Down 27" hidden="1">
              <a:extLst>
                <a:ext uri="{63B3BB69-23CF-44E3-9099-C40C66FF867C}">
                  <a14:compatExt spid="_x0000_s3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552450</xdr:colOff>
          <xdr:row>53</xdr:row>
          <xdr:rowOff>9525</xdr:rowOff>
        </xdr:to>
        <xdr:sp macro="" textlink="">
          <xdr:nvSpPr>
            <xdr:cNvPr id="35868" name="Drop Down 28" hidden="1">
              <a:extLst>
                <a:ext uri="{63B3BB69-23CF-44E3-9099-C40C66FF867C}">
                  <a14:compatExt spid="_x0000_s35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180975</xdr:rowOff>
        </xdr:from>
        <xdr:to>
          <xdr:col>5</xdr:col>
          <xdr:colOff>552450</xdr:colOff>
          <xdr:row>54</xdr:row>
          <xdr:rowOff>0</xdr:rowOff>
        </xdr:to>
        <xdr:sp macro="" textlink="">
          <xdr:nvSpPr>
            <xdr:cNvPr id="35869" name="Drop Down 29" hidden="1">
              <a:extLst>
                <a:ext uri="{63B3BB69-23CF-44E3-9099-C40C66FF867C}">
                  <a14:compatExt spid="_x0000_s35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180975</xdr:rowOff>
        </xdr:from>
        <xdr:to>
          <xdr:col>5</xdr:col>
          <xdr:colOff>552450</xdr:colOff>
          <xdr:row>55</xdr:row>
          <xdr:rowOff>0</xdr:rowOff>
        </xdr:to>
        <xdr:sp macro="" textlink="">
          <xdr:nvSpPr>
            <xdr:cNvPr id="35870" name="Drop Down 30" hidden="1">
              <a:extLst>
                <a:ext uri="{63B3BB69-23CF-44E3-9099-C40C66FF867C}">
                  <a14:compatExt spid="_x0000_s35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180975</xdr:rowOff>
        </xdr:from>
        <xdr:to>
          <xdr:col>5</xdr:col>
          <xdr:colOff>552450</xdr:colOff>
          <xdr:row>56</xdr:row>
          <xdr:rowOff>0</xdr:rowOff>
        </xdr:to>
        <xdr:sp macro="" textlink="">
          <xdr:nvSpPr>
            <xdr:cNvPr id="35871" name="Drop Down 31" hidden="1">
              <a:extLst>
                <a:ext uri="{63B3BB69-23CF-44E3-9099-C40C66FF867C}">
                  <a14:compatExt spid="_x0000_s35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552450</xdr:colOff>
          <xdr:row>47</xdr:row>
          <xdr:rowOff>9525</xdr:rowOff>
        </xdr:to>
        <xdr:sp macro="" textlink="">
          <xdr:nvSpPr>
            <xdr:cNvPr id="35872" name="Drop Down 32" hidden="1">
              <a:extLst>
                <a:ext uri="{63B3BB69-23CF-44E3-9099-C40C66FF867C}">
                  <a14:compatExt spid="_x0000_s35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552450</xdr:colOff>
          <xdr:row>46</xdr:row>
          <xdr:rowOff>9525</xdr:rowOff>
        </xdr:to>
        <xdr:sp macro="" textlink="">
          <xdr:nvSpPr>
            <xdr:cNvPr id="35873" name="Drop Down 33" hidden="1">
              <a:extLst>
                <a:ext uri="{63B3BB69-23CF-44E3-9099-C40C66FF867C}">
                  <a14:compatExt spid="_x0000_s35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4</xdr:row>
      <xdr:rowOff>0</xdr:rowOff>
    </xdr:from>
    <xdr:to>
      <xdr:col>17</xdr:col>
      <xdr:colOff>0</xdr:colOff>
      <xdr:row>5</xdr:row>
      <xdr:rowOff>0</xdr:rowOff>
    </xdr:to>
    <xdr:sp macro="" textlink="">
      <xdr:nvSpPr>
        <xdr:cNvPr id="36789" name="Rechteck 1"/>
        <xdr:cNvSpPr>
          <a:spLocks noChangeArrowheads="1"/>
        </xdr:cNvSpPr>
      </xdr:nvSpPr>
      <xdr:spPr bwMode="auto">
        <a:xfrm>
          <a:off x="6694098" y="1000664"/>
          <a:ext cx="3062377" cy="23291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44450</xdr:colOff>
      <xdr:row>24</xdr:row>
      <xdr:rowOff>12700</xdr:rowOff>
    </xdr:from>
    <xdr:to>
      <xdr:col>22</xdr:col>
      <xdr:colOff>76200</xdr:colOff>
      <xdr:row>29</xdr:row>
      <xdr:rowOff>31750</xdr:rowOff>
    </xdr:to>
    <xdr:sp macro="" textlink="">
      <xdr:nvSpPr>
        <xdr:cNvPr id="2" name="Textfeld 1"/>
        <xdr:cNvSpPr txBox="1"/>
      </xdr:nvSpPr>
      <xdr:spPr>
        <a:xfrm>
          <a:off x="9899650" y="5314950"/>
          <a:ext cx="3022600" cy="9906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757333" y="920750"/>
          <a:ext cx="3175000" cy="359833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4</xdr:row>
          <xdr:rowOff>28575</xdr:rowOff>
        </xdr:from>
        <xdr:to>
          <xdr:col>12</xdr:col>
          <xdr:colOff>533400</xdr:colOff>
          <xdr:row>4</xdr:row>
          <xdr:rowOff>171450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47625</xdr:rowOff>
        </xdr:from>
        <xdr:to>
          <xdr:col>13</xdr:col>
          <xdr:colOff>504825</xdr:colOff>
          <xdr:row>4</xdr:row>
          <xdr:rowOff>190500</xdr:rowOff>
        </xdr:to>
        <xdr:sp macro="" textlink="">
          <xdr:nvSpPr>
            <xdr:cNvPr id="12290" name="Drop Dow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4</xdr:row>
          <xdr:rowOff>38100</xdr:rowOff>
        </xdr:from>
        <xdr:to>
          <xdr:col>14</xdr:col>
          <xdr:colOff>504825</xdr:colOff>
          <xdr:row>4</xdr:row>
          <xdr:rowOff>180975</xdr:rowOff>
        </xdr:to>
        <xdr:sp macro="" textlink="">
          <xdr:nvSpPr>
            <xdr:cNvPr id="12291" name="Drop Dow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4</xdr:row>
          <xdr:rowOff>38100</xdr:rowOff>
        </xdr:from>
        <xdr:to>
          <xdr:col>15</xdr:col>
          <xdr:colOff>495300</xdr:colOff>
          <xdr:row>4</xdr:row>
          <xdr:rowOff>180975</xdr:rowOff>
        </xdr:to>
        <xdr:sp macro="" textlink="">
          <xdr:nvSpPr>
            <xdr:cNvPr id="12292" name="Drop Dow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4</xdr:row>
          <xdr:rowOff>38100</xdr:rowOff>
        </xdr:from>
        <xdr:to>
          <xdr:col>16</xdr:col>
          <xdr:colOff>542925</xdr:colOff>
          <xdr:row>4</xdr:row>
          <xdr:rowOff>180975</xdr:rowOff>
        </xdr:to>
        <xdr:sp macro="" textlink="">
          <xdr:nvSpPr>
            <xdr:cNvPr id="12293" name="Drop Down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552450</xdr:colOff>
          <xdr:row>46</xdr:row>
          <xdr:rowOff>9525</xdr:rowOff>
        </xdr:to>
        <xdr:sp macro="" textlink="">
          <xdr:nvSpPr>
            <xdr:cNvPr id="12294" name="Drop Down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552450</xdr:colOff>
          <xdr:row>47</xdr:row>
          <xdr:rowOff>9525</xdr:rowOff>
        </xdr:to>
        <xdr:sp macro="" textlink="">
          <xdr:nvSpPr>
            <xdr:cNvPr id="12295" name="Drop Dow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552450</xdr:colOff>
          <xdr:row>48</xdr:row>
          <xdr:rowOff>9525</xdr:rowOff>
        </xdr:to>
        <xdr:sp macro="" textlink="">
          <xdr:nvSpPr>
            <xdr:cNvPr id="12296" name="Drop Dow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552450</xdr:colOff>
          <xdr:row>49</xdr:row>
          <xdr:rowOff>9525</xdr:rowOff>
        </xdr:to>
        <xdr:sp macro="" textlink="">
          <xdr:nvSpPr>
            <xdr:cNvPr id="12297" name="Drop Down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552450</xdr:colOff>
          <xdr:row>50</xdr:row>
          <xdr:rowOff>9525</xdr:rowOff>
        </xdr:to>
        <xdr:sp macro="" textlink="">
          <xdr:nvSpPr>
            <xdr:cNvPr id="12298" name="Drop Dow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180975</xdr:rowOff>
        </xdr:from>
        <xdr:to>
          <xdr:col>5</xdr:col>
          <xdr:colOff>552450</xdr:colOff>
          <xdr:row>51</xdr:row>
          <xdr:rowOff>0</xdr:rowOff>
        </xdr:to>
        <xdr:sp macro="" textlink="">
          <xdr:nvSpPr>
            <xdr:cNvPr id="12299" name="Drop Dow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180975</xdr:rowOff>
        </xdr:from>
        <xdr:to>
          <xdr:col>5</xdr:col>
          <xdr:colOff>552450</xdr:colOff>
          <xdr:row>52</xdr:row>
          <xdr:rowOff>0</xdr:rowOff>
        </xdr:to>
        <xdr:sp macro="" textlink="">
          <xdr:nvSpPr>
            <xdr:cNvPr id="12300" name="Drop Down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180975</xdr:rowOff>
        </xdr:from>
        <xdr:to>
          <xdr:col>5</xdr:col>
          <xdr:colOff>552450</xdr:colOff>
          <xdr:row>53</xdr:row>
          <xdr:rowOff>0</xdr:rowOff>
        </xdr:to>
        <xdr:sp macro="" textlink="">
          <xdr:nvSpPr>
            <xdr:cNvPr id="12301" name="Drop Dow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552450</xdr:colOff>
          <xdr:row>54</xdr:row>
          <xdr:rowOff>9525</xdr:rowOff>
        </xdr:to>
        <xdr:sp macro="" textlink="">
          <xdr:nvSpPr>
            <xdr:cNvPr id="12302" name="Drop Dow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180975</xdr:rowOff>
        </xdr:from>
        <xdr:to>
          <xdr:col>5</xdr:col>
          <xdr:colOff>552450</xdr:colOff>
          <xdr:row>55</xdr:row>
          <xdr:rowOff>0</xdr:rowOff>
        </xdr:to>
        <xdr:sp macro="" textlink="">
          <xdr:nvSpPr>
            <xdr:cNvPr id="12303" name="Drop Down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180975</xdr:rowOff>
        </xdr:from>
        <xdr:to>
          <xdr:col>5</xdr:col>
          <xdr:colOff>552450</xdr:colOff>
          <xdr:row>56</xdr:row>
          <xdr:rowOff>0</xdr:rowOff>
        </xdr:to>
        <xdr:sp macro="" textlink="">
          <xdr:nvSpPr>
            <xdr:cNvPr id="12304" name="Drop Down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3220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101600</xdr:colOff>
      <xdr:row>24</xdr:row>
      <xdr:rowOff>12700</xdr:rowOff>
    </xdr:from>
    <xdr:to>
      <xdr:col>21</xdr:col>
      <xdr:colOff>120650</xdr:colOff>
      <xdr:row>29</xdr:row>
      <xdr:rowOff>19050</xdr:rowOff>
    </xdr:to>
    <xdr:sp macro="" textlink="">
      <xdr:nvSpPr>
        <xdr:cNvPr id="2" name="Textfeld 1"/>
        <xdr:cNvSpPr txBox="1"/>
      </xdr:nvSpPr>
      <xdr:spPr>
        <a:xfrm>
          <a:off x="9925050" y="5314950"/>
          <a:ext cx="2349500" cy="9779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14338" name="Drop Dow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14339" name="Drop Dow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14340" name="Drop Dow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14341" name="Drop Down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6</xdr:col>
          <xdr:colOff>123825</xdr:colOff>
          <xdr:row>46</xdr:row>
          <xdr:rowOff>9525</xdr:rowOff>
        </xdr:to>
        <xdr:sp macro="" textlink="">
          <xdr:nvSpPr>
            <xdr:cNvPr id="14342" name="Drop Down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6</xdr:col>
          <xdr:colOff>123825</xdr:colOff>
          <xdr:row>47</xdr:row>
          <xdr:rowOff>9525</xdr:rowOff>
        </xdr:to>
        <xdr:sp macro="" textlink="">
          <xdr:nvSpPr>
            <xdr:cNvPr id="14343" name="Drop Down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6</xdr:col>
          <xdr:colOff>123825</xdr:colOff>
          <xdr:row>48</xdr:row>
          <xdr:rowOff>9525</xdr:rowOff>
        </xdr:to>
        <xdr:sp macro="" textlink="">
          <xdr:nvSpPr>
            <xdr:cNvPr id="14344" name="Drop Down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6</xdr:col>
          <xdr:colOff>123825</xdr:colOff>
          <xdr:row>49</xdr:row>
          <xdr:rowOff>9525</xdr:rowOff>
        </xdr:to>
        <xdr:sp macro="" textlink="">
          <xdr:nvSpPr>
            <xdr:cNvPr id="14345" name="Drop Down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6</xdr:col>
          <xdr:colOff>123825</xdr:colOff>
          <xdr:row>50</xdr:row>
          <xdr:rowOff>9525</xdr:rowOff>
        </xdr:to>
        <xdr:sp macro="" textlink="">
          <xdr:nvSpPr>
            <xdr:cNvPr id="14346" name="Drop Down 10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6</xdr:col>
          <xdr:colOff>123825</xdr:colOff>
          <xdr:row>51</xdr:row>
          <xdr:rowOff>0</xdr:rowOff>
        </xdr:to>
        <xdr:sp macro="" textlink="">
          <xdr:nvSpPr>
            <xdr:cNvPr id="14347" name="Drop Down 11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6</xdr:col>
          <xdr:colOff>123825</xdr:colOff>
          <xdr:row>52</xdr:row>
          <xdr:rowOff>0</xdr:rowOff>
        </xdr:to>
        <xdr:sp macro="" textlink="">
          <xdr:nvSpPr>
            <xdr:cNvPr id="14348" name="Drop Down 12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6</xdr:col>
          <xdr:colOff>123825</xdr:colOff>
          <xdr:row>53</xdr:row>
          <xdr:rowOff>0</xdr:rowOff>
        </xdr:to>
        <xdr:sp macro="" textlink="">
          <xdr:nvSpPr>
            <xdr:cNvPr id="14349" name="Drop Down 13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6</xdr:col>
          <xdr:colOff>123825</xdr:colOff>
          <xdr:row>54</xdr:row>
          <xdr:rowOff>0</xdr:rowOff>
        </xdr:to>
        <xdr:sp macro="" textlink="">
          <xdr:nvSpPr>
            <xdr:cNvPr id="14350" name="Drop Down 14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6</xdr:col>
          <xdr:colOff>123825</xdr:colOff>
          <xdr:row>55</xdr:row>
          <xdr:rowOff>9525</xdr:rowOff>
        </xdr:to>
        <xdr:sp macro="" textlink="">
          <xdr:nvSpPr>
            <xdr:cNvPr id="14351" name="Drop Down 15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180975</xdr:rowOff>
        </xdr:from>
        <xdr:to>
          <xdr:col>6</xdr:col>
          <xdr:colOff>123825</xdr:colOff>
          <xdr:row>56</xdr:row>
          <xdr:rowOff>0</xdr:rowOff>
        </xdr:to>
        <xdr:sp macro="" textlink="">
          <xdr:nvSpPr>
            <xdr:cNvPr id="14352" name="Drop Down 16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8" name="Textfeld 1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24</xdr:row>
      <xdr:rowOff>6350</xdr:rowOff>
    </xdr:from>
    <xdr:to>
      <xdr:col>21</xdr:col>
      <xdr:colOff>0</xdr:colOff>
      <xdr:row>29</xdr:row>
      <xdr:rowOff>63500</xdr:rowOff>
    </xdr:to>
    <xdr:sp macro="" textlink="">
      <xdr:nvSpPr>
        <xdr:cNvPr id="2" name="Textfeld 1"/>
        <xdr:cNvSpPr txBox="1"/>
      </xdr:nvSpPr>
      <xdr:spPr>
        <a:xfrm>
          <a:off x="9874250" y="5334000"/>
          <a:ext cx="227965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271233" name="Drop Down 1" hidden="1">
              <a:extLst>
                <a:ext uri="{63B3BB69-23CF-44E3-9099-C40C66FF867C}">
                  <a14:compatExt spid="_x0000_s227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271234" name="Drop Down 2" hidden="1">
              <a:extLst>
                <a:ext uri="{63B3BB69-23CF-44E3-9099-C40C66FF867C}">
                  <a14:compatExt spid="_x0000_s227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271235" name="Drop Down 3" hidden="1">
              <a:extLst>
                <a:ext uri="{63B3BB69-23CF-44E3-9099-C40C66FF867C}">
                  <a14:compatExt spid="_x0000_s227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271236" name="Drop Down 4" hidden="1">
              <a:extLst>
                <a:ext uri="{63B3BB69-23CF-44E3-9099-C40C66FF867C}">
                  <a14:compatExt spid="_x0000_s227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271237" name="Drop Down 5" hidden="1">
              <a:extLst>
                <a:ext uri="{63B3BB69-23CF-44E3-9099-C40C66FF867C}">
                  <a14:compatExt spid="_x0000_s227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271238" name="Drop Down 6" hidden="1">
              <a:extLst>
                <a:ext uri="{63B3BB69-23CF-44E3-9099-C40C66FF867C}">
                  <a14:compatExt spid="_x0000_s227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271239" name="Drop Down 7" hidden="1">
              <a:extLst>
                <a:ext uri="{63B3BB69-23CF-44E3-9099-C40C66FF867C}">
                  <a14:compatExt spid="_x0000_s227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271240" name="Drop Down 8" hidden="1">
              <a:extLst>
                <a:ext uri="{63B3BB69-23CF-44E3-9099-C40C66FF867C}">
                  <a14:compatExt spid="_x0000_s227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271241" name="Drop Down 9" hidden="1">
              <a:extLst>
                <a:ext uri="{63B3BB69-23CF-44E3-9099-C40C66FF867C}">
                  <a14:compatExt spid="_x0000_s227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271242" name="Drop Down 10" hidden="1">
              <a:extLst>
                <a:ext uri="{63B3BB69-23CF-44E3-9099-C40C66FF867C}">
                  <a14:compatExt spid="_x0000_s227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271243" name="Drop Down 11" hidden="1">
              <a:extLst>
                <a:ext uri="{63B3BB69-23CF-44E3-9099-C40C66FF867C}">
                  <a14:compatExt spid="_x0000_s227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271244" name="Drop Down 12" hidden="1">
              <a:extLst>
                <a:ext uri="{63B3BB69-23CF-44E3-9099-C40C66FF867C}">
                  <a14:compatExt spid="_x0000_s227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271245" name="Drop Down 13" hidden="1">
              <a:extLst>
                <a:ext uri="{63B3BB69-23CF-44E3-9099-C40C66FF867C}">
                  <a14:compatExt spid="_x0000_s227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271246" name="Drop Down 14" hidden="1">
              <a:extLst>
                <a:ext uri="{63B3BB69-23CF-44E3-9099-C40C66FF867C}">
                  <a14:compatExt spid="_x0000_s227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271247" name="Drop Down 15" hidden="1">
              <a:extLst>
                <a:ext uri="{63B3BB69-23CF-44E3-9099-C40C66FF867C}">
                  <a14:compatExt spid="_x0000_s227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271248" name="Drop Down 16" hidden="1">
              <a:extLst>
                <a:ext uri="{63B3BB69-23CF-44E3-9099-C40C66FF867C}">
                  <a14:compatExt spid="_x0000_s227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11</xdr:col>
      <xdr:colOff>517584</xdr:colOff>
      <xdr:row>3</xdr:row>
      <xdr:rowOff>215661</xdr:rowOff>
    </xdr:from>
    <xdr:to>
      <xdr:col>16</xdr:col>
      <xdr:colOff>603849</xdr:colOff>
      <xdr:row>5</xdr:row>
      <xdr:rowOff>8627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0965" y="983412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57150</xdr:colOff>
      <xdr:row>24</xdr:row>
      <xdr:rowOff>0</xdr:rowOff>
    </xdr:from>
    <xdr:to>
      <xdr:col>21</xdr:col>
      <xdr:colOff>190500</xdr:colOff>
      <xdr:row>29</xdr:row>
      <xdr:rowOff>63500</xdr:rowOff>
    </xdr:to>
    <xdr:sp macro="" textlink="">
      <xdr:nvSpPr>
        <xdr:cNvPr id="2" name="Textfeld 1"/>
        <xdr:cNvSpPr txBox="1"/>
      </xdr:nvSpPr>
      <xdr:spPr>
        <a:xfrm>
          <a:off x="9880600" y="5302250"/>
          <a:ext cx="2463800" cy="1035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323457" name="Drop Down 1" hidden="1">
              <a:extLst>
                <a:ext uri="{63B3BB69-23CF-44E3-9099-C40C66FF867C}">
                  <a14:compatExt spid="_x0000_s232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323458" name="Drop Down 2" hidden="1">
              <a:extLst>
                <a:ext uri="{63B3BB69-23CF-44E3-9099-C40C66FF867C}">
                  <a14:compatExt spid="_x0000_s232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323459" name="Drop Down 3" hidden="1">
              <a:extLst>
                <a:ext uri="{63B3BB69-23CF-44E3-9099-C40C66FF867C}">
                  <a14:compatExt spid="_x0000_s232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323460" name="Drop Down 4" hidden="1">
              <a:extLst>
                <a:ext uri="{63B3BB69-23CF-44E3-9099-C40C66FF867C}">
                  <a14:compatExt spid="_x0000_s232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323461" name="Drop Down 5" hidden="1">
              <a:extLst>
                <a:ext uri="{63B3BB69-23CF-44E3-9099-C40C66FF867C}">
                  <a14:compatExt spid="_x0000_s232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323462" name="Drop Down 6" hidden="1">
              <a:extLst>
                <a:ext uri="{63B3BB69-23CF-44E3-9099-C40C66FF867C}">
                  <a14:compatExt spid="_x0000_s232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323463" name="Drop Down 7" hidden="1">
              <a:extLst>
                <a:ext uri="{63B3BB69-23CF-44E3-9099-C40C66FF867C}">
                  <a14:compatExt spid="_x0000_s232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323464" name="Drop Down 8" hidden="1">
              <a:extLst>
                <a:ext uri="{63B3BB69-23CF-44E3-9099-C40C66FF867C}">
                  <a14:compatExt spid="_x0000_s232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323465" name="Drop Down 9" hidden="1">
              <a:extLst>
                <a:ext uri="{63B3BB69-23CF-44E3-9099-C40C66FF867C}">
                  <a14:compatExt spid="_x0000_s232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323466" name="Drop Down 10" hidden="1">
              <a:extLst>
                <a:ext uri="{63B3BB69-23CF-44E3-9099-C40C66FF867C}">
                  <a14:compatExt spid="_x0000_s232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323467" name="Drop Down 11" hidden="1">
              <a:extLst>
                <a:ext uri="{63B3BB69-23CF-44E3-9099-C40C66FF867C}">
                  <a14:compatExt spid="_x0000_s232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323468" name="Drop Down 12" hidden="1">
              <a:extLst>
                <a:ext uri="{63B3BB69-23CF-44E3-9099-C40C66FF867C}">
                  <a14:compatExt spid="_x0000_s232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323469" name="Drop Down 13" hidden="1">
              <a:extLst>
                <a:ext uri="{63B3BB69-23CF-44E3-9099-C40C66FF867C}">
                  <a14:compatExt spid="_x0000_s232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323470" name="Drop Down 14" hidden="1">
              <a:extLst>
                <a:ext uri="{63B3BB69-23CF-44E3-9099-C40C66FF867C}">
                  <a14:compatExt spid="_x0000_s232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323471" name="Drop Down 15" hidden="1">
              <a:extLst>
                <a:ext uri="{63B3BB69-23CF-44E3-9099-C40C66FF867C}">
                  <a14:compatExt spid="_x0000_s232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323472" name="Drop Down 16" hidden="1">
              <a:extLst>
                <a:ext uri="{63B3BB69-23CF-44E3-9099-C40C66FF867C}">
                  <a14:compatExt spid="_x0000_s232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44450</xdr:colOff>
      <xdr:row>23</xdr:row>
      <xdr:rowOff>152400</xdr:rowOff>
    </xdr:from>
    <xdr:to>
      <xdr:col>21</xdr:col>
      <xdr:colOff>222250</xdr:colOff>
      <xdr:row>29</xdr:row>
      <xdr:rowOff>31750</xdr:rowOff>
    </xdr:to>
    <xdr:sp macro="" textlink="">
      <xdr:nvSpPr>
        <xdr:cNvPr id="2" name="Textfeld 1"/>
        <xdr:cNvSpPr txBox="1"/>
      </xdr:nvSpPr>
      <xdr:spPr>
        <a:xfrm>
          <a:off x="9867900" y="5264150"/>
          <a:ext cx="2508250" cy="10414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0.74813</cdr:x>
      <cdr:y>0.12212</cdr:y>
    </cdr:from>
    <cdr:to>
      <cdr:x>0.94659</cdr:x>
      <cdr:y>0.19192</cdr:y>
    </cdr:to>
    <cdr:sp macro="" textlink="">
      <cdr:nvSpPr>
        <cdr:cNvPr id="2765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4422" y="1213874"/>
          <a:ext cx="2865378" cy="7292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1625" b="1" i="1" u="none" strike="noStrike" baseline="0">
              <a:solidFill>
                <a:srgbClr val="000000"/>
              </a:solidFill>
              <a:latin typeface="Arial"/>
              <a:cs typeface="Arial"/>
            </a:rPr>
            <a:t>Vollkosten Kraftfuttermittel</a:t>
          </a:r>
        </a:p>
      </cdr:txBody>
    </cdr:sp>
  </cdr:relSizeAnchor>
  <cdr:relSizeAnchor xmlns:cdr="http://schemas.openxmlformats.org/drawingml/2006/chartDrawing">
    <cdr:from>
      <cdr:x>0.4908</cdr:x>
      <cdr:y>0.4683</cdr:y>
    </cdr:from>
    <cdr:to>
      <cdr:x>0.50049</cdr:x>
      <cdr:y>0.52625</cdr:y>
    </cdr:to>
    <cdr:sp macro="" textlink="">
      <cdr:nvSpPr>
        <cdr:cNvPr id="2765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43366" y="4727980"/>
          <a:ext cx="180070" cy="5905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73152" tIns="59436" rIns="73152" bIns="5943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365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0.7411</cdr:x>
      <cdr:y>0.02106</cdr:y>
    </cdr:from>
    <cdr:to>
      <cdr:x>0.92824</cdr:x>
      <cdr:y>0.06848</cdr:y>
    </cdr:to>
    <cdr:grpSp>
      <cdr:nvGrpSpPr>
        <cdr:cNvPr id="9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1388662" y="210233"/>
          <a:ext cx="2875825" cy="473373"/>
          <a:chOff x="2136" y="1690"/>
          <a:chExt cx="12077" cy="2610"/>
        </a:xfrm>
      </cdr:grpSpPr>
      <cdr:pic>
        <cdr:nvPicPr>
          <cdr:cNvPr id="27660" name="Picture 12" descr="P:\90_EigeneVorlagen\LOGO-LEL_transparent.tif"/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1">
            <a:lum brigh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2136" y="1787"/>
            <a:ext cx="1488" cy="7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</cdr:pic>
      <cdr:sp macro="" textlink="">
        <cdr:nvSpPr>
          <cdr:cNvPr id="27661" name="Text Box 1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89" y="1690"/>
            <a:ext cx="6224" cy="261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00CC9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91440" tIns="45720" rIns="91440" bIns="45720" anchor="t" upright="1">
            <a:spAutoFit/>
          </a:bodyPr>
          <a:lstStyle xmlns:a="http://schemas.openxmlformats.org/drawingml/2006/main"/>
          <a:p xmlns:a="http://schemas.openxmlformats.org/drawingml/2006/main">
            <a:pPr algn="l" rtl="0">
              <a:lnSpc>
                <a:spcPts val="900"/>
              </a:lnSpc>
              <a:defRPr sz="1000"/>
            </a:pPr>
            <a:r>
              <a:rPr lang="de-DE" sz="1050" b="0" i="0" u="none" strike="noStrike" baseline="0">
                <a:solidFill>
                  <a:srgbClr val="000000"/>
                </a:solidFill>
                <a:latin typeface="Comic Sans MS"/>
              </a:rPr>
              <a:t>Impulse für Mensch und Raum</a:t>
            </a:r>
          </a:p>
          <a:p xmlns:a="http://schemas.openxmlformats.org/drawingml/2006/main">
            <a:pPr algn="l" rtl="0">
              <a:lnSpc>
                <a:spcPts val="1100"/>
              </a:lnSpc>
              <a:defRPr sz="1000"/>
            </a:pPr>
            <a:endParaRPr lang="de-DE" sz="1000" b="0" i="0" u="none" strike="noStrike" baseline="0">
              <a:solidFill>
                <a:srgbClr val="000000"/>
              </a:solidFill>
              <a:latin typeface="Comic Sans MS"/>
            </a:endParaRPr>
          </a:p>
        </cdr:txBody>
      </cdr:sp>
    </cdr:grpSp>
  </cdr:relSizeAnchor>
  <cdr:relSizeAnchor xmlns:cdr="http://schemas.openxmlformats.org/drawingml/2006/chartDrawing">
    <cdr:from>
      <cdr:x>0.80935</cdr:x>
      <cdr:y>0.01219</cdr:y>
    </cdr:from>
    <cdr:to>
      <cdr:x>0.96722</cdr:x>
      <cdr:y>0.07658</cdr:y>
    </cdr:to>
    <cdr:sp macro="" textlink="'Preise-Stammdaten'!$W$8">
      <cdr:nvSpPr>
        <cdr:cNvPr id="7" name="Abgerundetes Rechteck 6"/>
        <cdr:cNvSpPr/>
      </cdr:nvSpPr>
      <cdr:spPr bwMode="auto">
        <a:xfrm xmlns:a="http://schemas.openxmlformats.org/drawingml/2006/main">
          <a:off x="12162287" y="119811"/>
          <a:ext cx="2372264" cy="632604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AAF1FE8-1FB4-48A6-879F-42A2BB7E14AE}" type="TxLink">
            <a:rPr lang="en-US" sz="14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200" b="1">
            <a:solidFill>
              <a:srgbClr val="FF0000"/>
            </a:solidFill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1</xdr:rowOff>
    </xdr:from>
    <xdr:to>
      <xdr:col>17</xdr:col>
      <xdr:colOff>642936</xdr:colOff>
      <xdr:row>3</xdr:row>
      <xdr:rowOff>1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2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374657" name="Drop Down 1" hidden="1">
              <a:extLst>
                <a:ext uri="{63B3BB69-23CF-44E3-9099-C40C66FF867C}">
                  <a14:compatExt spid="_x0000_s237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374658" name="Drop Down 2" hidden="1">
              <a:extLst>
                <a:ext uri="{63B3BB69-23CF-44E3-9099-C40C66FF867C}">
                  <a14:compatExt spid="_x0000_s237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374659" name="Drop Down 3" hidden="1">
              <a:extLst>
                <a:ext uri="{63B3BB69-23CF-44E3-9099-C40C66FF867C}">
                  <a14:compatExt spid="_x0000_s237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374660" name="Drop Down 4" hidden="1">
              <a:extLst>
                <a:ext uri="{63B3BB69-23CF-44E3-9099-C40C66FF867C}">
                  <a14:compatExt spid="_x0000_s237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374661" name="Drop Down 5" hidden="1">
              <a:extLst>
                <a:ext uri="{63B3BB69-23CF-44E3-9099-C40C66FF867C}">
                  <a14:compatExt spid="_x0000_s237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374662" name="Drop Down 6" hidden="1">
              <a:extLst>
                <a:ext uri="{63B3BB69-23CF-44E3-9099-C40C66FF867C}">
                  <a14:compatExt spid="_x0000_s237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374663" name="Drop Down 7" hidden="1">
              <a:extLst>
                <a:ext uri="{63B3BB69-23CF-44E3-9099-C40C66FF867C}">
                  <a14:compatExt spid="_x0000_s237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374664" name="Drop Down 8" hidden="1">
              <a:extLst>
                <a:ext uri="{63B3BB69-23CF-44E3-9099-C40C66FF867C}">
                  <a14:compatExt spid="_x0000_s237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374665" name="Drop Down 9" hidden="1">
              <a:extLst>
                <a:ext uri="{63B3BB69-23CF-44E3-9099-C40C66FF867C}">
                  <a14:compatExt spid="_x0000_s237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374666" name="Drop Down 10" hidden="1">
              <a:extLst>
                <a:ext uri="{63B3BB69-23CF-44E3-9099-C40C66FF867C}">
                  <a14:compatExt spid="_x0000_s237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374667" name="Drop Down 11" hidden="1">
              <a:extLst>
                <a:ext uri="{63B3BB69-23CF-44E3-9099-C40C66FF867C}">
                  <a14:compatExt spid="_x0000_s237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374668" name="Drop Down 12" hidden="1">
              <a:extLst>
                <a:ext uri="{63B3BB69-23CF-44E3-9099-C40C66FF867C}">
                  <a14:compatExt spid="_x0000_s237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374669" name="Drop Down 13" hidden="1">
              <a:extLst>
                <a:ext uri="{63B3BB69-23CF-44E3-9099-C40C66FF867C}">
                  <a14:compatExt spid="_x0000_s237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374670" name="Drop Down 14" hidden="1">
              <a:extLst>
                <a:ext uri="{63B3BB69-23CF-44E3-9099-C40C66FF867C}">
                  <a14:compatExt spid="_x0000_s237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374671" name="Drop Down 15" hidden="1">
              <a:extLst>
                <a:ext uri="{63B3BB69-23CF-44E3-9099-C40C66FF867C}">
                  <a14:compatExt spid="_x0000_s237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374672" name="Drop Down 16" hidden="1">
              <a:extLst>
                <a:ext uri="{63B3BB69-23CF-44E3-9099-C40C66FF867C}">
                  <a14:compatExt spid="_x0000_s237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57150</xdr:colOff>
      <xdr:row>24</xdr:row>
      <xdr:rowOff>31750</xdr:rowOff>
    </xdr:from>
    <xdr:to>
      <xdr:col>21</xdr:col>
      <xdr:colOff>82550</xdr:colOff>
      <xdr:row>29</xdr:row>
      <xdr:rowOff>88900</xdr:rowOff>
    </xdr:to>
    <xdr:sp macro="" textlink="">
      <xdr:nvSpPr>
        <xdr:cNvPr id="2" name="Textfeld 1"/>
        <xdr:cNvSpPr txBox="1"/>
      </xdr:nvSpPr>
      <xdr:spPr>
        <a:xfrm>
          <a:off x="9880600" y="5334000"/>
          <a:ext cx="235585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18457" name="Check Box 25" hidden="1">
              <a:extLst>
                <a:ext uri="{63B3BB69-23CF-44E3-9099-C40C66FF867C}">
                  <a14:compatExt spid="_x0000_s1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18458" name="Check Box 26" hidden="1">
              <a:extLst>
                <a:ext uri="{63B3BB69-23CF-44E3-9099-C40C66FF867C}">
                  <a14:compatExt spid="_x0000_s1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18459" name="Check Box 27" hidden="1">
              <a:extLst>
                <a:ext uri="{63B3BB69-23CF-44E3-9099-C40C66FF867C}">
                  <a14:compatExt spid="_x0000_s1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161925</xdr:rowOff>
        </xdr:to>
        <xdr:sp macro="" textlink="">
          <xdr:nvSpPr>
            <xdr:cNvPr id="18460" name="Check Box 28" hidden="1">
              <a:extLst>
                <a:ext uri="{63B3BB69-23CF-44E3-9099-C40C66FF867C}">
                  <a14:compatExt spid="_x0000_s1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18461" name="Check Box 29" hidden="1">
              <a:extLst>
                <a:ext uri="{63B3BB69-23CF-44E3-9099-C40C66FF867C}">
                  <a14:compatExt spid="_x0000_s1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18462" name="Check Box 30" hidden="1">
              <a:extLst>
                <a:ext uri="{63B3BB69-23CF-44E3-9099-C40C66FF867C}">
                  <a14:compatExt spid="_x0000_s1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18463" name="Check Box 31" hidden="1">
              <a:extLst>
                <a:ext uri="{63B3BB69-23CF-44E3-9099-C40C66FF867C}">
                  <a14:compatExt spid="_x0000_s1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18464" name="Check Box 32" hidden="1">
              <a:extLst>
                <a:ext uri="{63B3BB69-23CF-44E3-9099-C40C66FF867C}">
                  <a14:compatExt spid="_x0000_s1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161925</xdr:rowOff>
        </xdr:to>
        <xdr:sp macro="" textlink="">
          <xdr:nvSpPr>
            <xdr:cNvPr id="18465" name="Check Box 33" hidden="1">
              <a:extLst>
                <a:ext uri="{63B3BB69-23CF-44E3-9099-C40C66FF867C}">
                  <a14:compatExt spid="_x0000_s1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18466" name="Check Box 34" hidden="1">
              <a:extLst>
                <a:ext uri="{63B3BB69-23CF-44E3-9099-C40C66FF867C}">
                  <a14:compatExt spid="_x0000_s1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18467" name="Check Box 35" hidden="1">
              <a:extLst>
                <a:ext uri="{63B3BB69-23CF-44E3-9099-C40C66FF867C}">
                  <a14:compatExt spid="_x0000_s1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18468" name="Check Box 36" hidden="1">
              <a:extLst>
                <a:ext uri="{63B3BB69-23CF-44E3-9099-C40C66FF867C}">
                  <a14:compatExt spid="_x0000_s1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18469" name="Check Box 37" hidden="1">
              <a:extLst>
                <a:ext uri="{63B3BB69-23CF-44E3-9099-C40C66FF867C}">
                  <a14:compatExt spid="_x0000_s1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38100</xdr:rowOff>
        </xdr:from>
        <xdr:to>
          <xdr:col>15</xdr:col>
          <xdr:colOff>209550</xdr:colOff>
          <xdr:row>23</xdr:row>
          <xdr:rowOff>0</xdr:rowOff>
        </xdr:to>
        <xdr:sp macro="" textlink="">
          <xdr:nvSpPr>
            <xdr:cNvPr id="18470" name="Check Box 38" hidden="1">
              <a:extLst>
                <a:ext uri="{63B3BB69-23CF-44E3-9099-C40C66FF867C}">
                  <a14:compatExt spid="_x0000_s1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43</xdr:row>
          <xdr:rowOff>190500</xdr:rowOff>
        </xdr:from>
        <xdr:to>
          <xdr:col>7</xdr:col>
          <xdr:colOff>0</xdr:colOff>
          <xdr:row>44</xdr:row>
          <xdr:rowOff>190500</xdr:rowOff>
        </xdr:to>
        <xdr:sp macro="" textlink="">
          <xdr:nvSpPr>
            <xdr:cNvPr id="18471" name="Drop Down 39" hidden="1">
              <a:extLst>
                <a:ext uri="{63B3BB69-23CF-44E3-9099-C40C66FF867C}">
                  <a14:compatExt spid="_x0000_s1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8472" name="Drop Down 40" hidden="1">
              <a:extLst>
                <a:ext uri="{63B3BB69-23CF-44E3-9099-C40C66FF867C}">
                  <a14:compatExt spid="_x0000_s1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46</xdr:row>
          <xdr:rowOff>9525</xdr:rowOff>
        </xdr:from>
        <xdr:to>
          <xdr:col>7</xdr:col>
          <xdr:colOff>0</xdr:colOff>
          <xdr:row>47</xdr:row>
          <xdr:rowOff>9525</xdr:rowOff>
        </xdr:to>
        <xdr:sp macro="" textlink="">
          <xdr:nvSpPr>
            <xdr:cNvPr id="18473" name="Drop Down 41" hidden="1">
              <a:extLst>
                <a:ext uri="{63B3BB69-23CF-44E3-9099-C40C66FF867C}">
                  <a14:compatExt spid="_x0000_s1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46</xdr:row>
          <xdr:rowOff>190500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8474" name="Drop Down 42" hidden="1">
              <a:extLst>
                <a:ext uri="{63B3BB69-23CF-44E3-9099-C40C66FF867C}">
                  <a14:compatExt spid="_x0000_s1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8475" name="Drop Down 43" hidden="1">
              <a:extLst>
                <a:ext uri="{63B3BB69-23CF-44E3-9099-C40C66FF867C}">
                  <a14:compatExt spid="_x0000_s1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48</xdr:row>
          <xdr:rowOff>190500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8476" name="Drop Down 44" hidden="1">
              <a:extLst>
                <a:ext uri="{63B3BB69-23CF-44E3-9099-C40C66FF867C}">
                  <a14:compatExt spid="_x0000_s1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8477" name="Drop Down 45" hidden="1">
              <a:extLst>
                <a:ext uri="{63B3BB69-23CF-44E3-9099-C40C66FF867C}">
                  <a14:compatExt spid="_x0000_s1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50</xdr:row>
          <xdr:rowOff>190500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18478" name="Drop Down 46" hidden="1">
              <a:extLst>
                <a:ext uri="{63B3BB69-23CF-44E3-9099-C40C66FF867C}">
                  <a14:compatExt spid="_x0000_s1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8479" name="Drop Down 47" hidden="1">
              <a:extLst>
                <a:ext uri="{63B3BB69-23CF-44E3-9099-C40C66FF867C}">
                  <a14:compatExt spid="_x0000_s1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52</xdr:row>
          <xdr:rowOff>190500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8480" name="Drop Down 48" hidden="1">
              <a:extLst>
                <a:ext uri="{63B3BB69-23CF-44E3-9099-C40C66FF867C}">
                  <a14:compatExt spid="_x0000_s1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53</xdr:row>
          <xdr:rowOff>190500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8481" name="Drop Down 49" hidden="1">
              <a:extLst>
                <a:ext uri="{63B3BB69-23CF-44E3-9099-C40C66FF867C}">
                  <a14:compatExt spid="_x0000_s1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9697" name="Check Box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29698" name="Check Box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9699" name="Check Box 3" hidden="1">
              <a:extLst>
                <a:ext uri="{63B3BB69-23CF-44E3-9099-C40C66FF867C}">
                  <a14:compatExt spid="_x0000_s29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9700" name="Check Box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161925</xdr:rowOff>
        </xdr:to>
        <xdr:sp macro="" textlink="">
          <xdr:nvSpPr>
            <xdr:cNvPr id="29701" name="Check Box 5" hidden="1">
              <a:extLst>
                <a:ext uri="{63B3BB69-23CF-44E3-9099-C40C66FF867C}">
                  <a14:compatExt spid="_x0000_s29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9702" name="Check Box 6" hidden="1">
              <a:extLst>
                <a:ext uri="{63B3BB69-23CF-44E3-9099-C40C66FF867C}">
                  <a14:compatExt spid="_x0000_s29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9703" name="Check Box 7" hidden="1">
              <a:extLst>
                <a:ext uri="{63B3BB69-23CF-44E3-9099-C40C66FF867C}">
                  <a14:compatExt spid="_x0000_s29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9704" name="Check Box 8" hidden="1">
              <a:extLst>
                <a:ext uri="{63B3BB69-23CF-44E3-9099-C40C66FF867C}">
                  <a14:compatExt spid="_x0000_s29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29705" name="Check Box 9" hidden="1">
              <a:extLst>
                <a:ext uri="{63B3BB69-23CF-44E3-9099-C40C66FF867C}">
                  <a14:compatExt spid="_x0000_s29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161925</xdr:rowOff>
        </xdr:to>
        <xdr:sp macro="" textlink="">
          <xdr:nvSpPr>
            <xdr:cNvPr id="29706" name="Check Box 10" hidden="1">
              <a:extLst>
                <a:ext uri="{63B3BB69-23CF-44E3-9099-C40C66FF867C}">
                  <a14:compatExt spid="_x0000_s29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9707" name="Check Box 11" hidden="1">
              <a:extLst>
                <a:ext uri="{63B3BB69-23CF-44E3-9099-C40C66FF867C}">
                  <a14:compatExt spid="_x0000_s29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9708" name="Check Box 12" hidden="1">
              <a:extLst>
                <a:ext uri="{63B3BB69-23CF-44E3-9099-C40C66FF867C}">
                  <a14:compatExt spid="_x0000_s29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9709" name="Check Box 13" hidden="1">
              <a:extLst>
                <a:ext uri="{63B3BB69-23CF-44E3-9099-C40C66FF867C}">
                  <a14:compatExt spid="_x0000_s29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9710" name="Check Box 14" hidden="1">
              <a:extLst>
                <a:ext uri="{63B3BB69-23CF-44E3-9099-C40C66FF867C}">
                  <a14:compatExt spid="_x0000_s29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161925</xdr:rowOff>
        </xdr:to>
        <xdr:sp macro="" textlink="">
          <xdr:nvSpPr>
            <xdr:cNvPr id="29711" name="Check Box 15" hidden="1">
              <a:extLst>
                <a:ext uri="{63B3BB69-23CF-44E3-9099-C40C66FF867C}">
                  <a14:compatExt spid="_x0000_s29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29712" name="Drop Down 16" hidden="1">
              <a:extLst>
                <a:ext uri="{63B3BB69-23CF-44E3-9099-C40C66FF867C}">
                  <a14:compatExt spid="_x0000_s29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29713" name="Drop Down 17" hidden="1">
              <a:extLst>
                <a:ext uri="{63B3BB69-23CF-44E3-9099-C40C66FF867C}">
                  <a14:compatExt spid="_x0000_s29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29714" name="Drop Down 18" hidden="1">
              <a:extLst>
                <a:ext uri="{63B3BB69-23CF-44E3-9099-C40C66FF867C}">
                  <a14:compatExt spid="_x0000_s29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29715" name="Drop Down 19" hidden="1">
              <a:extLst>
                <a:ext uri="{63B3BB69-23CF-44E3-9099-C40C66FF867C}">
                  <a14:compatExt spid="_x0000_s29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29716" name="Drop Down 20" hidden="1">
              <a:extLst>
                <a:ext uri="{63B3BB69-23CF-44E3-9099-C40C66FF867C}">
                  <a14:compatExt spid="_x0000_s29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29717" name="Drop Down 21" hidden="1">
              <a:extLst>
                <a:ext uri="{63B3BB69-23CF-44E3-9099-C40C66FF867C}">
                  <a14:compatExt spid="_x0000_s29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29718" name="Drop Down 22" hidden="1">
              <a:extLst>
                <a:ext uri="{63B3BB69-23CF-44E3-9099-C40C66FF867C}">
                  <a14:compatExt spid="_x0000_s29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29719" name="Drop Down 23" hidden="1">
              <a:extLst>
                <a:ext uri="{63B3BB69-23CF-44E3-9099-C40C66FF867C}">
                  <a14:compatExt spid="_x0000_s29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29720" name="Drop Down 24" hidden="1">
              <a:extLst>
                <a:ext uri="{63B3BB69-23CF-44E3-9099-C40C66FF867C}">
                  <a14:compatExt spid="_x0000_s29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29721" name="Drop Down 25" hidden="1">
              <a:extLst>
                <a:ext uri="{63B3BB69-23CF-44E3-9099-C40C66FF867C}">
                  <a14:compatExt spid="_x0000_s29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29722" name="Drop Down 26" hidden="1">
              <a:extLst>
                <a:ext uri="{63B3BB69-23CF-44E3-9099-C40C66FF867C}">
                  <a14:compatExt spid="_x0000_s29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15</xdr:col>
      <xdr:colOff>800099</xdr:colOff>
      <xdr:row>17</xdr:row>
      <xdr:rowOff>127000</xdr:rowOff>
    </xdr:from>
    <xdr:to>
      <xdr:col>17</xdr:col>
      <xdr:colOff>107950</xdr:colOff>
      <xdr:row>22</xdr:row>
      <xdr:rowOff>127000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77449" y="4089400"/>
          <a:ext cx="1955801" cy="9969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159745" name="Check Box 1" hidden="1">
              <a:extLst>
                <a:ext uri="{63B3BB69-23CF-44E3-9099-C40C66FF867C}">
                  <a14:compatExt spid="_x0000_s159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159746" name="Check Box 2" hidden="1">
              <a:extLst>
                <a:ext uri="{63B3BB69-23CF-44E3-9099-C40C66FF867C}">
                  <a14:compatExt spid="_x0000_s159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159747" name="Check Box 3" hidden="1">
              <a:extLst>
                <a:ext uri="{63B3BB69-23CF-44E3-9099-C40C66FF867C}">
                  <a14:compatExt spid="_x0000_s159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159748" name="Check Box 4" hidden="1">
              <a:extLst>
                <a:ext uri="{63B3BB69-23CF-44E3-9099-C40C66FF867C}">
                  <a14:compatExt spid="_x0000_s159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161925</xdr:rowOff>
        </xdr:to>
        <xdr:sp macro="" textlink="">
          <xdr:nvSpPr>
            <xdr:cNvPr id="159749" name="Check Box 5" hidden="1">
              <a:extLst>
                <a:ext uri="{63B3BB69-23CF-44E3-9099-C40C66FF867C}">
                  <a14:compatExt spid="_x0000_s159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159750" name="Check Box 6" hidden="1">
              <a:extLst>
                <a:ext uri="{63B3BB69-23CF-44E3-9099-C40C66FF867C}">
                  <a14:compatExt spid="_x0000_s159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159751" name="Check Box 7" hidden="1">
              <a:extLst>
                <a:ext uri="{63B3BB69-23CF-44E3-9099-C40C66FF867C}">
                  <a14:compatExt spid="_x0000_s159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159752" name="Check Box 8" hidden="1">
              <a:extLst>
                <a:ext uri="{63B3BB69-23CF-44E3-9099-C40C66FF867C}">
                  <a14:compatExt spid="_x0000_s159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159753" name="Check Box 9" hidden="1">
              <a:extLst>
                <a:ext uri="{63B3BB69-23CF-44E3-9099-C40C66FF867C}">
                  <a14:compatExt spid="_x0000_s159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161925</xdr:rowOff>
        </xdr:to>
        <xdr:sp macro="" textlink="">
          <xdr:nvSpPr>
            <xdr:cNvPr id="159754" name="Check Box 10" hidden="1">
              <a:extLst>
                <a:ext uri="{63B3BB69-23CF-44E3-9099-C40C66FF867C}">
                  <a14:compatExt spid="_x0000_s159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159755" name="Check Box 11" hidden="1">
              <a:extLst>
                <a:ext uri="{63B3BB69-23CF-44E3-9099-C40C66FF867C}">
                  <a14:compatExt spid="_x0000_s159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159756" name="Check Box 12" hidden="1">
              <a:extLst>
                <a:ext uri="{63B3BB69-23CF-44E3-9099-C40C66FF867C}">
                  <a14:compatExt spid="_x0000_s159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0</xdr:rowOff>
        </xdr:from>
        <xdr:to>
          <xdr:col>15</xdr:col>
          <xdr:colOff>209550</xdr:colOff>
          <xdr:row>20</xdr:row>
          <xdr:rowOff>171450</xdr:rowOff>
        </xdr:to>
        <xdr:sp macro="" textlink="">
          <xdr:nvSpPr>
            <xdr:cNvPr id="159757" name="Check Box 13" hidden="1">
              <a:extLst>
                <a:ext uri="{63B3BB69-23CF-44E3-9099-C40C66FF867C}">
                  <a14:compatExt spid="_x0000_s159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0</xdr:rowOff>
        </xdr:from>
        <xdr:to>
          <xdr:col>15</xdr:col>
          <xdr:colOff>209550</xdr:colOff>
          <xdr:row>21</xdr:row>
          <xdr:rowOff>171450</xdr:rowOff>
        </xdr:to>
        <xdr:sp macro="" textlink="">
          <xdr:nvSpPr>
            <xdr:cNvPr id="159758" name="Check Box 14" hidden="1">
              <a:extLst>
                <a:ext uri="{63B3BB69-23CF-44E3-9099-C40C66FF867C}">
                  <a14:compatExt spid="_x0000_s159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161925</xdr:rowOff>
        </xdr:to>
        <xdr:sp macro="" textlink="">
          <xdr:nvSpPr>
            <xdr:cNvPr id="159759" name="Check Box 15" hidden="1">
              <a:extLst>
                <a:ext uri="{63B3BB69-23CF-44E3-9099-C40C66FF867C}">
                  <a14:compatExt spid="_x0000_s159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59760" name="Drop Down 16" hidden="1">
              <a:extLst>
                <a:ext uri="{63B3BB69-23CF-44E3-9099-C40C66FF867C}">
                  <a14:compatExt spid="_x0000_s159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59761" name="Drop Down 17" hidden="1">
              <a:extLst>
                <a:ext uri="{63B3BB69-23CF-44E3-9099-C40C66FF867C}">
                  <a14:compatExt spid="_x0000_s159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59762" name="Drop Down 18" hidden="1">
              <a:extLst>
                <a:ext uri="{63B3BB69-23CF-44E3-9099-C40C66FF867C}">
                  <a14:compatExt spid="_x0000_s159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59763" name="Drop Down 19" hidden="1">
              <a:extLst>
                <a:ext uri="{63B3BB69-23CF-44E3-9099-C40C66FF867C}">
                  <a14:compatExt spid="_x0000_s159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59764" name="Drop Down 20" hidden="1">
              <a:extLst>
                <a:ext uri="{63B3BB69-23CF-44E3-9099-C40C66FF867C}">
                  <a14:compatExt spid="_x0000_s159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59765" name="Drop Down 21" hidden="1">
              <a:extLst>
                <a:ext uri="{63B3BB69-23CF-44E3-9099-C40C66FF867C}">
                  <a14:compatExt spid="_x0000_s159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59766" name="Drop Down 22" hidden="1">
              <a:extLst>
                <a:ext uri="{63B3BB69-23CF-44E3-9099-C40C66FF867C}">
                  <a14:compatExt spid="_x0000_s159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159767" name="Drop Down 23" hidden="1">
              <a:extLst>
                <a:ext uri="{63B3BB69-23CF-44E3-9099-C40C66FF867C}">
                  <a14:compatExt spid="_x0000_s159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59768" name="Drop Down 24" hidden="1">
              <a:extLst>
                <a:ext uri="{63B3BB69-23CF-44E3-9099-C40C66FF867C}">
                  <a14:compatExt spid="_x0000_s159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59769" name="Drop Down 25" hidden="1">
              <a:extLst>
                <a:ext uri="{63B3BB69-23CF-44E3-9099-C40C66FF867C}">
                  <a14:compatExt spid="_x0000_s159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59770" name="Drop Down 26" hidden="1">
              <a:extLst>
                <a:ext uri="{63B3BB69-23CF-44E3-9099-C40C66FF867C}">
                  <a14:compatExt spid="_x0000_s159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8472</xdr:colOff>
      <xdr:row>17</xdr:row>
      <xdr:rowOff>63500</xdr:rowOff>
    </xdr:from>
    <xdr:to>
      <xdr:col>16</xdr:col>
      <xdr:colOff>1859399</xdr:colOff>
      <xdr:row>22</xdr:row>
      <xdr:rowOff>76200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92272" y="4025900"/>
          <a:ext cx="1850927" cy="10096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9467" name="Check Box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9468" name="Check Box 12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9469" name="Check Box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9470" name="Check Box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9471" name="Check Box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44</xdr:row>
          <xdr:rowOff>9525</xdr:rowOff>
        </xdr:from>
        <xdr:to>
          <xdr:col>7</xdr:col>
          <xdr:colOff>0</xdr:colOff>
          <xdr:row>45</xdr:row>
          <xdr:rowOff>19050</xdr:rowOff>
        </xdr:to>
        <xdr:sp macro="" textlink="">
          <xdr:nvSpPr>
            <xdr:cNvPr id="19472" name="Drop Down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45</xdr:row>
          <xdr:rowOff>9525</xdr:rowOff>
        </xdr:from>
        <xdr:to>
          <xdr:col>7</xdr:col>
          <xdr:colOff>0</xdr:colOff>
          <xdr:row>46</xdr:row>
          <xdr:rowOff>19050</xdr:rowOff>
        </xdr:to>
        <xdr:sp macro="" textlink="">
          <xdr:nvSpPr>
            <xdr:cNvPr id="19473" name="Drop Down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45</xdr:row>
          <xdr:rowOff>180975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9474" name="Drop Down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46</xdr:row>
          <xdr:rowOff>171450</xdr:rowOff>
        </xdr:from>
        <xdr:to>
          <xdr:col>7</xdr:col>
          <xdr:colOff>0</xdr:colOff>
          <xdr:row>47</xdr:row>
          <xdr:rowOff>180975</xdr:rowOff>
        </xdr:to>
        <xdr:sp macro="" textlink="">
          <xdr:nvSpPr>
            <xdr:cNvPr id="19475" name="Drop Down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47</xdr:row>
          <xdr:rowOff>161925</xdr:rowOff>
        </xdr:from>
        <xdr:to>
          <xdr:col>7</xdr:col>
          <xdr:colOff>0</xdr:colOff>
          <xdr:row>48</xdr:row>
          <xdr:rowOff>171450</xdr:rowOff>
        </xdr:to>
        <xdr:sp macro="" textlink="">
          <xdr:nvSpPr>
            <xdr:cNvPr id="19476" name="Drop Down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48</xdr:row>
          <xdr:rowOff>142875</xdr:rowOff>
        </xdr:from>
        <xdr:to>
          <xdr:col>7</xdr:col>
          <xdr:colOff>0</xdr:colOff>
          <xdr:row>49</xdr:row>
          <xdr:rowOff>152400</xdr:rowOff>
        </xdr:to>
        <xdr:sp macro="" textlink="">
          <xdr:nvSpPr>
            <xdr:cNvPr id="19477" name="Drop Down 21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49</xdr:row>
          <xdr:rowOff>142875</xdr:rowOff>
        </xdr:from>
        <xdr:to>
          <xdr:col>7</xdr:col>
          <xdr:colOff>0</xdr:colOff>
          <xdr:row>50</xdr:row>
          <xdr:rowOff>152400</xdr:rowOff>
        </xdr:to>
        <xdr:sp macro="" textlink="">
          <xdr:nvSpPr>
            <xdr:cNvPr id="19478" name="Drop Down 22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50</xdr:row>
          <xdr:rowOff>142875</xdr:rowOff>
        </xdr:from>
        <xdr:to>
          <xdr:col>7</xdr:col>
          <xdr:colOff>0</xdr:colOff>
          <xdr:row>51</xdr:row>
          <xdr:rowOff>152400</xdr:rowOff>
        </xdr:to>
        <xdr:sp macro="" textlink="">
          <xdr:nvSpPr>
            <xdr:cNvPr id="19479" name="Drop Down 23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51</xdr:row>
          <xdr:rowOff>142875</xdr:rowOff>
        </xdr:from>
        <xdr:to>
          <xdr:col>7</xdr:col>
          <xdr:colOff>0</xdr:colOff>
          <xdr:row>52</xdr:row>
          <xdr:rowOff>152400</xdr:rowOff>
        </xdr:to>
        <xdr:sp macro="" textlink="">
          <xdr:nvSpPr>
            <xdr:cNvPr id="19480" name="Drop Down 24" hidden="1">
              <a:extLst>
                <a:ext uri="{63B3BB69-23CF-44E3-9099-C40C66FF867C}">
                  <a14:compatExt spid="_x0000_s19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52</xdr:row>
          <xdr:rowOff>142875</xdr:rowOff>
        </xdr:from>
        <xdr:to>
          <xdr:col>7</xdr:col>
          <xdr:colOff>0</xdr:colOff>
          <xdr:row>53</xdr:row>
          <xdr:rowOff>152400</xdr:rowOff>
        </xdr:to>
        <xdr:sp macro="" textlink="">
          <xdr:nvSpPr>
            <xdr:cNvPr id="19481" name="Drop Down 25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53</xdr:row>
          <xdr:rowOff>142875</xdr:rowOff>
        </xdr:from>
        <xdr:to>
          <xdr:col>7</xdr:col>
          <xdr:colOff>0</xdr:colOff>
          <xdr:row>54</xdr:row>
          <xdr:rowOff>152400</xdr:rowOff>
        </xdr:to>
        <xdr:sp macro="" textlink="">
          <xdr:nvSpPr>
            <xdr:cNvPr id="19482" name="Drop Down 26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15</xdr:col>
      <xdr:colOff>800100</xdr:colOff>
      <xdr:row>17</xdr:row>
      <xdr:rowOff>120650</xdr:rowOff>
    </xdr:from>
    <xdr:to>
      <xdr:col>17</xdr:col>
      <xdr:colOff>6350</xdr:colOff>
      <xdr:row>22</xdr:row>
      <xdr:rowOff>95250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61600" y="4083050"/>
          <a:ext cx="1943100" cy="9715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407778</xdr:colOff>
      <xdr:row>38</xdr:row>
      <xdr:rowOff>76200</xdr:rowOff>
    </xdr:from>
    <xdr:to>
      <xdr:col>11</xdr:col>
      <xdr:colOff>237218</xdr:colOff>
      <xdr:row>40</xdr:row>
      <xdr:rowOff>28575</xdr:rowOff>
    </xdr:to>
    <xdr:sp macro="" textlink="">
      <xdr:nvSpPr>
        <xdr:cNvPr id="211969" name="Text Box 1"/>
        <xdr:cNvSpPr txBox="1">
          <a:spLocks noChangeArrowheads="1"/>
        </xdr:cNvSpPr>
      </xdr:nvSpPr>
      <xdr:spPr bwMode="auto">
        <a:xfrm>
          <a:off x="3152775" y="8134350"/>
          <a:ext cx="1905000" cy="371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als Zwischenfrucht kein Ansatz von Festkosten</a:t>
          </a:r>
        </a:p>
      </xdr:txBody>
    </xdr:sp>
    <xdr:clientData/>
  </xdr:twoCellAnchor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264903</xdr:colOff>
      <xdr:row>2</xdr:row>
      <xdr:rowOff>124364</xdr:rowOff>
    </xdr:from>
    <xdr:to>
      <xdr:col>21</xdr:col>
      <xdr:colOff>256276</xdr:colOff>
      <xdr:row>23</xdr:row>
      <xdr:rowOff>434915</xdr:rowOff>
    </xdr:to>
    <xdr:graphicFrame macro="">
      <xdr:nvGraphicFramePr>
        <xdr:cNvPr id="244156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57150</xdr:rowOff>
    </xdr:from>
    <xdr:to>
      <xdr:col>3</xdr:col>
      <xdr:colOff>0</xdr:colOff>
      <xdr:row>0</xdr:row>
      <xdr:rowOff>704850</xdr:rowOff>
    </xdr:to>
    <xdr:sp macro="" textlink="">
      <xdr:nvSpPr>
        <xdr:cNvPr id="6" name="Textfeld 5">
          <a:hlinkClick xmlns:r="http://schemas.openxmlformats.org/officeDocument/2006/relationships" r:id="rId2"/>
        </xdr:cNvPr>
        <xdr:cNvSpPr txBox="1"/>
      </xdr:nvSpPr>
      <xdr:spPr>
        <a:xfrm>
          <a:off x="190500" y="57150"/>
          <a:ext cx="491490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Inhaltsverzeichnis</a:t>
          </a:r>
          <a:endParaRPr lang="de-DE" sz="1100" b="1"/>
        </a:p>
      </xdr:txBody>
    </xdr:sp>
    <xdr:clientData/>
  </xdr:twoCellAnchor>
  <xdr:twoCellAnchor>
    <xdr:from>
      <xdr:col>7</xdr:col>
      <xdr:colOff>533400</xdr:colOff>
      <xdr:row>0</xdr:row>
      <xdr:rowOff>57150</xdr:rowOff>
    </xdr:from>
    <xdr:to>
      <xdr:col>10</xdr:col>
      <xdr:colOff>704850</xdr:colOff>
      <xdr:row>0</xdr:row>
      <xdr:rowOff>704850</xdr:rowOff>
    </xdr:to>
    <xdr:sp macro="" textlink="">
      <xdr:nvSpPr>
        <xdr:cNvPr id="7" name="Textfeld 6">
          <a:hlinkClick xmlns:r="http://schemas.openxmlformats.org/officeDocument/2006/relationships" r:id="rId3"/>
        </xdr:cNvPr>
        <xdr:cNvSpPr txBox="1"/>
      </xdr:nvSpPr>
      <xdr:spPr>
        <a:xfrm>
          <a:off x="8534400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Übersicht</a:t>
          </a:r>
          <a:endParaRPr lang="de-DE" sz="1100" b="1"/>
        </a:p>
      </xdr:txBody>
    </xdr:sp>
    <xdr:clientData/>
  </xdr:twoCellAnchor>
  <xdr:twoCellAnchor>
    <xdr:from>
      <xdr:col>16</xdr:col>
      <xdr:colOff>704850</xdr:colOff>
      <xdr:row>0</xdr:row>
      <xdr:rowOff>57150</xdr:rowOff>
    </xdr:from>
    <xdr:to>
      <xdr:col>21</xdr:col>
      <xdr:colOff>0</xdr:colOff>
      <xdr:row>0</xdr:row>
      <xdr:rowOff>704850</xdr:rowOff>
    </xdr:to>
    <xdr:sp macro="" textlink="">
      <xdr:nvSpPr>
        <xdr:cNvPr id="8" name="Textfeld 7">
          <a:hlinkClick xmlns:r="http://schemas.openxmlformats.org/officeDocument/2006/relationships" r:id="rId4"/>
        </xdr:cNvPr>
        <xdr:cNvSpPr txBox="1"/>
      </xdr:nvSpPr>
      <xdr:spPr>
        <a:xfrm>
          <a:off x="11820525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Grafik 1</a:t>
          </a:r>
          <a:endParaRPr lang="de-DE" sz="1100" b="1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0489" name="Check Box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0492" name="Check Box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0493" name="Check Box 1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0494" name="Check Box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0495" name="Check Box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0496" name="Drop Down 16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0497" name="Drop Down 17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20498" name="Drop Down 1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0499" name="Drop Down 19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0500" name="Drop Down 2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0501" name="Drop Down 2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20502" name="Drop Down 22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0504" name="Drop Down 24" hidden="1">
              <a:extLst>
                <a:ext uri="{63B3BB69-23CF-44E3-9099-C40C66FF867C}">
                  <a14:compatExt spid="_x0000_s2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0505" name="Drop Down 25" hidden="1">
              <a:extLst>
                <a:ext uri="{63B3BB69-23CF-44E3-9099-C40C66FF867C}">
                  <a14:compatExt spid="_x0000_s2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20506" name="Drop Down 26" hidden="1">
              <a:extLst>
                <a:ext uri="{63B3BB69-23CF-44E3-9099-C40C66FF867C}">
                  <a14:compatExt spid="_x0000_s2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88900</xdr:rowOff>
    </xdr:from>
    <xdr:to>
      <xdr:col>16</xdr:col>
      <xdr:colOff>1930699</xdr:colOff>
      <xdr:row>22</xdr:row>
      <xdr:rowOff>107950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3801" y="4051300"/>
          <a:ext cx="1930698" cy="1016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619750" y="869156"/>
          <a:ext cx="26431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6081" name="Check Box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6082" name="Check Box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6083" name="Check Box 3" hidden="1">
              <a:extLst>
                <a:ext uri="{63B3BB69-23CF-44E3-9099-C40C66FF867C}">
                  <a14:compatExt spid="_x0000_s4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6084" name="Check Box 4" hidden="1">
              <a:extLst>
                <a:ext uri="{63B3BB69-23CF-44E3-9099-C40C66FF867C}">
                  <a14:compatExt spid="_x0000_s4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6085" name="Check Box 5" hidden="1">
              <a:extLst>
                <a:ext uri="{63B3BB69-23CF-44E3-9099-C40C66FF867C}">
                  <a14:compatExt spid="_x0000_s4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6086" name="Check Box 6" hidden="1">
              <a:extLst>
                <a:ext uri="{63B3BB69-23CF-44E3-9099-C40C66FF867C}">
                  <a14:compatExt spid="_x0000_s4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6087" name="Check Box 7" hidden="1">
              <a:extLst>
                <a:ext uri="{63B3BB69-23CF-44E3-9099-C40C66FF867C}">
                  <a14:compatExt spid="_x0000_s4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6088" name="Check Box 8" hidden="1">
              <a:extLst>
                <a:ext uri="{63B3BB69-23CF-44E3-9099-C40C66FF867C}">
                  <a14:compatExt spid="_x0000_s4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6089" name="Check Box 9" hidden="1">
              <a:extLst>
                <a:ext uri="{63B3BB69-23CF-44E3-9099-C40C66FF867C}">
                  <a14:compatExt spid="_x0000_s4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6090" name="Check Box 10" hidden="1">
              <a:extLst>
                <a:ext uri="{63B3BB69-23CF-44E3-9099-C40C66FF867C}">
                  <a14:compatExt spid="_x0000_s4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6091" name="Check Box 11" hidden="1">
              <a:extLst>
                <a:ext uri="{63B3BB69-23CF-44E3-9099-C40C66FF867C}">
                  <a14:compatExt spid="_x0000_s4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6092" name="Check Box 12" hidden="1">
              <a:extLst>
                <a:ext uri="{63B3BB69-23CF-44E3-9099-C40C66FF867C}">
                  <a14:compatExt spid="_x0000_s4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6093" name="Check Box 13" hidden="1">
              <a:extLst>
                <a:ext uri="{63B3BB69-23CF-44E3-9099-C40C66FF867C}">
                  <a14:compatExt spid="_x0000_s4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6094" name="Check Box 14" hidden="1">
              <a:extLst>
                <a:ext uri="{63B3BB69-23CF-44E3-9099-C40C66FF867C}">
                  <a14:compatExt spid="_x0000_s4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6095" name="Check Box 15" hidden="1">
              <a:extLst>
                <a:ext uri="{63B3BB69-23CF-44E3-9099-C40C66FF867C}">
                  <a14:compatExt spid="_x0000_s4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6096" name="Drop Down 16" hidden="1">
              <a:extLst>
                <a:ext uri="{63B3BB69-23CF-44E3-9099-C40C66FF867C}">
                  <a14:compatExt spid="_x0000_s4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6097" name="Drop Down 17" hidden="1">
              <a:extLst>
                <a:ext uri="{63B3BB69-23CF-44E3-9099-C40C66FF867C}">
                  <a14:compatExt spid="_x0000_s4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46098" name="Drop Down 18" hidden="1">
              <a:extLst>
                <a:ext uri="{63B3BB69-23CF-44E3-9099-C40C66FF867C}">
                  <a14:compatExt spid="_x0000_s4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46099" name="Drop Down 19" hidden="1">
              <a:extLst>
                <a:ext uri="{63B3BB69-23CF-44E3-9099-C40C66FF867C}">
                  <a14:compatExt spid="_x0000_s4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46100" name="Drop Down 20" hidden="1">
              <a:extLst>
                <a:ext uri="{63B3BB69-23CF-44E3-9099-C40C66FF867C}">
                  <a14:compatExt spid="_x0000_s4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46101" name="Drop Down 21" hidden="1">
              <a:extLst>
                <a:ext uri="{63B3BB69-23CF-44E3-9099-C40C66FF867C}">
                  <a14:compatExt spid="_x0000_s4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6102" name="Drop Down 22" hidden="1">
              <a:extLst>
                <a:ext uri="{63B3BB69-23CF-44E3-9099-C40C66FF867C}">
                  <a14:compatExt spid="_x0000_s4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46103" name="Drop Down 23" hidden="1">
              <a:extLst>
                <a:ext uri="{63B3BB69-23CF-44E3-9099-C40C66FF867C}">
                  <a14:compatExt spid="_x0000_s4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46104" name="Drop Down 24" hidden="1">
              <a:extLst>
                <a:ext uri="{63B3BB69-23CF-44E3-9099-C40C66FF867C}">
                  <a14:compatExt spid="_x0000_s4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46105" name="Drop Down 25" hidden="1">
              <a:extLst>
                <a:ext uri="{63B3BB69-23CF-44E3-9099-C40C66FF867C}">
                  <a14:compatExt spid="_x0000_s4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6106" name="Drop Down 26" hidden="1">
              <a:extLst>
                <a:ext uri="{63B3BB69-23CF-44E3-9099-C40C66FF867C}">
                  <a14:compatExt spid="_x0000_s4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88900</xdr:rowOff>
    </xdr:from>
    <xdr:to>
      <xdr:col>16</xdr:col>
      <xdr:colOff>1860551</xdr:colOff>
      <xdr:row>22</xdr:row>
      <xdr:rowOff>95250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3801" y="4051300"/>
          <a:ext cx="1860550" cy="10033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7106" name="Check Box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7107" name="Check Box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7108" name="Check Box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7109" name="Check Box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7110" name="Check Box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7111" name="Check Box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7112" name="Check Box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7113" name="Check Box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7114" name="Check Box 10" hidden="1">
              <a:extLst>
                <a:ext uri="{63B3BB69-23CF-44E3-9099-C40C66FF867C}">
                  <a14:compatExt spid="_x0000_s47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7115" name="Check Box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7116" name="Check Box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7117" name="Check Box 13" hidden="1">
              <a:extLst>
                <a:ext uri="{63B3BB69-23CF-44E3-9099-C40C66FF867C}">
                  <a14:compatExt spid="_x0000_s47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7118" name="Check Box 14" hidden="1">
              <a:extLst>
                <a:ext uri="{63B3BB69-23CF-44E3-9099-C40C66FF867C}">
                  <a14:compatExt spid="_x0000_s47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7119" name="Check Box 15" hidden="1">
              <a:extLst>
                <a:ext uri="{63B3BB69-23CF-44E3-9099-C40C66FF867C}">
                  <a14:compatExt spid="_x0000_s47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7120" name="Drop Down 16" hidden="1">
              <a:extLst>
                <a:ext uri="{63B3BB69-23CF-44E3-9099-C40C66FF867C}">
                  <a14:compatExt spid="_x0000_s47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7121" name="Drop Down 17" hidden="1">
              <a:extLst>
                <a:ext uri="{63B3BB69-23CF-44E3-9099-C40C66FF867C}">
                  <a14:compatExt spid="_x0000_s47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47122" name="Drop Down 18" hidden="1">
              <a:extLst>
                <a:ext uri="{63B3BB69-23CF-44E3-9099-C40C66FF867C}">
                  <a14:compatExt spid="_x0000_s47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47123" name="Drop Down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47124" name="Drop Down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47125" name="Drop Down 21" hidden="1">
              <a:extLst>
                <a:ext uri="{63B3BB69-23CF-44E3-9099-C40C66FF867C}">
                  <a14:compatExt spid="_x0000_s47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7126" name="Drop Down 22" hidden="1">
              <a:extLst>
                <a:ext uri="{63B3BB69-23CF-44E3-9099-C40C66FF867C}">
                  <a14:compatExt spid="_x0000_s47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47127" name="Drop Down 23" hidden="1">
              <a:extLst>
                <a:ext uri="{63B3BB69-23CF-44E3-9099-C40C66FF867C}">
                  <a14:compatExt spid="_x0000_s4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47128" name="Drop Down 24" hidden="1">
              <a:extLst>
                <a:ext uri="{63B3BB69-23CF-44E3-9099-C40C66FF867C}">
                  <a14:compatExt spid="_x0000_s47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47129" name="Drop Down 25" hidden="1">
              <a:extLst>
                <a:ext uri="{63B3BB69-23CF-44E3-9099-C40C66FF867C}">
                  <a14:compatExt spid="_x0000_s47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47130" name="Drop Down 26" hidden="1">
              <a:extLst>
                <a:ext uri="{63B3BB69-23CF-44E3-9099-C40C66FF867C}">
                  <a14:compatExt spid="_x0000_s47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76200</xdr:rowOff>
    </xdr:from>
    <xdr:to>
      <xdr:col>17</xdr:col>
      <xdr:colOff>14707</xdr:colOff>
      <xdr:row>22</xdr:row>
      <xdr:rowOff>127000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3801" y="4038600"/>
          <a:ext cx="1945106" cy="10477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631656" y="869156"/>
          <a:ext cx="26431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2225" name="Check Box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2226" name="Check Box 2" hidden="1">
              <a:extLst>
                <a:ext uri="{63B3BB69-23CF-44E3-9099-C40C66FF867C}">
                  <a14:compatExt spid="_x0000_s5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2227" name="Check Box 3" hidden="1">
              <a:extLst>
                <a:ext uri="{63B3BB69-23CF-44E3-9099-C40C66FF867C}">
                  <a14:compatExt spid="_x0000_s5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2228" name="Check Box 4" hidden="1">
              <a:extLst>
                <a:ext uri="{63B3BB69-23CF-44E3-9099-C40C66FF867C}">
                  <a14:compatExt spid="_x0000_s5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2229" name="Check Box 5" hidden="1">
              <a:extLst>
                <a:ext uri="{63B3BB69-23CF-44E3-9099-C40C66FF867C}">
                  <a14:compatExt spid="_x0000_s5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2230" name="Check Box 6" hidden="1">
              <a:extLst>
                <a:ext uri="{63B3BB69-23CF-44E3-9099-C40C66FF867C}">
                  <a14:compatExt spid="_x0000_s5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2231" name="Check Box 7" hidden="1">
              <a:extLst>
                <a:ext uri="{63B3BB69-23CF-44E3-9099-C40C66FF867C}">
                  <a14:compatExt spid="_x0000_s5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2232" name="Check Box 8" hidden="1">
              <a:extLst>
                <a:ext uri="{63B3BB69-23CF-44E3-9099-C40C66FF867C}">
                  <a14:compatExt spid="_x0000_s5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2233" name="Check Box 9" hidden="1">
              <a:extLst>
                <a:ext uri="{63B3BB69-23CF-44E3-9099-C40C66FF867C}">
                  <a14:compatExt spid="_x0000_s5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2234" name="Check Box 10" hidden="1">
              <a:extLst>
                <a:ext uri="{63B3BB69-23CF-44E3-9099-C40C66FF867C}">
                  <a14:compatExt spid="_x0000_s5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2235" name="Check Box 11" hidden="1">
              <a:extLst>
                <a:ext uri="{63B3BB69-23CF-44E3-9099-C40C66FF867C}">
                  <a14:compatExt spid="_x0000_s5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2236" name="Check Box 12" hidden="1">
              <a:extLst>
                <a:ext uri="{63B3BB69-23CF-44E3-9099-C40C66FF867C}">
                  <a14:compatExt spid="_x0000_s5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2237" name="Check Box 13" hidden="1">
              <a:extLst>
                <a:ext uri="{63B3BB69-23CF-44E3-9099-C40C66FF867C}">
                  <a14:compatExt spid="_x0000_s5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2238" name="Check Box 14" hidden="1">
              <a:extLst>
                <a:ext uri="{63B3BB69-23CF-44E3-9099-C40C66FF867C}">
                  <a14:compatExt spid="_x0000_s5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2239" name="Check Box 15" hidden="1">
              <a:extLst>
                <a:ext uri="{63B3BB69-23CF-44E3-9099-C40C66FF867C}">
                  <a14:compatExt spid="_x0000_s5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52240" name="Drop Down 16" hidden="1">
              <a:extLst>
                <a:ext uri="{63B3BB69-23CF-44E3-9099-C40C66FF867C}">
                  <a14:compatExt spid="_x0000_s5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52241" name="Drop Down 17" hidden="1">
              <a:extLst>
                <a:ext uri="{63B3BB69-23CF-44E3-9099-C40C66FF867C}">
                  <a14:compatExt spid="_x0000_s5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52242" name="Drop Down 18" hidden="1">
              <a:extLst>
                <a:ext uri="{63B3BB69-23CF-44E3-9099-C40C66FF867C}">
                  <a14:compatExt spid="_x0000_s5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52243" name="Drop Down 19" hidden="1">
              <a:extLst>
                <a:ext uri="{63B3BB69-23CF-44E3-9099-C40C66FF867C}">
                  <a14:compatExt spid="_x0000_s5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52244" name="Drop Down 20" hidden="1">
              <a:extLst>
                <a:ext uri="{63B3BB69-23CF-44E3-9099-C40C66FF867C}">
                  <a14:compatExt spid="_x0000_s5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2245" name="Drop Down 21" hidden="1">
              <a:extLst>
                <a:ext uri="{63B3BB69-23CF-44E3-9099-C40C66FF867C}">
                  <a14:compatExt spid="_x0000_s5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52246" name="Drop Down 22" hidden="1">
              <a:extLst>
                <a:ext uri="{63B3BB69-23CF-44E3-9099-C40C66FF867C}">
                  <a14:compatExt spid="_x0000_s5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52247" name="Drop Down 23" hidden="1">
              <a:extLst>
                <a:ext uri="{63B3BB69-23CF-44E3-9099-C40C66FF867C}">
                  <a14:compatExt spid="_x0000_s5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52248" name="Drop Down 24" hidden="1">
              <a:extLst>
                <a:ext uri="{63B3BB69-23CF-44E3-9099-C40C66FF867C}">
                  <a14:compatExt spid="_x0000_s5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52249" name="Drop Down 25" hidden="1">
              <a:extLst>
                <a:ext uri="{63B3BB69-23CF-44E3-9099-C40C66FF867C}">
                  <a14:compatExt spid="_x0000_s5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52250" name="Drop Down 26" hidden="1">
              <a:extLst>
                <a:ext uri="{63B3BB69-23CF-44E3-9099-C40C66FF867C}">
                  <a14:compatExt spid="_x0000_s5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12700</xdr:colOff>
      <xdr:row>17</xdr:row>
      <xdr:rowOff>76200</xdr:rowOff>
    </xdr:from>
    <xdr:to>
      <xdr:col>16</xdr:col>
      <xdr:colOff>1914581</xdr:colOff>
      <xdr:row>22</xdr:row>
      <xdr:rowOff>120650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96500" y="4038600"/>
          <a:ext cx="1901881" cy="10414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72125" y="869156"/>
          <a:ext cx="26431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4033" name="Check Box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4048" name="Drop Down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4049" name="Drop Down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44050" name="Drop Down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44051" name="Drop Down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44052" name="Drop Down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44053" name="Drop Down 21" hidden="1">
              <a:extLst>
                <a:ext uri="{63B3BB69-23CF-44E3-9099-C40C66FF867C}">
                  <a14:compatExt spid="_x0000_s4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4054" name="Drop Down 22" hidden="1">
              <a:extLst>
                <a:ext uri="{63B3BB69-23CF-44E3-9099-C40C66FF867C}">
                  <a14:compatExt spid="_x0000_s4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44055" name="Drop Down 23" hidden="1">
              <a:extLst>
                <a:ext uri="{63B3BB69-23CF-44E3-9099-C40C66FF867C}">
                  <a14:compatExt spid="_x0000_s4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44056" name="Drop Down 24" hidden="1">
              <a:extLst>
                <a:ext uri="{63B3BB69-23CF-44E3-9099-C40C66FF867C}">
                  <a14:compatExt spid="_x0000_s4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44057" name="Drop Down 25" hidden="1">
              <a:extLst>
                <a:ext uri="{63B3BB69-23CF-44E3-9099-C40C66FF867C}">
                  <a14:compatExt spid="_x0000_s4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4058" name="Drop Down 26" hidden="1">
              <a:extLst>
                <a:ext uri="{63B3BB69-23CF-44E3-9099-C40C66FF867C}">
                  <a14:compatExt spid="_x0000_s4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63500</xdr:rowOff>
    </xdr:from>
    <xdr:to>
      <xdr:col>17</xdr:col>
      <xdr:colOff>82551</xdr:colOff>
      <xdr:row>22</xdr:row>
      <xdr:rowOff>158750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42551" y="4025900"/>
          <a:ext cx="2019300" cy="10922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380999</xdr:rowOff>
    </xdr:from>
    <xdr:to>
      <xdr:col>15</xdr:col>
      <xdr:colOff>0</xdr:colOff>
      <xdr:row>2</xdr:row>
      <xdr:rowOff>581024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47774"/>
          <a:ext cx="2657475" cy="2000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0.00261</cdr:x>
      <cdr:y>0.93475</cdr:y>
    </cdr:from>
    <cdr:to>
      <cdr:x>0.99739</cdr:x>
      <cdr:y>0.99516</cdr:y>
    </cdr:to>
    <cdr:sp macro="" textlink="">
      <cdr:nvSpPr>
        <cdr:cNvPr id="209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222411"/>
          <a:ext cx="18154650" cy="572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45720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700" b="0" i="0" u="none" strike="noStrike" baseline="0">
              <a:solidFill>
                <a:srgbClr val="000000"/>
              </a:solidFill>
              <a:latin typeface="Arial"/>
              <a:cs typeface="Arial"/>
            </a:rPr>
            <a:t>1) abzüglich aller Ausgleichsleistungen (verfahrensspezifische Ausgleichsleistungen und Prämien aus Zahlungsansprüchen); ohne Lagerraumkosten</a:t>
          </a:r>
        </a:p>
        <a:p xmlns:a="http://schemas.openxmlformats.org/drawingml/2006/main">
          <a:pPr algn="l" rtl="0">
            <a:defRPr sz="1000"/>
          </a:pPr>
          <a:r>
            <a:rPr lang="de-DE" sz="1700" b="0" i="0" u="none" strike="noStrike" baseline="0">
              <a:solidFill>
                <a:srgbClr val="000000"/>
              </a:solidFill>
              <a:latin typeface="Arial"/>
              <a:cs typeface="Arial"/>
            </a:rPr>
            <a:t>2) Ertragsniveau/Produktivität des Standorts: mittel</a:t>
          </a:r>
        </a:p>
      </cdr:txBody>
    </cdr:sp>
  </cdr:relSizeAnchor>
  <cdr:relSizeAnchor xmlns:cdr="http://schemas.openxmlformats.org/drawingml/2006/chartDrawing">
    <cdr:from>
      <cdr:x>0.48507</cdr:x>
      <cdr:y>0.49728</cdr:y>
    </cdr:from>
    <cdr:to>
      <cdr:x>0.49627</cdr:x>
      <cdr:y>0.55719</cdr:y>
    </cdr:to>
    <cdr:sp macro="" textlink="">
      <cdr:nvSpPr>
        <cdr:cNvPr id="2099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33112" y="4961814"/>
          <a:ext cx="204240" cy="6138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73152" tIns="54864" rIns="73152" bIns="5486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357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0.70018</cdr:x>
      <cdr:y>1.4735E-5</cdr:y>
    </cdr:from>
    <cdr:to>
      <cdr:x>0.77378</cdr:x>
      <cdr:y>9.08335E-5</cdr:y>
    </cdr:to>
    <cdr:grpSp>
      <cdr:nvGrpSpPr>
        <cdr:cNvPr id="8" name="Group 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1651746" y="152"/>
          <a:ext cx="1224783" cy="785"/>
          <a:chOff x="2136" y="1787"/>
          <a:chExt cx="1488" cy="746"/>
        </a:xfrm>
      </cdr:grpSpPr>
      <cdr:pic>
        <cdr:nvPicPr>
          <cdr:cNvPr id="209929" name="Picture 9" descr="P:\90_EigeneVorlagen\LOGO-LEL_transparent.tif"/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1">
            <a:lum brigh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2136" y="1787"/>
            <a:ext cx="1488" cy="7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</cdr:pic>
    </cdr:grpSp>
  </cdr:relSizeAnchor>
  <cdr:relSizeAnchor xmlns:cdr="http://schemas.openxmlformats.org/drawingml/2006/chartDrawing">
    <cdr:from>
      <cdr:x>0.81653</cdr:x>
      <cdr:y>0.02726</cdr:y>
    </cdr:from>
    <cdr:to>
      <cdr:x>0.94754</cdr:x>
      <cdr:y>0.08993</cdr:y>
    </cdr:to>
    <cdr:sp macro="" textlink="">
      <cdr:nvSpPr>
        <cdr:cNvPr id="6" name="Abgerundetes Rechteck 5"/>
        <cdr:cNvSpPr/>
      </cdr:nvSpPr>
      <cdr:spPr bwMode="auto">
        <a:xfrm xmlns:a="http://schemas.openxmlformats.org/drawingml/2006/main">
          <a:off x="14784717" y="275087"/>
          <a:ext cx="2372264" cy="632604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AEE4EBC-E27E-441E-AADF-795758D540C9}" type="TxLink">
            <a:rPr lang="en-US" sz="16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200" b="1">
            <a:solidFill>
              <a:srgbClr val="FF0000"/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4273" name="Check Box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4274" name="Check Box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4275" name="Check Box 3" hidden="1">
              <a:extLst>
                <a:ext uri="{63B3BB69-23CF-44E3-9099-C40C66FF867C}">
                  <a14:compatExt spid="_x0000_s5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4276" name="Check Box 4" hidden="1">
              <a:extLst>
                <a:ext uri="{63B3BB69-23CF-44E3-9099-C40C66FF867C}">
                  <a14:compatExt spid="_x0000_s5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4277" name="Check Box 5" hidden="1">
              <a:extLst>
                <a:ext uri="{63B3BB69-23CF-44E3-9099-C40C66FF867C}">
                  <a14:compatExt spid="_x0000_s5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4278" name="Check Box 6" hidden="1">
              <a:extLst>
                <a:ext uri="{63B3BB69-23CF-44E3-9099-C40C66FF867C}">
                  <a14:compatExt spid="_x0000_s5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4279" name="Check Box 7" hidden="1">
              <a:extLst>
                <a:ext uri="{63B3BB69-23CF-44E3-9099-C40C66FF867C}">
                  <a14:compatExt spid="_x0000_s5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4280" name="Check Box 8" hidden="1">
              <a:extLst>
                <a:ext uri="{63B3BB69-23CF-44E3-9099-C40C66FF867C}">
                  <a14:compatExt spid="_x0000_s5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4281" name="Check Box 9" hidden="1">
              <a:extLst>
                <a:ext uri="{63B3BB69-23CF-44E3-9099-C40C66FF867C}">
                  <a14:compatExt spid="_x0000_s5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4282" name="Check Box 10" hidden="1">
              <a:extLst>
                <a:ext uri="{63B3BB69-23CF-44E3-9099-C40C66FF867C}">
                  <a14:compatExt spid="_x0000_s5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4283" name="Check Box 11" hidden="1">
              <a:extLst>
                <a:ext uri="{63B3BB69-23CF-44E3-9099-C40C66FF867C}">
                  <a14:compatExt spid="_x0000_s5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4284" name="Check Box 12" hidden="1">
              <a:extLst>
                <a:ext uri="{63B3BB69-23CF-44E3-9099-C40C66FF867C}">
                  <a14:compatExt spid="_x0000_s5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4285" name="Check Box 13" hidden="1">
              <a:extLst>
                <a:ext uri="{63B3BB69-23CF-44E3-9099-C40C66FF867C}">
                  <a14:compatExt spid="_x0000_s5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4286" name="Check Box 14" hidden="1">
              <a:extLst>
                <a:ext uri="{63B3BB69-23CF-44E3-9099-C40C66FF867C}">
                  <a14:compatExt spid="_x0000_s5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4287" name="Check Box 15" hidden="1">
              <a:extLst>
                <a:ext uri="{63B3BB69-23CF-44E3-9099-C40C66FF867C}">
                  <a14:compatExt spid="_x0000_s5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54288" name="Drop Down 16" hidden="1">
              <a:extLst>
                <a:ext uri="{63B3BB69-23CF-44E3-9099-C40C66FF867C}">
                  <a14:compatExt spid="_x0000_s5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54289" name="Drop Down 17" hidden="1">
              <a:extLst>
                <a:ext uri="{63B3BB69-23CF-44E3-9099-C40C66FF867C}">
                  <a14:compatExt spid="_x0000_s5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54290" name="Drop Down 18" hidden="1">
              <a:extLst>
                <a:ext uri="{63B3BB69-23CF-44E3-9099-C40C66FF867C}">
                  <a14:compatExt spid="_x0000_s5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54291" name="Drop Down 19" hidden="1">
              <a:extLst>
                <a:ext uri="{63B3BB69-23CF-44E3-9099-C40C66FF867C}">
                  <a14:compatExt spid="_x0000_s5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54292" name="Drop Down 20" hidden="1">
              <a:extLst>
                <a:ext uri="{63B3BB69-23CF-44E3-9099-C40C66FF867C}">
                  <a14:compatExt spid="_x0000_s5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4293" name="Drop Down 21" hidden="1">
              <a:extLst>
                <a:ext uri="{63B3BB69-23CF-44E3-9099-C40C66FF867C}">
                  <a14:compatExt spid="_x0000_s5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54294" name="Drop Down 22" hidden="1">
              <a:extLst>
                <a:ext uri="{63B3BB69-23CF-44E3-9099-C40C66FF867C}">
                  <a14:compatExt spid="_x0000_s5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54295" name="Drop Down 23" hidden="1">
              <a:extLst>
                <a:ext uri="{63B3BB69-23CF-44E3-9099-C40C66FF867C}">
                  <a14:compatExt spid="_x0000_s5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54296" name="Drop Down 24" hidden="1">
              <a:extLst>
                <a:ext uri="{63B3BB69-23CF-44E3-9099-C40C66FF867C}">
                  <a14:compatExt spid="_x0000_s5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54297" name="Drop Down 25" hidden="1">
              <a:extLst>
                <a:ext uri="{63B3BB69-23CF-44E3-9099-C40C66FF867C}">
                  <a14:compatExt spid="_x0000_s5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54298" name="Drop Down 26" hidden="1">
              <a:extLst>
                <a:ext uri="{63B3BB69-23CF-44E3-9099-C40C66FF867C}">
                  <a14:compatExt spid="_x0000_s5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54300" name="Check Box 28" hidden="1">
              <a:extLst>
                <a:ext uri="{63B3BB69-23CF-44E3-9099-C40C66FF867C}">
                  <a14:compatExt spid="_x0000_s5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82550</xdr:rowOff>
    </xdr:from>
    <xdr:to>
      <xdr:col>17</xdr:col>
      <xdr:colOff>43523</xdr:colOff>
      <xdr:row>22</xdr:row>
      <xdr:rowOff>146050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6001" y="4044950"/>
          <a:ext cx="1973922" cy="10604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273349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140124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5057" name="Check Box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5058" name="Check Box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5059" name="Check Box 3" hidden="1">
              <a:extLst>
                <a:ext uri="{63B3BB69-23CF-44E3-9099-C40C66FF867C}">
                  <a14:compatExt spid="_x0000_s4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5060" name="Check Box 4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5061" name="Check Box 5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5062" name="Check Box 6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5063" name="Check Box 7" hidden="1">
              <a:extLst>
                <a:ext uri="{63B3BB69-23CF-44E3-9099-C40C66FF867C}">
                  <a14:compatExt spid="_x0000_s4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5064" name="Check Box 8" hidden="1">
              <a:extLst>
                <a:ext uri="{63B3BB69-23CF-44E3-9099-C40C66FF867C}">
                  <a14:compatExt spid="_x0000_s4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5065" name="Check Box 9" hidden="1">
              <a:extLst>
                <a:ext uri="{63B3BB69-23CF-44E3-9099-C40C66FF867C}">
                  <a14:compatExt spid="_x0000_s45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5066" name="Check Box 10" hidden="1">
              <a:extLst>
                <a:ext uri="{63B3BB69-23CF-44E3-9099-C40C66FF867C}">
                  <a14:compatExt spid="_x0000_s45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5067" name="Check Box 11" hidden="1">
              <a:extLst>
                <a:ext uri="{63B3BB69-23CF-44E3-9099-C40C66FF867C}">
                  <a14:compatExt spid="_x0000_s45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5068" name="Check Box 12" hidden="1">
              <a:extLst>
                <a:ext uri="{63B3BB69-23CF-44E3-9099-C40C66FF867C}">
                  <a14:compatExt spid="_x0000_s45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5069" name="Check Box 13" hidden="1">
              <a:extLst>
                <a:ext uri="{63B3BB69-23CF-44E3-9099-C40C66FF867C}">
                  <a14:compatExt spid="_x0000_s45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5070" name="Check Box 14" hidden="1">
              <a:extLst>
                <a:ext uri="{63B3BB69-23CF-44E3-9099-C40C66FF867C}">
                  <a14:compatExt spid="_x0000_s45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5071" name="Check Box 15" hidden="1">
              <a:extLst>
                <a:ext uri="{63B3BB69-23CF-44E3-9099-C40C66FF867C}">
                  <a14:compatExt spid="_x0000_s45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5072" name="Drop Down 16" hidden="1">
              <a:extLst>
                <a:ext uri="{63B3BB69-23CF-44E3-9099-C40C66FF867C}">
                  <a14:compatExt spid="_x0000_s45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45073" name="Drop Down 17" hidden="1">
              <a:extLst>
                <a:ext uri="{63B3BB69-23CF-44E3-9099-C40C66FF867C}">
                  <a14:compatExt spid="_x0000_s45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45074" name="Drop Down 18" hidden="1">
              <a:extLst>
                <a:ext uri="{63B3BB69-23CF-44E3-9099-C40C66FF867C}">
                  <a14:compatExt spid="_x0000_s45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45075" name="Drop Down 19" hidden="1">
              <a:extLst>
                <a:ext uri="{63B3BB69-23CF-44E3-9099-C40C66FF867C}">
                  <a14:compatExt spid="_x0000_s4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45076" name="Drop Down 20" hidden="1">
              <a:extLst>
                <a:ext uri="{63B3BB69-23CF-44E3-9099-C40C66FF867C}">
                  <a14:compatExt spid="_x0000_s45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45077" name="Drop Down 21" hidden="1">
              <a:extLst>
                <a:ext uri="{63B3BB69-23CF-44E3-9099-C40C66FF867C}">
                  <a14:compatExt spid="_x0000_s45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5078" name="Drop Down 22" hidden="1">
              <a:extLst>
                <a:ext uri="{63B3BB69-23CF-44E3-9099-C40C66FF867C}">
                  <a14:compatExt spid="_x0000_s45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45079" name="Drop Down 23" hidden="1">
              <a:extLst>
                <a:ext uri="{63B3BB69-23CF-44E3-9099-C40C66FF867C}">
                  <a14:compatExt spid="_x0000_s45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45080" name="Drop Down 24" hidden="1">
              <a:extLst>
                <a:ext uri="{63B3BB69-23CF-44E3-9099-C40C66FF867C}">
                  <a14:compatExt spid="_x0000_s45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45081" name="Drop Down 25" hidden="1">
              <a:extLst>
                <a:ext uri="{63B3BB69-23CF-44E3-9099-C40C66FF867C}">
                  <a14:compatExt spid="_x0000_s45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5082" name="Drop Down 26" hidden="1">
              <a:extLst>
                <a:ext uri="{63B3BB69-23CF-44E3-9099-C40C66FF867C}">
                  <a14:compatExt spid="_x0000_s45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45086" name="Check Box 30" hidden="1">
              <a:extLst>
                <a:ext uri="{63B3BB69-23CF-44E3-9099-C40C66FF867C}">
                  <a14:compatExt spid="_x0000_s45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6351</xdr:colOff>
      <xdr:row>17</xdr:row>
      <xdr:rowOff>50800</xdr:rowOff>
    </xdr:from>
    <xdr:to>
      <xdr:col>17</xdr:col>
      <xdr:colOff>82551</xdr:colOff>
      <xdr:row>22</xdr:row>
      <xdr:rowOff>133350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23501" y="4013200"/>
          <a:ext cx="2006600" cy="10795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369094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 flipV="1">
          <a:off x="5572125" y="1238250"/>
          <a:ext cx="2643188" cy="1905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5297" name="Check Box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5298" name="Check Box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5299" name="Check Box 3" hidden="1">
              <a:extLst>
                <a:ext uri="{63B3BB69-23CF-44E3-9099-C40C66FF867C}">
                  <a14:compatExt spid="_x0000_s5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5300" name="Check Box 4" hidden="1">
              <a:extLst>
                <a:ext uri="{63B3BB69-23CF-44E3-9099-C40C66FF867C}">
                  <a14:compatExt spid="_x0000_s5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5301" name="Check Box 5" hidden="1">
              <a:extLst>
                <a:ext uri="{63B3BB69-23CF-44E3-9099-C40C66FF867C}">
                  <a14:compatExt spid="_x0000_s5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5302" name="Check Box 6" hidden="1">
              <a:extLst>
                <a:ext uri="{63B3BB69-23CF-44E3-9099-C40C66FF867C}">
                  <a14:compatExt spid="_x0000_s5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5303" name="Check Box 7" hidden="1">
              <a:extLst>
                <a:ext uri="{63B3BB69-23CF-44E3-9099-C40C66FF867C}">
                  <a14:compatExt spid="_x0000_s5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5304" name="Check Box 8" hidden="1">
              <a:extLst>
                <a:ext uri="{63B3BB69-23CF-44E3-9099-C40C66FF867C}">
                  <a14:compatExt spid="_x0000_s5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5305" name="Check Box 9" hidden="1">
              <a:extLst>
                <a:ext uri="{63B3BB69-23CF-44E3-9099-C40C66FF867C}">
                  <a14:compatExt spid="_x0000_s5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5306" name="Check Box 10" hidden="1">
              <a:extLst>
                <a:ext uri="{63B3BB69-23CF-44E3-9099-C40C66FF867C}">
                  <a14:compatExt spid="_x0000_s5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5307" name="Check Box 11" hidden="1">
              <a:extLst>
                <a:ext uri="{63B3BB69-23CF-44E3-9099-C40C66FF867C}">
                  <a14:compatExt spid="_x0000_s5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5308" name="Check Box 12" hidden="1">
              <a:extLst>
                <a:ext uri="{63B3BB69-23CF-44E3-9099-C40C66FF867C}">
                  <a14:compatExt spid="_x0000_s5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5309" name="Check Box 13" hidden="1">
              <a:extLst>
                <a:ext uri="{63B3BB69-23CF-44E3-9099-C40C66FF867C}">
                  <a14:compatExt spid="_x0000_s5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5310" name="Check Box 14" hidden="1">
              <a:extLst>
                <a:ext uri="{63B3BB69-23CF-44E3-9099-C40C66FF867C}">
                  <a14:compatExt spid="_x0000_s5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5311" name="Check Box 15" hidden="1">
              <a:extLst>
                <a:ext uri="{63B3BB69-23CF-44E3-9099-C40C66FF867C}">
                  <a14:compatExt spid="_x0000_s5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55312" name="Drop Down 16" hidden="1">
              <a:extLst>
                <a:ext uri="{63B3BB69-23CF-44E3-9099-C40C66FF867C}">
                  <a14:compatExt spid="_x0000_s5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55313" name="Drop Down 17" hidden="1">
              <a:extLst>
                <a:ext uri="{63B3BB69-23CF-44E3-9099-C40C66FF867C}">
                  <a14:compatExt spid="_x0000_s5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55314" name="Drop Down 18" hidden="1">
              <a:extLst>
                <a:ext uri="{63B3BB69-23CF-44E3-9099-C40C66FF867C}">
                  <a14:compatExt spid="_x0000_s5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55315" name="Drop Down 19" hidden="1">
              <a:extLst>
                <a:ext uri="{63B3BB69-23CF-44E3-9099-C40C66FF867C}">
                  <a14:compatExt spid="_x0000_s5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55316" name="Drop Down 20" hidden="1">
              <a:extLst>
                <a:ext uri="{63B3BB69-23CF-44E3-9099-C40C66FF867C}">
                  <a14:compatExt spid="_x0000_s5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5317" name="Drop Down 21" hidden="1">
              <a:extLst>
                <a:ext uri="{63B3BB69-23CF-44E3-9099-C40C66FF867C}">
                  <a14:compatExt spid="_x0000_s5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55318" name="Drop Down 22" hidden="1">
              <a:extLst>
                <a:ext uri="{63B3BB69-23CF-44E3-9099-C40C66FF867C}">
                  <a14:compatExt spid="_x0000_s5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55319" name="Drop Down 23" hidden="1">
              <a:extLst>
                <a:ext uri="{63B3BB69-23CF-44E3-9099-C40C66FF867C}">
                  <a14:compatExt spid="_x0000_s5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55320" name="Drop Down 24" hidden="1">
              <a:extLst>
                <a:ext uri="{63B3BB69-23CF-44E3-9099-C40C66FF867C}">
                  <a14:compatExt spid="_x0000_s5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55321" name="Drop Down 25" hidden="1">
              <a:extLst>
                <a:ext uri="{63B3BB69-23CF-44E3-9099-C40C66FF867C}">
                  <a14:compatExt spid="_x0000_s5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55322" name="Drop Down 26" hidden="1">
              <a:extLst>
                <a:ext uri="{63B3BB69-23CF-44E3-9099-C40C66FF867C}">
                  <a14:compatExt spid="_x0000_s5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55324" name="Check Box 28" hidden="1">
              <a:extLst>
                <a:ext uri="{63B3BB69-23CF-44E3-9099-C40C66FF867C}">
                  <a14:compatExt spid="_x0000_s5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88900</xdr:rowOff>
    </xdr:from>
    <xdr:to>
      <xdr:col>17</xdr:col>
      <xdr:colOff>76201</xdr:colOff>
      <xdr:row>22</xdr:row>
      <xdr:rowOff>134456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1" y="4051300"/>
          <a:ext cx="2006600" cy="1042506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369094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60219" y="1238250"/>
          <a:ext cx="2643187" cy="214313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26305" name="Check Box 1" hidden="1">
              <a:extLst>
                <a:ext uri="{63B3BB69-23CF-44E3-9099-C40C66FF867C}">
                  <a14:compatExt spid="_x0000_s226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26306" name="Check Box 2" hidden="1">
              <a:extLst>
                <a:ext uri="{63B3BB69-23CF-44E3-9099-C40C66FF867C}">
                  <a14:compatExt spid="_x0000_s226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26307" name="Check Box 3" hidden="1">
              <a:extLst>
                <a:ext uri="{63B3BB69-23CF-44E3-9099-C40C66FF867C}">
                  <a14:compatExt spid="_x0000_s226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26308" name="Check Box 4" hidden="1">
              <a:extLst>
                <a:ext uri="{63B3BB69-23CF-44E3-9099-C40C66FF867C}">
                  <a14:compatExt spid="_x0000_s226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26309" name="Check Box 5" hidden="1">
              <a:extLst>
                <a:ext uri="{63B3BB69-23CF-44E3-9099-C40C66FF867C}">
                  <a14:compatExt spid="_x0000_s226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26310" name="Check Box 6" hidden="1">
              <a:extLst>
                <a:ext uri="{63B3BB69-23CF-44E3-9099-C40C66FF867C}">
                  <a14:compatExt spid="_x0000_s22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26311" name="Check Box 7" hidden="1">
              <a:extLst>
                <a:ext uri="{63B3BB69-23CF-44E3-9099-C40C66FF867C}">
                  <a14:compatExt spid="_x0000_s22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26312" name="Check Box 8" hidden="1">
              <a:extLst>
                <a:ext uri="{63B3BB69-23CF-44E3-9099-C40C66FF867C}">
                  <a14:compatExt spid="_x0000_s22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26313" name="Check Box 9" hidden="1">
              <a:extLst>
                <a:ext uri="{63B3BB69-23CF-44E3-9099-C40C66FF867C}">
                  <a14:compatExt spid="_x0000_s22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26314" name="Check Box 10" hidden="1">
              <a:extLst>
                <a:ext uri="{63B3BB69-23CF-44E3-9099-C40C66FF867C}">
                  <a14:compatExt spid="_x0000_s22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6315" name="Check Box 11" hidden="1">
              <a:extLst>
                <a:ext uri="{63B3BB69-23CF-44E3-9099-C40C66FF867C}">
                  <a14:compatExt spid="_x0000_s22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26316" name="Check Box 12" hidden="1">
              <a:extLst>
                <a:ext uri="{63B3BB69-23CF-44E3-9099-C40C66FF867C}">
                  <a14:compatExt spid="_x0000_s22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26317" name="Check Box 13" hidden="1">
              <a:extLst>
                <a:ext uri="{63B3BB69-23CF-44E3-9099-C40C66FF867C}">
                  <a14:compatExt spid="_x0000_s22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26318" name="Check Box 14" hidden="1">
              <a:extLst>
                <a:ext uri="{63B3BB69-23CF-44E3-9099-C40C66FF867C}">
                  <a14:compatExt spid="_x0000_s22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26319" name="Check Box 15" hidden="1">
              <a:extLst>
                <a:ext uri="{63B3BB69-23CF-44E3-9099-C40C66FF867C}">
                  <a14:compatExt spid="_x0000_s22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26320" name="Drop Down 16" hidden="1">
              <a:extLst>
                <a:ext uri="{63B3BB69-23CF-44E3-9099-C40C66FF867C}">
                  <a14:compatExt spid="_x0000_s22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26321" name="Drop Down 17" hidden="1">
              <a:extLst>
                <a:ext uri="{63B3BB69-23CF-44E3-9099-C40C66FF867C}">
                  <a14:compatExt spid="_x0000_s22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26322" name="Drop Down 18" hidden="1">
              <a:extLst>
                <a:ext uri="{63B3BB69-23CF-44E3-9099-C40C66FF867C}">
                  <a14:compatExt spid="_x0000_s22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26323" name="Drop Down 19" hidden="1">
              <a:extLst>
                <a:ext uri="{63B3BB69-23CF-44E3-9099-C40C66FF867C}">
                  <a14:compatExt spid="_x0000_s22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26324" name="Drop Down 20" hidden="1">
              <a:extLst>
                <a:ext uri="{63B3BB69-23CF-44E3-9099-C40C66FF867C}">
                  <a14:compatExt spid="_x0000_s22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26325" name="Drop Down 21" hidden="1">
              <a:extLst>
                <a:ext uri="{63B3BB69-23CF-44E3-9099-C40C66FF867C}">
                  <a14:compatExt spid="_x0000_s22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226326" name="Drop Down 22" hidden="1">
              <a:extLst>
                <a:ext uri="{63B3BB69-23CF-44E3-9099-C40C66FF867C}">
                  <a14:compatExt spid="_x0000_s22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26327" name="Drop Down 23" hidden="1">
              <a:extLst>
                <a:ext uri="{63B3BB69-23CF-44E3-9099-C40C66FF867C}">
                  <a14:compatExt spid="_x0000_s22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26328" name="Drop Down 24" hidden="1">
              <a:extLst>
                <a:ext uri="{63B3BB69-23CF-44E3-9099-C40C66FF867C}">
                  <a14:compatExt spid="_x0000_s22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26329" name="Drop Down 25" hidden="1">
              <a:extLst>
                <a:ext uri="{63B3BB69-23CF-44E3-9099-C40C66FF867C}">
                  <a14:compatExt spid="_x0000_s22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26330" name="Drop Down 26" hidden="1">
              <a:extLst>
                <a:ext uri="{63B3BB69-23CF-44E3-9099-C40C66FF867C}">
                  <a14:compatExt spid="_x0000_s22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226332" name="Check Box 28" hidden="1">
              <a:extLst>
                <a:ext uri="{63B3BB69-23CF-44E3-9099-C40C66FF867C}">
                  <a14:compatExt spid="_x0000_s22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19051</xdr:colOff>
      <xdr:row>17</xdr:row>
      <xdr:rowOff>63500</xdr:rowOff>
    </xdr:from>
    <xdr:to>
      <xdr:col>17</xdr:col>
      <xdr:colOff>48165</xdr:colOff>
      <xdr:row>22</xdr:row>
      <xdr:rowOff>158750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36201" y="4025900"/>
          <a:ext cx="1959514" cy="10922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357187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60219" y="1226343"/>
          <a:ext cx="2643187" cy="309563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21185" name="Check Box 1" hidden="1">
              <a:extLst>
                <a:ext uri="{63B3BB69-23CF-44E3-9099-C40C66FF867C}">
                  <a14:compatExt spid="_x0000_s22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21186" name="Check Box 2" hidden="1">
              <a:extLst>
                <a:ext uri="{63B3BB69-23CF-44E3-9099-C40C66FF867C}">
                  <a14:compatExt spid="_x0000_s22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21187" name="Check Box 3" hidden="1">
              <a:extLst>
                <a:ext uri="{63B3BB69-23CF-44E3-9099-C40C66FF867C}">
                  <a14:compatExt spid="_x0000_s22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21188" name="Check Box 4" hidden="1">
              <a:extLst>
                <a:ext uri="{63B3BB69-23CF-44E3-9099-C40C66FF867C}">
                  <a14:compatExt spid="_x0000_s22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21189" name="Check Box 5" hidden="1">
              <a:extLst>
                <a:ext uri="{63B3BB69-23CF-44E3-9099-C40C66FF867C}">
                  <a14:compatExt spid="_x0000_s22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21190" name="Check Box 6" hidden="1">
              <a:extLst>
                <a:ext uri="{63B3BB69-23CF-44E3-9099-C40C66FF867C}">
                  <a14:compatExt spid="_x0000_s22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21191" name="Check Box 7" hidden="1">
              <a:extLst>
                <a:ext uri="{63B3BB69-23CF-44E3-9099-C40C66FF867C}">
                  <a14:compatExt spid="_x0000_s22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21192" name="Check Box 8" hidden="1">
              <a:extLst>
                <a:ext uri="{63B3BB69-23CF-44E3-9099-C40C66FF867C}">
                  <a14:compatExt spid="_x0000_s22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21193" name="Check Box 9" hidden="1">
              <a:extLst>
                <a:ext uri="{63B3BB69-23CF-44E3-9099-C40C66FF867C}">
                  <a14:compatExt spid="_x0000_s22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21194" name="Check Box 10" hidden="1">
              <a:extLst>
                <a:ext uri="{63B3BB69-23CF-44E3-9099-C40C66FF867C}">
                  <a14:compatExt spid="_x0000_s22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1195" name="Check Box 11" hidden="1">
              <a:extLst>
                <a:ext uri="{63B3BB69-23CF-44E3-9099-C40C66FF867C}">
                  <a14:compatExt spid="_x0000_s22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21196" name="Check Box 12" hidden="1">
              <a:extLst>
                <a:ext uri="{63B3BB69-23CF-44E3-9099-C40C66FF867C}">
                  <a14:compatExt spid="_x0000_s22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21197" name="Check Box 13" hidden="1">
              <a:extLst>
                <a:ext uri="{63B3BB69-23CF-44E3-9099-C40C66FF867C}">
                  <a14:compatExt spid="_x0000_s22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21198" name="Check Box 14" hidden="1">
              <a:extLst>
                <a:ext uri="{63B3BB69-23CF-44E3-9099-C40C66FF867C}">
                  <a14:compatExt spid="_x0000_s22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21199" name="Check Box 15" hidden="1">
              <a:extLst>
                <a:ext uri="{63B3BB69-23CF-44E3-9099-C40C66FF867C}">
                  <a14:compatExt spid="_x0000_s22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21200" name="Drop Down 16" hidden="1">
              <a:extLst>
                <a:ext uri="{63B3BB69-23CF-44E3-9099-C40C66FF867C}">
                  <a14:compatExt spid="_x0000_s22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21201" name="Drop Down 17" hidden="1">
              <a:extLst>
                <a:ext uri="{63B3BB69-23CF-44E3-9099-C40C66FF867C}">
                  <a14:compatExt spid="_x0000_s22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221202" name="Drop Down 18" hidden="1">
              <a:extLst>
                <a:ext uri="{63B3BB69-23CF-44E3-9099-C40C66FF867C}">
                  <a14:compatExt spid="_x0000_s22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21203" name="Drop Down 19" hidden="1">
              <a:extLst>
                <a:ext uri="{63B3BB69-23CF-44E3-9099-C40C66FF867C}">
                  <a14:compatExt spid="_x0000_s22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21204" name="Drop Down 20" hidden="1">
              <a:extLst>
                <a:ext uri="{63B3BB69-23CF-44E3-9099-C40C66FF867C}">
                  <a14:compatExt spid="_x0000_s22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21205" name="Drop Down 21" hidden="1">
              <a:extLst>
                <a:ext uri="{63B3BB69-23CF-44E3-9099-C40C66FF867C}">
                  <a14:compatExt spid="_x0000_s22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221206" name="Drop Down 22" hidden="1">
              <a:extLst>
                <a:ext uri="{63B3BB69-23CF-44E3-9099-C40C66FF867C}">
                  <a14:compatExt spid="_x0000_s22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21207" name="Drop Down 23" hidden="1">
              <a:extLst>
                <a:ext uri="{63B3BB69-23CF-44E3-9099-C40C66FF867C}">
                  <a14:compatExt spid="_x0000_s22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221208" name="Drop Down 24" hidden="1">
              <a:extLst>
                <a:ext uri="{63B3BB69-23CF-44E3-9099-C40C66FF867C}">
                  <a14:compatExt spid="_x0000_s22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21209" name="Drop Down 25" hidden="1">
              <a:extLst>
                <a:ext uri="{63B3BB69-23CF-44E3-9099-C40C66FF867C}">
                  <a14:compatExt spid="_x0000_s22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221210" name="Drop Down 26" hidden="1">
              <a:extLst>
                <a:ext uri="{63B3BB69-23CF-44E3-9099-C40C66FF867C}">
                  <a14:compatExt spid="_x0000_s22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221212" name="Check Box 28" hidden="1">
              <a:extLst>
                <a:ext uri="{63B3BB69-23CF-44E3-9099-C40C66FF867C}">
                  <a14:compatExt spid="_x0000_s22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21213" name="Check Box 29" hidden="1">
              <a:extLst>
                <a:ext uri="{63B3BB69-23CF-44E3-9099-C40C66FF867C}">
                  <a14:compatExt spid="_x0000_s22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1214" name="Check Box 30" hidden="1">
              <a:extLst>
                <a:ext uri="{63B3BB69-23CF-44E3-9099-C40C66FF867C}">
                  <a14:compatExt spid="_x0000_s22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1215" name="Check Box 31" hidden="1">
              <a:extLst>
                <a:ext uri="{63B3BB69-23CF-44E3-9099-C40C66FF867C}">
                  <a14:compatExt spid="_x0000_s22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800100</xdr:colOff>
      <xdr:row>17</xdr:row>
      <xdr:rowOff>57150</xdr:rowOff>
    </xdr:from>
    <xdr:to>
      <xdr:col>17</xdr:col>
      <xdr:colOff>59639</xdr:colOff>
      <xdr:row>22</xdr:row>
      <xdr:rowOff>158750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0800" y="4019550"/>
          <a:ext cx="2002739" cy="10985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690562</xdr:colOff>
      <xdr:row>2</xdr:row>
      <xdr:rowOff>345282</xdr:rowOff>
    </xdr:from>
    <xdr:to>
      <xdr:col>14</xdr:col>
      <xdr:colOff>881061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60218" y="1214438"/>
          <a:ext cx="2643187" cy="261937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71436</xdr:rowOff>
    </xdr:from>
    <xdr:to>
      <xdr:col>2</xdr:col>
      <xdr:colOff>571500</xdr:colOff>
      <xdr:row>0</xdr:row>
      <xdr:rowOff>509585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345281" y="7143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4</xdr:col>
      <xdr:colOff>0</xdr:colOff>
      <xdr:row>0</xdr:row>
      <xdr:rowOff>71436</xdr:rowOff>
    </xdr:from>
    <xdr:to>
      <xdr:col>6</xdr:col>
      <xdr:colOff>666750</xdr:colOff>
      <xdr:row>0</xdr:row>
      <xdr:rowOff>509585</xdr:rowOff>
    </xdr:to>
    <xdr:sp macro="" textlink="">
      <xdr:nvSpPr>
        <xdr:cNvPr id="6" name="Textfeld 5">
          <a:hlinkClick xmlns:r="http://schemas.openxmlformats.org/officeDocument/2006/relationships" r:id="rId2"/>
        </xdr:cNvPr>
        <xdr:cNvSpPr txBox="1"/>
      </xdr:nvSpPr>
      <xdr:spPr>
        <a:xfrm>
          <a:off x="3298031" y="71436"/>
          <a:ext cx="20478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8</xdr:col>
      <xdr:colOff>0</xdr:colOff>
      <xdr:row>0</xdr:row>
      <xdr:rowOff>71436</xdr:rowOff>
    </xdr:from>
    <xdr:to>
      <xdr:col>11</xdr:col>
      <xdr:colOff>14287</xdr:colOff>
      <xdr:row>0</xdr:row>
      <xdr:rowOff>509585</xdr:rowOff>
    </xdr:to>
    <xdr:sp macro="" textlink="">
      <xdr:nvSpPr>
        <xdr:cNvPr id="7" name="Textfeld 6">
          <a:hlinkClick xmlns:r="http://schemas.openxmlformats.org/officeDocument/2006/relationships" r:id="rId3"/>
        </xdr:cNvPr>
        <xdr:cNvSpPr txBox="1"/>
      </xdr:nvSpPr>
      <xdr:spPr>
        <a:xfrm>
          <a:off x="6060281" y="71436"/>
          <a:ext cx="20859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Orientierungswerte</a:t>
          </a:r>
        </a:p>
        <a:p>
          <a:pPr algn="ctr"/>
          <a:r>
            <a:rPr lang="de-DE" sz="1100" b="1"/>
            <a:t>Seite 2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9153" name="Check Box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9154" name="Check Box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9155" name="Check Box 3" hidden="1">
              <a:extLst>
                <a:ext uri="{63B3BB69-23CF-44E3-9099-C40C66FF867C}">
                  <a14:compatExt spid="_x0000_s49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9156" name="Check Box 4" hidden="1">
              <a:extLst>
                <a:ext uri="{63B3BB69-23CF-44E3-9099-C40C66FF867C}">
                  <a14:compatExt spid="_x0000_s49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9157" name="Check Box 5" hidden="1">
              <a:extLst>
                <a:ext uri="{63B3BB69-23CF-44E3-9099-C40C66FF867C}">
                  <a14:compatExt spid="_x0000_s49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9158" name="Check Box 6" hidden="1">
              <a:extLst>
                <a:ext uri="{63B3BB69-23CF-44E3-9099-C40C66FF867C}">
                  <a14:compatExt spid="_x0000_s49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9159" name="Check Box 7" hidden="1">
              <a:extLst>
                <a:ext uri="{63B3BB69-23CF-44E3-9099-C40C66FF867C}">
                  <a14:compatExt spid="_x0000_s49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9160" name="Check Box 8" hidden="1">
              <a:extLst>
                <a:ext uri="{63B3BB69-23CF-44E3-9099-C40C66FF867C}">
                  <a14:compatExt spid="_x0000_s49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9161" name="Check Box 9" hidden="1">
              <a:extLst>
                <a:ext uri="{63B3BB69-23CF-44E3-9099-C40C66FF867C}">
                  <a14:compatExt spid="_x0000_s49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9162" name="Check Box 10" hidden="1">
              <a:extLst>
                <a:ext uri="{63B3BB69-23CF-44E3-9099-C40C66FF867C}">
                  <a14:compatExt spid="_x0000_s49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9163" name="Check Box 11" hidden="1">
              <a:extLst>
                <a:ext uri="{63B3BB69-23CF-44E3-9099-C40C66FF867C}">
                  <a14:compatExt spid="_x0000_s49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9164" name="Check Box 12" hidden="1">
              <a:extLst>
                <a:ext uri="{63B3BB69-23CF-44E3-9099-C40C66FF867C}">
                  <a14:compatExt spid="_x0000_s49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9165" name="Check Box 13" hidden="1">
              <a:extLst>
                <a:ext uri="{63B3BB69-23CF-44E3-9099-C40C66FF867C}">
                  <a14:compatExt spid="_x0000_s49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9166" name="Check Box 14" hidden="1">
              <a:extLst>
                <a:ext uri="{63B3BB69-23CF-44E3-9099-C40C66FF867C}">
                  <a14:compatExt spid="_x0000_s49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9167" name="Check Box 15" hidden="1">
              <a:extLst>
                <a:ext uri="{63B3BB69-23CF-44E3-9099-C40C66FF867C}">
                  <a14:compatExt spid="_x0000_s49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9168" name="Drop Down 16" hidden="1">
              <a:extLst>
                <a:ext uri="{63B3BB69-23CF-44E3-9099-C40C66FF867C}">
                  <a14:compatExt spid="_x0000_s49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9169" name="Drop Down 17" hidden="1">
              <a:extLst>
                <a:ext uri="{63B3BB69-23CF-44E3-9099-C40C66FF867C}">
                  <a14:compatExt spid="_x0000_s49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49170" name="Drop Down 18" hidden="1">
              <a:extLst>
                <a:ext uri="{63B3BB69-23CF-44E3-9099-C40C66FF867C}">
                  <a14:compatExt spid="_x0000_s49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49171" name="Drop Down 19" hidden="1">
              <a:extLst>
                <a:ext uri="{63B3BB69-23CF-44E3-9099-C40C66FF867C}">
                  <a14:compatExt spid="_x0000_s49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49172" name="Drop Down 20" hidden="1">
              <a:extLst>
                <a:ext uri="{63B3BB69-23CF-44E3-9099-C40C66FF867C}">
                  <a14:compatExt spid="_x0000_s49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49173" name="Drop Down 21" hidden="1">
              <a:extLst>
                <a:ext uri="{63B3BB69-23CF-44E3-9099-C40C66FF867C}">
                  <a14:compatExt spid="_x0000_s49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9174" name="Drop Down 22" hidden="1">
              <a:extLst>
                <a:ext uri="{63B3BB69-23CF-44E3-9099-C40C66FF867C}">
                  <a14:compatExt spid="_x0000_s49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49175" name="Drop Down 23" hidden="1">
              <a:extLst>
                <a:ext uri="{63B3BB69-23CF-44E3-9099-C40C66FF867C}">
                  <a14:compatExt spid="_x0000_s49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49176" name="Drop Down 24" hidden="1">
              <a:extLst>
                <a:ext uri="{63B3BB69-23CF-44E3-9099-C40C66FF867C}">
                  <a14:compatExt spid="_x0000_s49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49177" name="Drop Down 25" hidden="1">
              <a:extLst>
                <a:ext uri="{63B3BB69-23CF-44E3-9099-C40C66FF867C}">
                  <a14:compatExt spid="_x0000_s49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9178" name="Drop Down 26" hidden="1">
              <a:extLst>
                <a:ext uri="{63B3BB69-23CF-44E3-9099-C40C66FF867C}">
                  <a14:compatExt spid="_x0000_s49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49180" name="Check Box 28" hidden="1">
              <a:extLst>
                <a:ext uri="{63B3BB69-23CF-44E3-9099-C40C66FF867C}">
                  <a14:compatExt spid="_x0000_s49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9181" name="Check Box 29" hidden="1">
              <a:extLst>
                <a:ext uri="{63B3BB69-23CF-44E3-9099-C40C66FF867C}">
                  <a14:compatExt spid="_x0000_s49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9182" name="Check Box 30" hidden="1">
              <a:extLst>
                <a:ext uri="{63B3BB69-23CF-44E3-9099-C40C66FF867C}">
                  <a14:compatExt spid="_x0000_s49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0</xdr:colOff>
      <xdr:row>17</xdr:row>
      <xdr:rowOff>57150</xdr:rowOff>
    </xdr:from>
    <xdr:to>
      <xdr:col>17</xdr:col>
      <xdr:colOff>224479</xdr:colOff>
      <xdr:row>22</xdr:row>
      <xdr:rowOff>114300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0" y="4152900"/>
          <a:ext cx="2161229" cy="10541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359074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2584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6321" name="Check Box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6322" name="Check Box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6323" name="Check Box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6324" name="Check Box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6325" name="Check Box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6326" name="Check Box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6327" name="Check Box 7" hidden="1">
              <a:extLst>
                <a:ext uri="{63B3BB69-23CF-44E3-9099-C40C66FF867C}">
                  <a14:compatExt spid="_x0000_s5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6328" name="Check Box 8" hidden="1">
              <a:extLst>
                <a:ext uri="{63B3BB69-23CF-44E3-9099-C40C66FF867C}">
                  <a14:compatExt spid="_x0000_s5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6329" name="Check Box 9" hidden="1">
              <a:extLst>
                <a:ext uri="{63B3BB69-23CF-44E3-9099-C40C66FF867C}">
                  <a14:compatExt spid="_x0000_s5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6330" name="Check Box 10" hidden="1">
              <a:extLst>
                <a:ext uri="{63B3BB69-23CF-44E3-9099-C40C66FF867C}">
                  <a14:compatExt spid="_x0000_s5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6331" name="Check Box 11" hidden="1">
              <a:extLst>
                <a:ext uri="{63B3BB69-23CF-44E3-9099-C40C66FF867C}">
                  <a14:compatExt spid="_x0000_s56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6332" name="Check Box 12" hidden="1">
              <a:extLst>
                <a:ext uri="{63B3BB69-23CF-44E3-9099-C40C66FF867C}">
                  <a14:compatExt spid="_x0000_s5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6333" name="Check Box 13" hidden="1">
              <a:extLst>
                <a:ext uri="{63B3BB69-23CF-44E3-9099-C40C66FF867C}">
                  <a14:compatExt spid="_x0000_s56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6334" name="Check Box 14" hidden="1">
              <a:extLst>
                <a:ext uri="{63B3BB69-23CF-44E3-9099-C40C66FF867C}">
                  <a14:compatExt spid="_x0000_s56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6335" name="Check Box 15" hidden="1">
              <a:extLst>
                <a:ext uri="{63B3BB69-23CF-44E3-9099-C40C66FF867C}">
                  <a14:compatExt spid="_x0000_s56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56336" name="Drop Down 16" hidden="1">
              <a:extLst>
                <a:ext uri="{63B3BB69-23CF-44E3-9099-C40C66FF867C}">
                  <a14:compatExt spid="_x0000_s56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56337" name="Drop Down 17" hidden="1">
              <a:extLst>
                <a:ext uri="{63B3BB69-23CF-44E3-9099-C40C66FF867C}">
                  <a14:compatExt spid="_x0000_s56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56338" name="Drop Down 18" hidden="1">
              <a:extLst>
                <a:ext uri="{63B3BB69-23CF-44E3-9099-C40C66FF867C}">
                  <a14:compatExt spid="_x0000_s56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56339" name="Drop Down 19" hidden="1">
              <a:extLst>
                <a:ext uri="{63B3BB69-23CF-44E3-9099-C40C66FF867C}">
                  <a14:compatExt spid="_x0000_s56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56340" name="Drop Down 20" hidden="1">
              <a:extLst>
                <a:ext uri="{63B3BB69-23CF-44E3-9099-C40C66FF867C}">
                  <a14:compatExt spid="_x0000_s56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6341" name="Drop Down 21" hidden="1">
              <a:extLst>
                <a:ext uri="{63B3BB69-23CF-44E3-9099-C40C66FF867C}">
                  <a14:compatExt spid="_x0000_s56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56342" name="Drop Down 22" hidden="1">
              <a:extLst>
                <a:ext uri="{63B3BB69-23CF-44E3-9099-C40C66FF867C}">
                  <a14:compatExt spid="_x0000_s56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56343" name="Drop Down 23" hidden="1">
              <a:extLst>
                <a:ext uri="{63B3BB69-23CF-44E3-9099-C40C66FF867C}">
                  <a14:compatExt spid="_x0000_s56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56344" name="Drop Down 24" hidden="1">
              <a:extLst>
                <a:ext uri="{63B3BB69-23CF-44E3-9099-C40C66FF867C}">
                  <a14:compatExt spid="_x0000_s56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56345" name="Drop Down 25" hidden="1">
              <a:extLst>
                <a:ext uri="{63B3BB69-23CF-44E3-9099-C40C66FF867C}">
                  <a14:compatExt spid="_x0000_s56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56346" name="Drop Down 26" hidden="1">
              <a:extLst>
                <a:ext uri="{63B3BB69-23CF-44E3-9099-C40C66FF867C}">
                  <a14:compatExt spid="_x0000_s56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56347" name="Check Box 27" hidden="1">
              <a:extLst>
                <a:ext uri="{63B3BB69-23CF-44E3-9099-C40C66FF867C}">
                  <a14:compatExt spid="_x0000_s56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16</xdr:col>
      <xdr:colOff>142875</xdr:colOff>
      <xdr:row>57</xdr:row>
      <xdr:rowOff>161026</xdr:rowOff>
    </xdr:from>
    <xdr:to>
      <xdr:col>19</xdr:col>
      <xdr:colOff>238125</xdr:colOff>
      <xdr:row>59</xdr:row>
      <xdr:rowOff>75301</xdr:rowOff>
    </xdr:to>
    <xdr:sp macro="" textlink="">
      <xdr:nvSpPr>
        <xdr:cNvPr id="56348" name="Text Box 28"/>
        <xdr:cNvSpPr txBox="1">
          <a:spLocks noChangeArrowheads="1"/>
        </xdr:cNvSpPr>
      </xdr:nvSpPr>
      <xdr:spPr bwMode="auto">
        <a:xfrm>
          <a:off x="9906000" y="11610975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60 €/Schnitt, Festfahren 35 €/Schnitt, jeweils ohne Mwst.</a:t>
          </a:r>
        </a:p>
      </xdr:txBody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3" name="Textfeld 3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6350" name="Check Box 30" hidden="1">
              <a:extLst>
                <a:ext uri="{63B3BB69-23CF-44E3-9099-C40C66FF867C}">
                  <a14:compatExt spid="_x0000_s56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6351" name="Check Box 31" hidden="1">
              <a:extLst>
                <a:ext uri="{63B3BB69-23CF-44E3-9099-C40C66FF867C}">
                  <a14:compatExt spid="_x0000_s56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793751</xdr:colOff>
      <xdr:row>17</xdr:row>
      <xdr:rowOff>63500</xdr:rowOff>
    </xdr:from>
    <xdr:to>
      <xdr:col>17</xdr:col>
      <xdr:colOff>30823</xdr:colOff>
      <xdr:row>22</xdr:row>
      <xdr:rowOff>107950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04451" y="4025900"/>
          <a:ext cx="1973922" cy="10414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352425</xdr:rowOff>
    </xdr:from>
    <xdr:to>
      <xdr:col>15</xdr:col>
      <xdr:colOff>1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19200"/>
          <a:ext cx="2657476" cy="1905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18113" name="Check Box 1" hidden="1">
              <a:extLst>
                <a:ext uri="{63B3BB69-23CF-44E3-9099-C40C66FF867C}">
                  <a14:compatExt spid="_x0000_s218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18114" name="Check Box 2" hidden="1">
              <a:extLst>
                <a:ext uri="{63B3BB69-23CF-44E3-9099-C40C66FF867C}">
                  <a14:compatExt spid="_x0000_s218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18115" name="Check Box 3" hidden="1">
              <a:extLst>
                <a:ext uri="{63B3BB69-23CF-44E3-9099-C40C66FF867C}">
                  <a14:compatExt spid="_x0000_s218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18116" name="Check Box 4" hidden="1">
              <a:extLst>
                <a:ext uri="{63B3BB69-23CF-44E3-9099-C40C66FF867C}">
                  <a14:compatExt spid="_x0000_s218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18117" name="Check Box 5" hidden="1">
              <a:extLst>
                <a:ext uri="{63B3BB69-23CF-44E3-9099-C40C66FF867C}">
                  <a14:compatExt spid="_x0000_s218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18118" name="Check Box 6" hidden="1">
              <a:extLst>
                <a:ext uri="{63B3BB69-23CF-44E3-9099-C40C66FF867C}">
                  <a14:compatExt spid="_x0000_s218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18119" name="Check Box 7" hidden="1">
              <a:extLst>
                <a:ext uri="{63B3BB69-23CF-44E3-9099-C40C66FF867C}">
                  <a14:compatExt spid="_x0000_s218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18120" name="Check Box 8" hidden="1">
              <a:extLst>
                <a:ext uri="{63B3BB69-23CF-44E3-9099-C40C66FF867C}">
                  <a14:compatExt spid="_x0000_s218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18121" name="Check Box 9" hidden="1">
              <a:extLst>
                <a:ext uri="{63B3BB69-23CF-44E3-9099-C40C66FF867C}">
                  <a14:compatExt spid="_x0000_s218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18122" name="Check Box 10" hidden="1">
              <a:extLst>
                <a:ext uri="{63B3BB69-23CF-44E3-9099-C40C66FF867C}">
                  <a14:compatExt spid="_x0000_s218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8123" name="Check Box 11" hidden="1">
              <a:extLst>
                <a:ext uri="{63B3BB69-23CF-44E3-9099-C40C66FF867C}">
                  <a14:compatExt spid="_x0000_s218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18124" name="Check Box 12" hidden="1">
              <a:extLst>
                <a:ext uri="{63B3BB69-23CF-44E3-9099-C40C66FF867C}">
                  <a14:compatExt spid="_x0000_s218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18125" name="Check Box 13" hidden="1">
              <a:extLst>
                <a:ext uri="{63B3BB69-23CF-44E3-9099-C40C66FF867C}">
                  <a14:compatExt spid="_x0000_s218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18126" name="Check Box 14" hidden="1">
              <a:extLst>
                <a:ext uri="{63B3BB69-23CF-44E3-9099-C40C66FF867C}">
                  <a14:compatExt spid="_x0000_s218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18127" name="Check Box 15" hidden="1">
              <a:extLst>
                <a:ext uri="{63B3BB69-23CF-44E3-9099-C40C66FF867C}">
                  <a14:compatExt spid="_x0000_s218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18128" name="Drop Down 16" hidden="1">
              <a:extLst>
                <a:ext uri="{63B3BB69-23CF-44E3-9099-C40C66FF867C}">
                  <a14:compatExt spid="_x0000_s218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18129" name="Drop Down 17" hidden="1">
              <a:extLst>
                <a:ext uri="{63B3BB69-23CF-44E3-9099-C40C66FF867C}">
                  <a14:compatExt spid="_x0000_s21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18130" name="Drop Down 18" hidden="1">
              <a:extLst>
                <a:ext uri="{63B3BB69-23CF-44E3-9099-C40C66FF867C}">
                  <a14:compatExt spid="_x0000_s218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218131" name="Drop Down 19" hidden="1">
              <a:extLst>
                <a:ext uri="{63B3BB69-23CF-44E3-9099-C40C66FF867C}">
                  <a14:compatExt spid="_x0000_s218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18132" name="Drop Down 20" hidden="1">
              <a:extLst>
                <a:ext uri="{63B3BB69-23CF-44E3-9099-C40C66FF867C}">
                  <a14:compatExt spid="_x0000_s218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218133" name="Drop Down 21" hidden="1">
              <a:extLst>
                <a:ext uri="{63B3BB69-23CF-44E3-9099-C40C66FF867C}">
                  <a14:compatExt spid="_x0000_s218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18134" name="Drop Down 22" hidden="1">
              <a:extLst>
                <a:ext uri="{63B3BB69-23CF-44E3-9099-C40C66FF867C}">
                  <a14:compatExt spid="_x0000_s218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218135" name="Drop Down 23" hidden="1">
              <a:extLst>
                <a:ext uri="{63B3BB69-23CF-44E3-9099-C40C66FF867C}">
                  <a14:compatExt spid="_x0000_s218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218136" name="Drop Down 24" hidden="1">
              <a:extLst>
                <a:ext uri="{63B3BB69-23CF-44E3-9099-C40C66FF867C}">
                  <a14:compatExt spid="_x0000_s218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18137" name="Drop Down 25" hidden="1">
              <a:extLst>
                <a:ext uri="{63B3BB69-23CF-44E3-9099-C40C66FF867C}">
                  <a14:compatExt spid="_x0000_s218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18138" name="Drop Down 26" hidden="1">
              <a:extLst>
                <a:ext uri="{63B3BB69-23CF-44E3-9099-C40C66FF867C}">
                  <a14:compatExt spid="_x0000_s218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218139" name="Check Box 27" hidden="1">
              <a:extLst>
                <a:ext uri="{63B3BB69-23CF-44E3-9099-C40C66FF867C}">
                  <a14:compatExt spid="_x0000_s218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16</xdr:col>
      <xdr:colOff>142875</xdr:colOff>
      <xdr:row>57</xdr:row>
      <xdr:rowOff>161026</xdr:rowOff>
    </xdr:from>
    <xdr:to>
      <xdr:col>19</xdr:col>
      <xdr:colOff>238125</xdr:colOff>
      <xdr:row>59</xdr:row>
      <xdr:rowOff>75301</xdr:rowOff>
    </xdr:to>
    <xdr:sp macro="" textlink="">
      <xdr:nvSpPr>
        <xdr:cNvPr id="218140" name="Text Box 28"/>
        <xdr:cNvSpPr txBox="1">
          <a:spLocks noChangeArrowheads="1"/>
        </xdr:cNvSpPr>
      </xdr:nvSpPr>
      <xdr:spPr bwMode="auto">
        <a:xfrm>
          <a:off x="9906000" y="11610975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60 €/Schnitt, Festfahren 35 €/Schnitt, jeweils ohne Mwst.</a:t>
          </a:r>
        </a:p>
      </xdr:txBody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3" name="Textfeld 3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" name="Check Box 28" hidden="1">
              <a:extLst>
                <a:ext uri="{63B3BB69-23CF-44E3-9099-C40C66FF867C}">
                  <a14:compatExt spid="_x0000_s218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8141" name="Check Box 29" hidden="1">
              <a:extLst>
                <a:ext uri="{63B3BB69-23CF-44E3-9099-C40C66FF867C}">
                  <a14:compatExt spid="_x0000_s218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800101</xdr:colOff>
      <xdr:row>17</xdr:row>
      <xdr:rowOff>50800</xdr:rowOff>
    </xdr:from>
    <xdr:to>
      <xdr:col>17</xdr:col>
      <xdr:colOff>50801</xdr:colOff>
      <xdr:row>22</xdr:row>
      <xdr:rowOff>158750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0801" y="4013200"/>
          <a:ext cx="1987550" cy="11049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371475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238250"/>
          <a:ext cx="2657475" cy="2095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160769" name="Drop Down 1" hidden="1">
              <a:extLst>
                <a:ext uri="{63B3BB69-23CF-44E3-9099-C40C66FF867C}">
                  <a14:compatExt spid="_x0000_s16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160770" name="Drop Down 2" hidden="1">
              <a:extLst>
                <a:ext uri="{63B3BB69-23CF-44E3-9099-C40C66FF867C}">
                  <a14:compatExt spid="_x0000_s160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160772" name="Drop Down 4" hidden="1">
              <a:extLst>
                <a:ext uri="{63B3BB69-23CF-44E3-9099-C40C66FF867C}">
                  <a14:compatExt spid="_x0000_s160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160773" name="Drop Down 5" hidden="1">
              <a:extLst>
                <a:ext uri="{63B3BB69-23CF-44E3-9099-C40C66FF867C}">
                  <a14:compatExt spid="_x0000_s160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160774" name="Drop Down 6" hidden="1">
              <a:extLst>
                <a:ext uri="{63B3BB69-23CF-44E3-9099-C40C66FF867C}">
                  <a14:compatExt spid="_x0000_s160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160775" name="Drop Down 7" hidden="1">
              <a:extLst>
                <a:ext uri="{63B3BB69-23CF-44E3-9099-C40C66FF867C}">
                  <a14:compatExt spid="_x0000_s160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160780" name="Drop Down 12" hidden="1">
              <a:extLst>
                <a:ext uri="{63B3BB69-23CF-44E3-9099-C40C66FF867C}">
                  <a14:compatExt spid="_x0000_s160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160781" name="Drop Down 13" hidden="1">
              <a:extLst>
                <a:ext uri="{63B3BB69-23CF-44E3-9099-C40C66FF867C}">
                  <a14:compatExt spid="_x0000_s160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160782" name="Drop Down 14" hidden="1">
              <a:extLst>
                <a:ext uri="{63B3BB69-23CF-44E3-9099-C40C66FF867C}">
                  <a14:compatExt spid="_x0000_s160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160783" name="Drop Down 15" hidden="1">
              <a:extLst>
                <a:ext uri="{63B3BB69-23CF-44E3-9099-C40C66FF867C}">
                  <a14:compatExt spid="_x0000_s160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160784" name="Drop Down 16" hidden="1">
              <a:extLst>
                <a:ext uri="{63B3BB69-23CF-44E3-9099-C40C66FF867C}">
                  <a14:compatExt spid="_x0000_s160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160786" name="Check Box 18" hidden="1">
              <a:extLst>
                <a:ext uri="{63B3BB69-23CF-44E3-9099-C40C66FF867C}">
                  <a14:compatExt spid="_x0000_s160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12</xdr:col>
      <xdr:colOff>8626</xdr:colOff>
      <xdr:row>3</xdr:row>
      <xdr:rowOff>224287</xdr:rowOff>
    </xdr:from>
    <xdr:to>
      <xdr:col>16</xdr:col>
      <xdr:colOff>612475</xdr:colOff>
      <xdr:row>5</xdr:row>
      <xdr:rowOff>8626</xdr:rowOff>
    </xdr:to>
    <xdr:sp macro="" textlink="">
      <xdr:nvSpPr>
        <xdr:cNvPr id="161703" name="Rechteck 1"/>
        <xdr:cNvSpPr>
          <a:spLocks noChangeArrowheads="1"/>
        </xdr:cNvSpPr>
      </xdr:nvSpPr>
      <xdr:spPr bwMode="auto">
        <a:xfrm>
          <a:off x="7134045" y="1009291"/>
          <a:ext cx="3053751" cy="2501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1</xdr:colOff>
      <xdr:row>24</xdr:row>
      <xdr:rowOff>0</xdr:rowOff>
    </xdr:from>
    <xdr:to>
      <xdr:col>20</xdr:col>
      <xdr:colOff>381001</xdr:colOff>
      <xdr:row>29</xdr:row>
      <xdr:rowOff>47134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87001" y="5314950"/>
          <a:ext cx="2311400" cy="1018684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357187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988844" y="1273968"/>
          <a:ext cx="3214687" cy="22622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162817" name="Drop Down 1" hidden="1">
              <a:extLst>
                <a:ext uri="{63B3BB69-23CF-44E3-9099-C40C66FF867C}">
                  <a14:compatExt spid="_x0000_s16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162818" name="Drop Down 2" hidden="1">
              <a:extLst>
                <a:ext uri="{63B3BB69-23CF-44E3-9099-C40C66FF867C}">
                  <a14:compatExt spid="_x0000_s16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162820" name="Drop Down 4" hidden="1">
              <a:extLst>
                <a:ext uri="{63B3BB69-23CF-44E3-9099-C40C66FF867C}">
                  <a14:compatExt spid="_x0000_s16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162822" name="Drop Down 6" hidden="1">
              <a:extLst>
                <a:ext uri="{63B3BB69-23CF-44E3-9099-C40C66FF867C}">
                  <a14:compatExt spid="_x0000_s16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162825" name="Drop Down 9" hidden="1">
              <a:extLst>
                <a:ext uri="{63B3BB69-23CF-44E3-9099-C40C66FF867C}">
                  <a14:compatExt spid="_x0000_s16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162826" name="Drop Down 10" hidden="1">
              <a:extLst>
                <a:ext uri="{63B3BB69-23CF-44E3-9099-C40C66FF867C}">
                  <a14:compatExt spid="_x0000_s16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162827" name="Drop Down 11" hidden="1">
              <a:extLst>
                <a:ext uri="{63B3BB69-23CF-44E3-9099-C40C66FF867C}">
                  <a14:compatExt spid="_x0000_s16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162828" name="Drop Down 12" hidden="1">
              <a:extLst>
                <a:ext uri="{63B3BB69-23CF-44E3-9099-C40C66FF867C}">
                  <a14:compatExt spid="_x0000_s16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162829" name="Drop Down 13" hidden="1">
              <a:extLst>
                <a:ext uri="{63B3BB69-23CF-44E3-9099-C40C66FF867C}">
                  <a14:compatExt spid="_x0000_s16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162830" name="Drop Down 14" hidden="1">
              <a:extLst>
                <a:ext uri="{63B3BB69-23CF-44E3-9099-C40C66FF867C}">
                  <a14:compatExt spid="_x0000_s16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162831" name="Drop Down 15" hidden="1">
              <a:extLst>
                <a:ext uri="{63B3BB69-23CF-44E3-9099-C40C66FF867C}">
                  <a14:compatExt spid="_x0000_s16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162832" name="Drop Down 16" hidden="1">
              <a:extLst>
                <a:ext uri="{63B3BB69-23CF-44E3-9099-C40C66FF867C}">
                  <a14:compatExt spid="_x0000_s16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162834" name="Check Box 18" hidden="1">
              <a:extLst>
                <a:ext uri="{63B3BB69-23CF-44E3-9099-C40C66FF867C}">
                  <a14:compatExt spid="_x0000_s16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17</xdr:col>
      <xdr:colOff>361051</xdr:colOff>
      <xdr:row>58</xdr:row>
      <xdr:rowOff>0</xdr:rowOff>
    </xdr:from>
    <xdr:to>
      <xdr:col>22</xdr:col>
      <xdr:colOff>38105</xdr:colOff>
      <xdr:row>59</xdr:row>
      <xdr:rowOff>123825</xdr:rowOff>
    </xdr:to>
    <xdr:sp macro="" textlink="">
      <xdr:nvSpPr>
        <xdr:cNvPr id="162835" name="Text Box 19"/>
        <xdr:cNvSpPr txBox="1">
          <a:spLocks noChangeArrowheads="1"/>
        </xdr:cNvSpPr>
      </xdr:nvSpPr>
      <xdr:spPr bwMode="auto">
        <a:xfrm>
          <a:off x="10086975" y="11620500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60 € Nachssaatmaschine/5 = 12 €/Schnitt, Einfahren 60 €/Schnitt, Festfahren 35 €/Schnitt, jeweils ohne Mwst.</a:t>
          </a:r>
        </a:p>
      </xdr:txBody>
    </xdr:sp>
    <xdr:clientData/>
  </xdr:twoCellAnchor>
  <xdr:twoCellAnchor>
    <xdr:from>
      <xdr:col>12</xdr:col>
      <xdr:colOff>8626</xdr:colOff>
      <xdr:row>3</xdr:row>
      <xdr:rowOff>207034</xdr:rowOff>
    </xdr:from>
    <xdr:to>
      <xdr:col>16</xdr:col>
      <xdr:colOff>603849</xdr:colOff>
      <xdr:row>5</xdr:row>
      <xdr:rowOff>0</xdr:rowOff>
    </xdr:to>
    <xdr:sp macro="" textlink="">
      <xdr:nvSpPr>
        <xdr:cNvPr id="2449085" name="Rechteck 1"/>
        <xdr:cNvSpPr>
          <a:spLocks noChangeArrowheads="1"/>
        </xdr:cNvSpPr>
      </xdr:nvSpPr>
      <xdr:spPr bwMode="auto">
        <a:xfrm>
          <a:off x="7021902" y="992038"/>
          <a:ext cx="3045124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4" name="Textfeld 23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1</xdr:colOff>
      <xdr:row>24</xdr:row>
      <xdr:rowOff>0</xdr:rowOff>
    </xdr:from>
    <xdr:to>
      <xdr:col>20</xdr:col>
      <xdr:colOff>488951</xdr:colOff>
      <xdr:row>29</xdr:row>
      <xdr:rowOff>6350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67951" y="5314950"/>
          <a:ext cx="2336800" cy="9779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357188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15000" y="1273969"/>
          <a:ext cx="3214688" cy="2381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71436</xdr:rowOff>
    </xdr:from>
    <xdr:to>
      <xdr:col>4</xdr:col>
      <xdr:colOff>95250</xdr:colOff>
      <xdr:row>0</xdr:row>
      <xdr:rowOff>509585</xdr:rowOff>
    </xdr:to>
    <xdr:sp macro="" textlink="">
      <xdr:nvSpPr>
        <xdr:cNvPr id="2" name="Textfeld 1">
          <a:hlinkClick xmlns:r="http://schemas.openxmlformats.org/officeDocument/2006/relationships" r:id="rId1"/>
        </xdr:cNvPr>
        <xdr:cNvSpPr txBox="1"/>
      </xdr:nvSpPr>
      <xdr:spPr>
        <a:xfrm>
          <a:off x="352425" y="7143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5</xdr:col>
      <xdr:colOff>114300</xdr:colOff>
      <xdr:row>0</xdr:row>
      <xdr:rowOff>71436</xdr:rowOff>
    </xdr:from>
    <xdr:to>
      <xdr:col>8</xdr:col>
      <xdr:colOff>161925</xdr:colOff>
      <xdr:row>0</xdr:row>
      <xdr:rowOff>509585</xdr:rowOff>
    </xdr:to>
    <xdr:sp macro="" textlink="">
      <xdr:nvSpPr>
        <xdr:cNvPr id="3" name="Textfeld 2">
          <a:hlinkClick xmlns:r="http://schemas.openxmlformats.org/officeDocument/2006/relationships" r:id="rId2"/>
        </xdr:cNvPr>
        <xdr:cNvSpPr txBox="1"/>
      </xdr:nvSpPr>
      <xdr:spPr>
        <a:xfrm>
          <a:off x="2628900" y="71436"/>
          <a:ext cx="1628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9</xdr:col>
      <xdr:colOff>238125</xdr:colOff>
      <xdr:row>0</xdr:row>
      <xdr:rowOff>71436</xdr:rowOff>
    </xdr:from>
    <xdr:to>
      <xdr:col>11</xdr:col>
      <xdr:colOff>604837</xdr:colOff>
      <xdr:row>0</xdr:row>
      <xdr:rowOff>509585</xdr:rowOff>
    </xdr:to>
    <xdr:sp macro="" textlink="">
      <xdr:nvSpPr>
        <xdr:cNvPr id="4" name="Textfeld 3">
          <a:hlinkClick xmlns:r="http://schemas.openxmlformats.org/officeDocument/2006/relationships" r:id="rId3"/>
        </xdr:cNvPr>
        <xdr:cNvSpPr txBox="1"/>
      </xdr:nvSpPr>
      <xdr:spPr>
        <a:xfrm>
          <a:off x="5000625" y="71436"/>
          <a:ext cx="1700212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Orientierungswerte</a:t>
          </a:r>
        </a:p>
        <a:p>
          <a:pPr algn="ctr"/>
          <a:r>
            <a:rPr lang="de-DE" sz="1100" b="1"/>
            <a:t>Seite 1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43009" name="Drop Down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43010" name="Drop Down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43011" name="Drop Down 3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43012" name="Drop Down 4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43013" name="Drop Down 5" hidden="1">
              <a:extLst>
                <a:ext uri="{63B3BB69-23CF-44E3-9099-C40C66FF867C}">
                  <a14:compatExt spid="_x0000_s4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43014" name="Drop Down 6" hidden="1">
              <a:extLst>
                <a:ext uri="{63B3BB69-23CF-44E3-9099-C40C66FF867C}">
                  <a14:compatExt spid="_x0000_s4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43015" name="Drop Down 7" hidden="1">
              <a:extLst>
                <a:ext uri="{63B3BB69-23CF-44E3-9099-C40C66FF867C}">
                  <a14:compatExt spid="_x0000_s4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43016" name="Drop Down 8" hidden="1">
              <a:extLst>
                <a:ext uri="{63B3BB69-23CF-44E3-9099-C40C66FF867C}">
                  <a14:compatExt spid="_x0000_s4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43017" name="Drop Down 9" hidden="1">
              <a:extLst>
                <a:ext uri="{63B3BB69-23CF-44E3-9099-C40C66FF867C}">
                  <a14:compatExt spid="_x0000_s4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43018" name="Drop Down 10" hidden="1">
              <a:extLst>
                <a:ext uri="{63B3BB69-23CF-44E3-9099-C40C66FF867C}">
                  <a14:compatExt spid="_x0000_s4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43019" name="Drop Down 11" hidden="1">
              <a:extLst>
                <a:ext uri="{63B3BB69-23CF-44E3-9099-C40C66FF867C}">
                  <a14:compatExt spid="_x0000_s4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43020" name="Drop Down 12" hidden="1">
              <a:extLst>
                <a:ext uri="{63B3BB69-23CF-44E3-9099-C40C66FF867C}">
                  <a14:compatExt spid="_x0000_s4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43021" name="Drop Down 13" hidden="1">
              <a:extLst>
                <a:ext uri="{63B3BB69-23CF-44E3-9099-C40C66FF867C}">
                  <a14:compatExt spid="_x0000_s4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43022" name="Drop Down 14" hidden="1">
              <a:extLst>
                <a:ext uri="{63B3BB69-23CF-44E3-9099-C40C66FF867C}">
                  <a14:compatExt spid="_x0000_s4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43023" name="Drop Down 15" hidden="1">
              <a:extLst>
                <a:ext uri="{63B3BB69-23CF-44E3-9099-C40C66FF867C}">
                  <a14:compatExt spid="_x0000_s4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43024" name="Drop Down 16" hidden="1">
              <a:extLst>
                <a:ext uri="{63B3BB69-23CF-44E3-9099-C40C66FF867C}">
                  <a14:compatExt spid="_x0000_s4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43028" name="Check Box 20" hidden="1">
              <a:extLst>
                <a:ext uri="{63B3BB69-23CF-44E3-9099-C40C66FF867C}">
                  <a14:compatExt spid="_x0000_s4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43945" name="Rechteck 1"/>
        <xdr:cNvSpPr>
          <a:spLocks noChangeArrowheads="1"/>
        </xdr:cNvSpPr>
      </xdr:nvSpPr>
      <xdr:spPr bwMode="auto">
        <a:xfrm>
          <a:off x="7013275" y="992038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0</xdr:colOff>
      <xdr:row>24</xdr:row>
      <xdr:rowOff>0</xdr:rowOff>
    </xdr:from>
    <xdr:to>
      <xdr:col>20</xdr:col>
      <xdr:colOff>416003</xdr:colOff>
      <xdr:row>29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79050" y="5314950"/>
          <a:ext cx="2365453" cy="9715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369093</xdr:rowOff>
    </xdr:from>
    <xdr:to>
      <xdr:col>18</xdr:col>
      <xdr:colOff>0</xdr:colOff>
      <xdr:row>2</xdr:row>
      <xdr:rowOff>607218</xdr:rowOff>
    </xdr:to>
    <xdr:sp macro="" textlink="'Preise-Stammdaten'!W8">
      <xdr:nvSpPr>
        <xdr:cNvPr id="2" name="Abgerundetes Rechteck 1"/>
        <xdr:cNvSpPr/>
      </xdr:nvSpPr>
      <xdr:spPr bwMode="auto">
        <a:xfrm>
          <a:off x="5715000" y="1285874"/>
          <a:ext cx="3214688" cy="2381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57346" name="Drop Dow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57347" name="Drop Down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57348" name="Drop Down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57349" name="Drop Down 5" hidden="1">
              <a:extLst>
                <a:ext uri="{63B3BB69-23CF-44E3-9099-C40C66FF867C}">
                  <a14:compatExt spid="_x0000_s57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57350" name="Drop Down 6" hidden="1">
              <a:extLst>
                <a:ext uri="{63B3BB69-23CF-44E3-9099-C40C66FF867C}">
                  <a14:compatExt spid="_x0000_s5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57351" name="Drop Down 7" hidden="1">
              <a:extLst>
                <a:ext uri="{63B3BB69-23CF-44E3-9099-C40C66FF867C}">
                  <a14:compatExt spid="_x0000_s57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57352" name="Drop Down 8" hidden="1">
              <a:extLst>
                <a:ext uri="{63B3BB69-23CF-44E3-9099-C40C66FF867C}">
                  <a14:compatExt spid="_x0000_s57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57353" name="Drop Down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57354" name="Drop Down 10" hidden="1">
              <a:extLst>
                <a:ext uri="{63B3BB69-23CF-44E3-9099-C40C66FF867C}">
                  <a14:compatExt spid="_x0000_s5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57355" name="Drop Down 11" hidden="1">
              <a:extLst>
                <a:ext uri="{63B3BB69-23CF-44E3-9099-C40C66FF867C}">
                  <a14:compatExt spid="_x0000_s57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57356" name="Drop Down 12" hidden="1">
              <a:extLst>
                <a:ext uri="{63B3BB69-23CF-44E3-9099-C40C66FF867C}">
                  <a14:compatExt spid="_x0000_s57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57357" name="Drop Down 13" hidden="1">
              <a:extLst>
                <a:ext uri="{63B3BB69-23CF-44E3-9099-C40C66FF867C}">
                  <a14:compatExt spid="_x0000_s57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57358" name="Drop Down 14" hidden="1">
              <a:extLst>
                <a:ext uri="{63B3BB69-23CF-44E3-9099-C40C66FF867C}">
                  <a14:compatExt spid="_x0000_s57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57359" name="Drop Down 15" hidden="1">
              <a:extLst>
                <a:ext uri="{63B3BB69-23CF-44E3-9099-C40C66FF867C}">
                  <a14:compatExt spid="_x0000_s5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57360" name="Drop Down 16" hidden="1">
              <a:extLst>
                <a:ext uri="{63B3BB69-23CF-44E3-9099-C40C66FF867C}">
                  <a14:compatExt spid="_x0000_s57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57362" name="Check Box 18" hidden="1">
              <a:extLst>
                <a:ext uri="{63B3BB69-23CF-44E3-9099-C40C66FF867C}">
                  <a14:compatExt spid="_x0000_s57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17</xdr:col>
      <xdr:colOff>171450</xdr:colOff>
      <xdr:row>58</xdr:row>
      <xdr:rowOff>28575</xdr:rowOff>
    </xdr:from>
    <xdr:to>
      <xdr:col>21</xdr:col>
      <xdr:colOff>503053</xdr:colOff>
      <xdr:row>59</xdr:row>
      <xdr:rowOff>152400</xdr:rowOff>
    </xdr:to>
    <xdr:sp macro="" textlink="">
      <xdr:nvSpPr>
        <xdr:cNvPr id="57363" name="Text Box 19"/>
        <xdr:cNvSpPr txBox="1">
          <a:spLocks noChangeArrowheads="1"/>
        </xdr:cNvSpPr>
      </xdr:nvSpPr>
      <xdr:spPr bwMode="auto">
        <a:xfrm>
          <a:off x="9906000" y="11649075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60 € Nachssaatmaschine/5 = 12 €/Schnitt, Einfahren 60 €/Schnitt, Festfahren 35 €/Schnitt, jeweils ohne Mwst.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2450109" name="Rechteck 1"/>
        <xdr:cNvSpPr>
          <a:spLocks noChangeArrowheads="1"/>
        </xdr:cNvSpPr>
      </xdr:nvSpPr>
      <xdr:spPr bwMode="auto">
        <a:xfrm>
          <a:off x="7013275" y="992038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4" name="Textfeld 23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0</xdr:colOff>
      <xdr:row>24</xdr:row>
      <xdr:rowOff>0</xdr:rowOff>
    </xdr:from>
    <xdr:to>
      <xdr:col>21</xdr:col>
      <xdr:colOff>35003</xdr:colOff>
      <xdr:row>28</xdr:row>
      <xdr:rowOff>177800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79050" y="5314950"/>
          <a:ext cx="2365453" cy="95885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345282</xdr:rowOff>
    </xdr:from>
    <xdr:to>
      <xdr:col>18</xdr:col>
      <xdr:colOff>0</xdr:colOff>
      <xdr:row>3</xdr:row>
      <xdr:rowOff>-1</xdr:rowOff>
    </xdr:to>
    <xdr:sp macro="" textlink="'Preise-Stammdaten'!W8">
      <xdr:nvSpPr>
        <xdr:cNvPr id="2" name="Abgerundetes Rechteck 1"/>
        <xdr:cNvSpPr/>
      </xdr:nvSpPr>
      <xdr:spPr bwMode="auto">
        <a:xfrm>
          <a:off x="5715000" y="1262063"/>
          <a:ext cx="3214688" cy="285749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6" name="Textfeld 5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7" name="Textfeld 6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8" name="Textfeld 7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3665" name="Check Box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3666" name="Check Box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3667" name="Check Box 3" hidden="1">
              <a:extLst>
                <a:ext uri="{63B3BB69-23CF-44E3-9099-C40C66FF867C}">
                  <a14:compatExt spid="_x0000_s1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3668" name="Check Box 4" hidden="1">
              <a:extLst>
                <a:ext uri="{63B3BB69-23CF-44E3-9099-C40C66FF867C}">
                  <a14:compatExt spid="_x0000_s1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3669" name="Check Box 5" hidden="1">
              <a:extLst>
                <a:ext uri="{63B3BB69-23CF-44E3-9099-C40C66FF867C}">
                  <a14:compatExt spid="_x0000_s1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3670" name="Check Box 6" hidden="1">
              <a:extLst>
                <a:ext uri="{63B3BB69-23CF-44E3-9099-C40C66FF867C}">
                  <a14:compatExt spid="_x0000_s1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3671" name="Check Box 7" hidden="1">
              <a:extLst>
                <a:ext uri="{63B3BB69-23CF-44E3-9099-C40C66FF867C}">
                  <a14:compatExt spid="_x0000_s1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3672" name="Check Box 8" hidden="1">
              <a:extLst>
                <a:ext uri="{63B3BB69-23CF-44E3-9099-C40C66FF867C}">
                  <a14:compatExt spid="_x0000_s1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3673" name="Check Box 9" hidden="1">
              <a:extLst>
                <a:ext uri="{63B3BB69-23CF-44E3-9099-C40C66FF867C}">
                  <a14:compatExt spid="_x0000_s1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3674" name="Check Box 10" hidden="1">
              <a:extLst>
                <a:ext uri="{63B3BB69-23CF-44E3-9099-C40C66FF867C}">
                  <a14:compatExt spid="_x0000_s1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3675" name="Check Box 11" hidden="1">
              <a:extLst>
                <a:ext uri="{63B3BB69-23CF-44E3-9099-C40C66FF867C}">
                  <a14:compatExt spid="_x0000_s1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3676" name="Check Box 12" hidden="1">
              <a:extLst>
                <a:ext uri="{63B3BB69-23CF-44E3-9099-C40C66FF867C}">
                  <a14:compatExt spid="_x0000_s1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3677" name="Check Box 13" hidden="1">
              <a:extLst>
                <a:ext uri="{63B3BB69-23CF-44E3-9099-C40C66FF867C}">
                  <a14:compatExt spid="_x0000_s1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3678" name="Check Box 14" hidden="1">
              <a:extLst>
                <a:ext uri="{63B3BB69-23CF-44E3-9099-C40C66FF867C}">
                  <a14:compatExt spid="_x0000_s1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3679" name="Check Box 15" hidden="1">
              <a:extLst>
                <a:ext uri="{63B3BB69-23CF-44E3-9099-C40C66FF867C}">
                  <a14:compatExt spid="_x0000_s1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13680" name="Drop Down 16" hidden="1">
              <a:extLst>
                <a:ext uri="{63B3BB69-23CF-44E3-9099-C40C66FF867C}">
                  <a14:compatExt spid="_x0000_s1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13681" name="Drop Down 17" hidden="1">
              <a:extLst>
                <a:ext uri="{63B3BB69-23CF-44E3-9099-C40C66FF867C}">
                  <a14:compatExt spid="_x0000_s1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13682" name="Drop Down 18" hidden="1">
              <a:extLst>
                <a:ext uri="{63B3BB69-23CF-44E3-9099-C40C66FF867C}">
                  <a14:compatExt spid="_x0000_s1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13683" name="Drop Down 19" hidden="1">
              <a:extLst>
                <a:ext uri="{63B3BB69-23CF-44E3-9099-C40C66FF867C}">
                  <a14:compatExt spid="_x0000_s1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13684" name="Drop Down 20" hidden="1">
              <a:extLst>
                <a:ext uri="{63B3BB69-23CF-44E3-9099-C40C66FF867C}">
                  <a14:compatExt spid="_x0000_s1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13685" name="Drop Down 21" hidden="1">
              <a:extLst>
                <a:ext uri="{63B3BB69-23CF-44E3-9099-C40C66FF867C}">
                  <a14:compatExt spid="_x0000_s1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13686" name="Drop Down 22" hidden="1">
              <a:extLst>
                <a:ext uri="{63B3BB69-23CF-44E3-9099-C40C66FF867C}">
                  <a14:compatExt spid="_x0000_s1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13687" name="Drop Down 23" hidden="1">
              <a:extLst>
                <a:ext uri="{63B3BB69-23CF-44E3-9099-C40C66FF867C}">
                  <a14:compatExt spid="_x0000_s1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3688" name="Drop Down 24" hidden="1">
              <a:extLst>
                <a:ext uri="{63B3BB69-23CF-44E3-9099-C40C66FF867C}">
                  <a14:compatExt spid="_x0000_s1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13689" name="Drop Down 25" hidden="1">
              <a:extLst>
                <a:ext uri="{63B3BB69-23CF-44E3-9099-C40C66FF867C}">
                  <a14:compatExt spid="_x0000_s1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13690" name="Drop Down 26" hidden="1">
              <a:extLst>
                <a:ext uri="{63B3BB69-23CF-44E3-9099-C40C66FF867C}">
                  <a14:compatExt spid="_x0000_s1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3691" name="Check Box 27" hidden="1">
              <a:extLst>
                <a:ext uri="{63B3BB69-23CF-44E3-9099-C40C66FF867C}">
                  <a14:compatExt spid="_x0000_s1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3692" name="Check Box 28" hidden="1">
              <a:extLst>
                <a:ext uri="{63B3BB69-23CF-44E3-9099-C40C66FF867C}">
                  <a14:compatExt spid="_x0000_s1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3693" name="Check Box 29" hidden="1">
              <a:extLst>
                <a:ext uri="{63B3BB69-23CF-44E3-9099-C40C66FF867C}">
                  <a14:compatExt spid="_x0000_s1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19051</xdr:colOff>
      <xdr:row>17</xdr:row>
      <xdr:rowOff>57150</xdr:rowOff>
    </xdr:from>
    <xdr:to>
      <xdr:col>17</xdr:col>
      <xdr:colOff>82551</xdr:colOff>
      <xdr:row>22</xdr:row>
      <xdr:rowOff>177800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36201" y="4019550"/>
          <a:ext cx="2000250" cy="11176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199126</xdr:colOff>
      <xdr:row>38</xdr:row>
      <xdr:rowOff>57150</xdr:rowOff>
    </xdr:from>
    <xdr:to>
      <xdr:col>11</xdr:col>
      <xdr:colOff>513451</xdr:colOff>
      <xdr:row>40</xdr:row>
      <xdr:rowOff>0</xdr:rowOff>
    </xdr:to>
    <xdr:sp macro="" textlink="">
      <xdr:nvSpPr>
        <xdr:cNvPr id="212993" name="Text Box 1"/>
        <xdr:cNvSpPr txBox="1">
          <a:spLocks noChangeArrowheads="1"/>
        </xdr:cNvSpPr>
      </xdr:nvSpPr>
      <xdr:spPr bwMode="auto">
        <a:xfrm>
          <a:off x="3571875" y="8115300"/>
          <a:ext cx="1762125" cy="361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als Zwischenfrucht kein Ansatz von Festkosten</a:t>
          </a:r>
        </a:p>
      </xdr:txBody>
    </xdr:sp>
    <xdr:clientData/>
  </xdr:twoCellAnchor>
  <xdr:twoCellAnchor>
    <xdr:from>
      <xdr:col>11</xdr:col>
      <xdr:colOff>695324</xdr:colOff>
      <xdr:row>2</xdr:row>
      <xdr:rowOff>219075</xdr:rowOff>
    </xdr:from>
    <xdr:to>
      <xdr:col>14</xdr:col>
      <xdr:colOff>885824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499" y="1085850"/>
          <a:ext cx="2657475" cy="2667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2577" name="Check Box 1" hidden="1">
              <a:extLst>
                <a:ext uri="{63B3BB69-23CF-44E3-9099-C40C66FF867C}">
                  <a14:compatExt spid="_x0000_s15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2578" name="Check Box 2" hidden="1">
              <a:extLst>
                <a:ext uri="{63B3BB69-23CF-44E3-9099-C40C66FF867C}">
                  <a14:compatExt spid="_x0000_s15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2579" name="Check Box 3" hidden="1">
              <a:extLst>
                <a:ext uri="{63B3BB69-23CF-44E3-9099-C40C66FF867C}">
                  <a14:compatExt spid="_x0000_s15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2580" name="Check Box 4" hidden="1">
              <a:extLst>
                <a:ext uri="{63B3BB69-23CF-44E3-9099-C40C66FF867C}">
                  <a14:compatExt spid="_x0000_s15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2581" name="Check Box 5" hidden="1">
              <a:extLst>
                <a:ext uri="{63B3BB69-23CF-44E3-9099-C40C66FF867C}">
                  <a14:compatExt spid="_x0000_s15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2582" name="Check Box 6" hidden="1">
              <a:extLst>
                <a:ext uri="{63B3BB69-23CF-44E3-9099-C40C66FF867C}">
                  <a14:compatExt spid="_x0000_s15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2583" name="Check Box 7" hidden="1">
              <a:extLst>
                <a:ext uri="{63B3BB69-23CF-44E3-9099-C40C66FF867C}">
                  <a14:compatExt spid="_x0000_s15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2584" name="Check Box 8" hidden="1">
              <a:extLst>
                <a:ext uri="{63B3BB69-23CF-44E3-9099-C40C66FF867C}">
                  <a14:compatExt spid="_x0000_s15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2585" name="Check Box 9" hidden="1">
              <a:extLst>
                <a:ext uri="{63B3BB69-23CF-44E3-9099-C40C66FF867C}">
                  <a14:compatExt spid="_x0000_s15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2586" name="Check Box 10" hidden="1">
              <a:extLst>
                <a:ext uri="{63B3BB69-23CF-44E3-9099-C40C66FF867C}">
                  <a14:compatExt spid="_x0000_s15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2587" name="Check Box 11" hidden="1">
              <a:extLst>
                <a:ext uri="{63B3BB69-23CF-44E3-9099-C40C66FF867C}">
                  <a14:compatExt spid="_x0000_s15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2588" name="Check Box 12" hidden="1">
              <a:extLst>
                <a:ext uri="{63B3BB69-23CF-44E3-9099-C40C66FF867C}">
                  <a14:compatExt spid="_x0000_s15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2589" name="Check Box 13" hidden="1">
              <a:extLst>
                <a:ext uri="{63B3BB69-23CF-44E3-9099-C40C66FF867C}">
                  <a14:compatExt spid="_x0000_s15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2590" name="Check Box 14" hidden="1">
              <a:extLst>
                <a:ext uri="{63B3BB69-23CF-44E3-9099-C40C66FF867C}">
                  <a14:compatExt spid="_x0000_s15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2591" name="Check Box 15" hidden="1">
              <a:extLst>
                <a:ext uri="{63B3BB69-23CF-44E3-9099-C40C66FF867C}">
                  <a14:compatExt spid="_x0000_s15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2592" name="Drop Down 16" hidden="1">
              <a:extLst>
                <a:ext uri="{63B3BB69-23CF-44E3-9099-C40C66FF867C}">
                  <a14:compatExt spid="_x0000_s15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52593" name="Drop Down 17" hidden="1">
              <a:extLst>
                <a:ext uri="{63B3BB69-23CF-44E3-9099-C40C66FF867C}">
                  <a14:compatExt spid="_x0000_s15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52594" name="Drop Down 18" hidden="1">
              <a:extLst>
                <a:ext uri="{63B3BB69-23CF-44E3-9099-C40C66FF867C}">
                  <a14:compatExt spid="_x0000_s15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52595" name="Drop Down 19" hidden="1">
              <a:extLst>
                <a:ext uri="{63B3BB69-23CF-44E3-9099-C40C66FF867C}">
                  <a14:compatExt spid="_x0000_s15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52596" name="Drop Down 20" hidden="1">
              <a:extLst>
                <a:ext uri="{63B3BB69-23CF-44E3-9099-C40C66FF867C}">
                  <a14:compatExt spid="_x0000_s15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52597" name="Drop Down 21" hidden="1">
              <a:extLst>
                <a:ext uri="{63B3BB69-23CF-44E3-9099-C40C66FF867C}">
                  <a14:compatExt spid="_x0000_s15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52598" name="Drop Down 22" hidden="1">
              <a:extLst>
                <a:ext uri="{63B3BB69-23CF-44E3-9099-C40C66FF867C}">
                  <a14:compatExt spid="_x0000_s15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52599" name="Drop Down 23" hidden="1">
              <a:extLst>
                <a:ext uri="{63B3BB69-23CF-44E3-9099-C40C66FF867C}">
                  <a14:compatExt spid="_x0000_s15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152600" name="Drop Down 24" hidden="1">
              <a:extLst>
                <a:ext uri="{63B3BB69-23CF-44E3-9099-C40C66FF867C}">
                  <a14:compatExt spid="_x0000_s15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52601" name="Drop Down 25" hidden="1">
              <a:extLst>
                <a:ext uri="{63B3BB69-23CF-44E3-9099-C40C66FF867C}">
                  <a14:compatExt spid="_x0000_s15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2602" name="Drop Down 26" hidden="1">
              <a:extLst>
                <a:ext uri="{63B3BB69-23CF-44E3-9099-C40C66FF867C}">
                  <a14:compatExt spid="_x0000_s15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152604" name="Check Box 28" hidden="1">
              <a:extLst>
                <a:ext uri="{63B3BB69-23CF-44E3-9099-C40C66FF867C}">
                  <a14:compatExt spid="_x0000_s15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2605" name="Check Box 29" hidden="1">
              <a:extLst>
                <a:ext uri="{63B3BB69-23CF-44E3-9099-C40C66FF867C}">
                  <a14:compatExt spid="_x0000_s15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2606" name="Check Box 30" hidden="1">
              <a:extLst>
                <a:ext uri="{63B3BB69-23CF-44E3-9099-C40C66FF867C}">
                  <a14:compatExt spid="_x0000_s15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6351</xdr:colOff>
      <xdr:row>17</xdr:row>
      <xdr:rowOff>38100</xdr:rowOff>
    </xdr:from>
    <xdr:to>
      <xdr:col>17</xdr:col>
      <xdr:colOff>133351</xdr:colOff>
      <xdr:row>22</xdr:row>
      <xdr:rowOff>120650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82351" y="4000500"/>
          <a:ext cx="2057400" cy="107950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333375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0150"/>
          <a:ext cx="2657475" cy="2857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21857" name="Check Box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21858" name="Check Box 2" hidden="1">
              <a:extLst>
                <a:ext uri="{63B3BB69-23CF-44E3-9099-C40C66FF867C}">
                  <a14:compatExt spid="_x0000_s12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21859" name="Check Box 3" hidden="1">
              <a:extLst>
                <a:ext uri="{63B3BB69-23CF-44E3-9099-C40C66FF867C}">
                  <a14:compatExt spid="_x0000_s12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21860" name="Check Box 4" hidden="1">
              <a:extLst>
                <a:ext uri="{63B3BB69-23CF-44E3-9099-C40C66FF867C}">
                  <a14:compatExt spid="_x0000_s12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21861" name="Check Box 5" hidden="1">
              <a:extLst>
                <a:ext uri="{63B3BB69-23CF-44E3-9099-C40C66FF867C}">
                  <a14:compatExt spid="_x0000_s12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21862" name="Check Box 6" hidden="1">
              <a:extLst>
                <a:ext uri="{63B3BB69-23CF-44E3-9099-C40C66FF867C}">
                  <a14:compatExt spid="_x0000_s12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21863" name="Check Box 7" hidden="1">
              <a:extLst>
                <a:ext uri="{63B3BB69-23CF-44E3-9099-C40C66FF867C}">
                  <a14:compatExt spid="_x0000_s12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21864" name="Check Box 8" hidden="1">
              <a:extLst>
                <a:ext uri="{63B3BB69-23CF-44E3-9099-C40C66FF867C}">
                  <a14:compatExt spid="_x0000_s12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21865" name="Check Box 9" hidden="1">
              <a:extLst>
                <a:ext uri="{63B3BB69-23CF-44E3-9099-C40C66FF867C}">
                  <a14:compatExt spid="_x0000_s12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21866" name="Check Box 10" hidden="1">
              <a:extLst>
                <a:ext uri="{63B3BB69-23CF-44E3-9099-C40C66FF867C}">
                  <a14:compatExt spid="_x0000_s12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21867" name="Check Box 11" hidden="1">
              <a:extLst>
                <a:ext uri="{63B3BB69-23CF-44E3-9099-C40C66FF867C}">
                  <a14:compatExt spid="_x0000_s12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21868" name="Check Box 12" hidden="1">
              <a:extLst>
                <a:ext uri="{63B3BB69-23CF-44E3-9099-C40C66FF867C}">
                  <a14:compatExt spid="_x0000_s12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21869" name="Check Box 13" hidden="1">
              <a:extLst>
                <a:ext uri="{63B3BB69-23CF-44E3-9099-C40C66FF867C}">
                  <a14:compatExt spid="_x0000_s12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21870" name="Check Box 14" hidden="1">
              <a:extLst>
                <a:ext uri="{63B3BB69-23CF-44E3-9099-C40C66FF867C}">
                  <a14:compatExt spid="_x0000_s12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21871" name="Check Box 15" hidden="1">
              <a:extLst>
                <a:ext uri="{63B3BB69-23CF-44E3-9099-C40C66FF867C}">
                  <a14:compatExt spid="_x0000_s12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21872" name="Drop Down 16" hidden="1">
              <a:extLst>
                <a:ext uri="{63B3BB69-23CF-44E3-9099-C40C66FF867C}">
                  <a14:compatExt spid="_x0000_s12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21873" name="Drop Down 17" hidden="1">
              <a:extLst>
                <a:ext uri="{63B3BB69-23CF-44E3-9099-C40C66FF867C}">
                  <a14:compatExt spid="_x0000_s12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21874" name="Drop Down 18" hidden="1">
              <a:extLst>
                <a:ext uri="{63B3BB69-23CF-44E3-9099-C40C66FF867C}">
                  <a14:compatExt spid="_x0000_s12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21875" name="Drop Down 19" hidden="1">
              <a:extLst>
                <a:ext uri="{63B3BB69-23CF-44E3-9099-C40C66FF867C}">
                  <a14:compatExt spid="_x0000_s12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21876" name="Drop Down 20" hidden="1">
              <a:extLst>
                <a:ext uri="{63B3BB69-23CF-44E3-9099-C40C66FF867C}">
                  <a14:compatExt spid="_x0000_s12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21877" name="Drop Down 21" hidden="1">
              <a:extLst>
                <a:ext uri="{63B3BB69-23CF-44E3-9099-C40C66FF867C}">
                  <a14:compatExt spid="_x0000_s12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21878" name="Drop Down 22" hidden="1">
              <a:extLst>
                <a:ext uri="{63B3BB69-23CF-44E3-9099-C40C66FF867C}">
                  <a14:compatExt spid="_x0000_s12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21879" name="Drop Down 23" hidden="1">
              <a:extLst>
                <a:ext uri="{63B3BB69-23CF-44E3-9099-C40C66FF867C}">
                  <a14:compatExt spid="_x0000_s12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21880" name="Drop Down 24" hidden="1">
              <a:extLst>
                <a:ext uri="{63B3BB69-23CF-44E3-9099-C40C66FF867C}">
                  <a14:compatExt spid="_x0000_s12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21881" name="Drop Down 25" hidden="1">
              <a:extLst>
                <a:ext uri="{63B3BB69-23CF-44E3-9099-C40C66FF867C}">
                  <a14:compatExt spid="_x0000_s12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21882" name="Drop Down 26" hidden="1">
              <a:extLst>
                <a:ext uri="{63B3BB69-23CF-44E3-9099-C40C66FF867C}">
                  <a14:compatExt spid="_x0000_s12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121884" name="Check Box 28" hidden="1">
              <a:extLst>
                <a:ext uri="{63B3BB69-23CF-44E3-9099-C40C66FF867C}">
                  <a14:compatExt spid="_x0000_s12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0</xdr:colOff>
      <xdr:row>17</xdr:row>
      <xdr:rowOff>66675</xdr:rowOff>
    </xdr:from>
    <xdr:to>
      <xdr:col>16</xdr:col>
      <xdr:colOff>1965325</xdr:colOff>
      <xdr:row>22</xdr:row>
      <xdr:rowOff>149225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0" y="4048125"/>
          <a:ext cx="1965325" cy="10922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238126</xdr:rowOff>
    </xdr:from>
    <xdr:to>
      <xdr:col>15</xdr:col>
      <xdr:colOff>0</xdr:colOff>
      <xdr:row>3</xdr:row>
      <xdr:rowOff>1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104901"/>
          <a:ext cx="2657475" cy="2476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.bwl.net\LEL\PRODUKTE\Kalkulationsdaten\Tierhaltung\Mutterk&#252;he\Kalkulationsdaten(Krieg)\Mu_kuh_2015_Entwurf\MuKuh_11_12_2014k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"/>
      <sheetName val="Inhalt"/>
      <sheetName val="Hinweise"/>
      <sheetName val="Stammdaten"/>
      <sheetName val="Preise"/>
      <sheetName val="Rassen_sonsige_Daten"/>
      <sheetName val="Ausglleist"/>
      <sheetName val="Ausgleichsleist_Tiere"/>
      <sheetName val="DB-Übersicht"/>
      <sheetName val="DB+Faktorverw"/>
      <sheetName val="Grafik_AKh_Verw_Neu+Altbau"/>
      <sheetName val="1)Ang_(a)"/>
      <sheetName val="1)Ang_(b)"/>
      <sheetName val="1)Ang_(F1)"/>
      <sheetName val="1)Ang_(F2)"/>
      <sheetName val="2)Ang_(a)"/>
      <sheetName val="2)Ang_(b)"/>
      <sheetName val="2)Ang_(F1)"/>
      <sheetName val="2)Ang_(F2)"/>
      <sheetName val="3)Ang_(a)"/>
      <sheetName val="3)Ang_(b)"/>
      <sheetName val="3)Ang_(F1)"/>
      <sheetName val="3)Ang_(F2)"/>
      <sheetName val="4)Cha_(a)"/>
      <sheetName val="4)Cha_(b)"/>
      <sheetName val="4)Cha_(F1)"/>
      <sheetName val="4)Cha_(F2)"/>
      <sheetName val="5)Cha_(a)"/>
      <sheetName val="5)Cha_(b)"/>
      <sheetName val="5)Cha_(F1)"/>
      <sheetName val="5)Cha_(F2)"/>
      <sheetName val="6)Cha_(a)"/>
      <sheetName val="6)Cha_(b)"/>
      <sheetName val="6)Cha_(F1)"/>
      <sheetName val="6)Cha_(F2)"/>
      <sheetName val="7)Gal_(a)"/>
      <sheetName val="7)Gal_(b)"/>
      <sheetName val="7)Gal_(F1)"/>
      <sheetName val="7)Gal_(F2)"/>
      <sheetName val="Rassenmerkm"/>
      <sheetName val="Hinweise_Energiebed"/>
      <sheetName val="Energiebed_I"/>
      <sheetName val="Energiebed_II"/>
      <sheetName val="Kosten_Fubau"/>
      <sheetName val="DungStrohWasserAKh"/>
      <sheetName val="Statisti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1">
          <cell r="C11">
            <v>8</v>
          </cell>
          <cell r="E11">
            <v>9809.8461538461543</v>
          </cell>
          <cell r="F11">
            <v>8431.9222222222215</v>
          </cell>
          <cell r="G11">
            <v>47690.486153846156</v>
          </cell>
          <cell r="H11">
            <v>46312.562222222223</v>
          </cell>
          <cell r="I11">
            <v>47001.524188034185</v>
          </cell>
          <cell r="J11">
            <v>5125.575156819431</v>
          </cell>
          <cell r="K11">
            <v>21.762085762404453</v>
          </cell>
          <cell r="L11">
            <v>6.4758958414302379</v>
          </cell>
          <cell r="M11">
            <v>104.48064516129033</v>
          </cell>
          <cell r="N11">
            <v>173.83569892473122</v>
          </cell>
          <cell r="O11">
            <v>24.074960013695808</v>
          </cell>
          <cell r="P11">
            <v>28.268054810601733</v>
          </cell>
          <cell r="Q11">
            <v>23.387006011141342</v>
          </cell>
          <cell r="R11">
            <v>3.9897779905848645</v>
          </cell>
          <cell r="S11">
            <v>9.4003048376068374</v>
          </cell>
          <cell r="T11">
            <v>1.0297527034892222</v>
          </cell>
        </row>
        <row r="12">
          <cell r="C12">
            <v>9</v>
          </cell>
          <cell r="E12">
            <v>11890.461538461537</v>
          </cell>
          <cell r="F12">
            <v>10144.298245614034</v>
          </cell>
          <cell r="G12">
            <v>49771.101538461538</v>
          </cell>
          <cell r="H12">
            <v>48024.93824561403</v>
          </cell>
          <cell r="I12">
            <v>48898.019892037788</v>
          </cell>
          <cell r="J12">
            <v>5332.3903917162252</v>
          </cell>
          <cell r="K12">
            <v>22.428752429071121</v>
          </cell>
          <cell r="L12">
            <v>6.5758958414302375</v>
          </cell>
          <cell r="M12">
            <v>106.56397849462365</v>
          </cell>
          <cell r="N12">
            <v>177.16903225806453</v>
          </cell>
          <cell r="O12">
            <v>24.812480006847903</v>
          </cell>
          <cell r="P12">
            <v>29.134027405300866</v>
          </cell>
          <cell r="Q12">
            <v>24.491866653711622</v>
          </cell>
          <cell r="R12">
            <v>4.1892800066174631</v>
          </cell>
          <cell r="S12">
            <v>9.7796039784075575</v>
          </cell>
          <cell r="T12">
            <v>1.0363595114670863</v>
          </cell>
        </row>
        <row r="13">
          <cell r="C13">
            <v>10</v>
          </cell>
          <cell r="E13">
            <v>14117.923076923076</v>
          </cell>
          <cell r="F13">
            <v>11952.079754601229</v>
          </cell>
          <cell r="G13">
            <v>51998.563076923077</v>
          </cell>
          <cell r="H13">
            <v>49832.719754601232</v>
          </cell>
          <cell r="I13">
            <v>50915.641415762148</v>
          </cell>
          <cell r="J13">
            <v>5552.4145491561776</v>
          </cell>
          <cell r="K13">
            <v>23.095419095737789</v>
          </cell>
          <cell r="L13">
            <v>6.6758958414302381</v>
          </cell>
          <cell r="M13">
            <v>108.647311827957</v>
          </cell>
          <cell r="N13">
            <v>180.50236559139785</v>
          </cell>
          <cell r="O13">
            <v>25.55</v>
          </cell>
          <cell r="P13">
            <v>30</v>
          </cell>
          <cell r="Q13">
            <v>25.596727296281905</v>
          </cell>
          <cell r="R13">
            <v>4.3887820226500622</v>
          </cell>
          <cell r="S13">
            <v>10.183128283152429</v>
          </cell>
          <cell r="T13">
            <v>1.0434622740437896</v>
          </cell>
        </row>
        <row r="14">
          <cell r="C14">
            <v>11</v>
          </cell>
          <cell r="E14">
            <v>16438.23076923077</v>
          </cell>
          <cell r="F14">
            <v>14144.717791411043</v>
          </cell>
          <cell r="G14">
            <v>54318.870769230765</v>
          </cell>
          <cell r="H14">
            <v>52025.357791411043</v>
          </cell>
          <cell r="I14">
            <v>53172.114280320908</v>
          </cell>
          <cell r="J14">
            <v>5798.4857448550611</v>
          </cell>
          <cell r="K14">
            <v>23.762085762404453</v>
          </cell>
          <cell r="L14">
            <v>6.7758958414302377</v>
          </cell>
          <cell r="M14">
            <v>110.73064516129033</v>
          </cell>
          <cell r="N14">
            <v>183.83569892473122</v>
          </cell>
          <cell r="O14">
            <v>26.287519993152095</v>
          </cell>
          <cell r="P14">
            <v>30.86597259469913</v>
          </cell>
          <cell r="Q14">
            <v>26.701587938852182</v>
          </cell>
          <cell r="R14">
            <v>4.5782200109334461</v>
          </cell>
          <cell r="S14">
            <v>10.634422856064182</v>
          </cell>
          <cell r="T14">
            <v>1.0440845209948439</v>
          </cell>
        </row>
        <row r="15">
          <cell r="C15">
            <v>12</v>
          </cell>
          <cell r="E15">
            <v>18987</v>
          </cell>
          <cell r="F15">
            <v>16337.355828220858</v>
          </cell>
          <cell r="G15">
            <v>56867.64</v>
          </cell>
          <cell r="H15">
            <v>54217.995828220854</v>
          </cell>
          <cell r="I15">
            <v>55542.817914110426</v>
          </cell>
          <cell r="J15">
            <v>6057.0139491941582</v>
          </cell>
          <cell r="K15">
            <v>24.428752429071121</v>
          </cell>
          <cell r="L15">
            <v>6.8758958414302374</v>
          </cell>
          <cell r="M15">
            <v>112.81397849462365</v>
          </cell>
          <cell r="N15">
            <v>184.76903225806453</v>
          </cell>
          <cell r="O15">
            <v>27.02503998630419</v>
          </cell>
          <cell r="P15">
            <v>31.731945189398267</v>
          </cell>
          <cell r="Q15">
            <v>27.777532918771861</v>
          </cell>
          <cell r="R15">
            <v>4.7627001567963898</v>
          </cell>
          <cell r="S15">
            <v>11.108563582822086</v>
          </cell>
          <cell r="T15">
            <v>1.0488701976401715</v>
          </cell>
        </row>
        <row r="16">
          <cell r="C16">
            <v>13</v>
          </cell>
          <cell r="E16">
            <v>21668.3</v>
          </cell>
          <cell r="F16">
            <v>18752.739263803684</v>
          </cell>
          <cell r="G16">
            <v>59548.94</v>
          </cell>
          <cell r="H16">
            <v>56633.379263803683</v>
          </cell>
          <cell r="I16">
            <v>58091.159631901843</v>
          </cell>
          <cell r="J16">
            <v>6334.9138093677038</v>
          </cell>
          <cell r="K16">
            <v>25.345419095737789</v>
          </cell>
          <cell r="L16">
            <v>6.9758958414302379</v>
          </cell>
          <cell r="M16">
            <v>114.897311827957</v>
          </cell>
          <cell r="N16">
            <v>192.76903225806453</v>
          </cell>
          <cell r="O16">
            <v>28.039129976888322</v>
          </cell>
          <cell r="P16">
            <v>32.922657507109577</v>
          </cell>
          <cell r="Q16">
            <v>28.938618460940539</v>
          </cell>
          <cell r="R16">
            <v>4.9617783942306337</v>
          </cell>
          <cell r="S16">
            <v>11.618231926380368</v>
          </cell>
          <cell r="T16">
            <v>1.0514813132131029</v>
          </cell>
        </row>
        <row r="17">
          <cell r="C17">
            <v>14</v>
          </cell>
          <cell r="E17">
            <v>24349.599999999999</v>
          </cell>
          <cell r="F17">
            <v>21168.122699386506</v>
          </cell>
          <cell r="G17">
            <v>62230.239999999998</v>
          </cell>
          <cell r="H17">
            <v>59048.762699386505</v>
          </cell>
          <cell r="I17">
            <v>60639.501349693252</v>
          </cell>
          <cell r="J17">
            <v>6612.8136695412486</v>
          </cell>
          <cell r="K17">
            <v>26.262085762404453</v>
          </cell>
          <cell r="L17">
            <v>7.0758958414302375</v>
          </cell>
          <cell r="M17">
            <v>115.48064516129033</v>
          </cell>
          <cell r="N17">
            <v>200.76903225806453</v>
          </cell>
          <cell r="O17">
            <v>29.053219967472454</v>
          </cell>
          <cell r="P17">
            <v>34.113369824820886</v>
          </cell>
          <cell r="Q17">
            <v>30.09970400310921</v>
          </cell>
          <cell r="R17">
            <v>5.1608566316648758</v>
          </cell>
          <cell r="S17">
            <v>12.12790026993865</v>
          </cell>
          <cell r="T17">
            <v>1.0538788139695694</v>
          </cell>
        </row>
        <row r="18">
          <cell r="C18">
            <v>15</v>
          </cell>
          <cell r="E18">
            <v>27147.21176470588</v>
          </cell>
          <cell r="F18">
            <v>23763.768896863065</v>
          </cell>
          <cell r="G18">
            <v>65027.851764705876</v>
          </cell>
          <cell r="H18">
            <v>61644.408896863068</v>
          </cell>
          <cell r="I18">
            <v>63336.130330784472</v>
          </cell>
          <cell r="J18">
            <v>6906.8844417431264</v>
          </cell>
          <cell r="K18">
            <v>27.178752429071121</v>
          </cell>
          <cell r="L18">
            <v>7.3008958414302381</v>
          </cell>
          <cell r="M18">
            <v>120.48064516129033</v>
          </cell>
          <cell r="N18">
            <v>208.76903225806456</v>
          </cell>
          <cell r="O18">
            <v>30.067309958056587</v>
          </cell>
          <cell r="P18">
            <v>35.304082142532202</v>
          </cell>
          <cell r="Q18">
            <v>31.260789545277888</v>
          </cell>
          <cell r="R18">
            <v>5.3599348690991189</v>
          </cell>
          <cell r="S18">
            <v>12.667226066156895</v>
          </cell>
          <cell r="T18">
            <v>1.0548864516407908</v>
          </cell>
        </row>
        <row r="19">
          <cell r="C19">
            <v>16</v>
          </cell>
          <cell r="E19">
            <v>29944.823529411762</v>
          </cell>
          <cell r="F19">
            <v>26359.415094339623</v>
          </cell>
          <cell r="G19">
            <v>67825.463529411762</v>
          </cell>
          <cell r="H19">
            <v>64240.055094339623</v>
          </cell>
          <cell r="I19">
            <v>66032.759311875692</v>
          </cell>
          <cell r="J19">
            <v>7200.9552139450043</v>
          </cell>
          <cell r="K19">
            <v>28.095419095737789</v>
          </cell>
          <cell r="L19">
            <v>7.5258958414302377</v>
          </cell>
          <cell r="M19">
            <v>125.48064516129033</v>
          </cell>
          <cell r="N19">
            <v>216.76903225806456</v>
          </cell>
          <cell r="O19">
            <v>31.081399948640719</v>
          </cell>
          <cell r="P19">
            <v>36.494794460243511</v>
          </cell>
          <cell r="Q19">
            <v>32.421875087446566</v>
          </cell>
          <cell r="R19">
            <v>5.5590131065333628</v>
          </cell>
          <cell r="S19">
            <v>13.206551862375138</v>
          </cell>
          <cell r="T19">
            <v>1.0558126612719556</v>
          </cell>
        </row>
        <row r="20">
          <cell r="C20">
            <v>17</v>
          </cell>
          <cell r="E20">
            <v>32801.022875816991</v>
          </cell>
          <cell r="F20">
            <v>28969.415094339623</v>
          </cell>
          <cell r="G20">
            <v>70681.662875816983</v>
          </cell>
          <cell r="H20">
            <v>66850.055094339623</v>
          </cell>
          <cell r="I20">
            <v>68765.858985078303</v>
          </cell>
          <cell r="J20">
            <v>7499.0031608591389</v>
          </cell>
          <cell r="K20">
            <v>29.012085762404453</v>
          </cell>
          <cell r="L20">
            <v>7.7508958414302374</v>
          </cell>
          <cell r="M20">
            <v>130.48064516129034</v>
          </cell>
          <cell r="N20">
            <v>224.76903225806456</v>
          </cell>
          <cell r="O20">
            <v>32.095489939224848</v>
          </cell>
          <cell r="P20">
            <v>37.685506777954821</v>
          </cell>
          <cell r="Q20">
            <v>33.582960629615236</v>
          </cell>
          <cell r="R20">
            <v>5.7580913439676049</v>
          </cell>
          <cell r="S20">
            <v>13.753171797015661</v>
          </cell>
          <cell r="T20">
            <v>1.0573164491199019</v>
          </cell>
        </row>
        <row r="21">
          <cell r="C21">
            <v>18</v>
          </cell>
          <cell r="E21">
            <v>35657.222222222219</v>
          </cell>
          <cell r="F21">
            <v>31579.415094339623</v>
          </cell>
          <cell r="G21">
            <v>73537.862222222218</v>
          </cell>
          <cell r="H21">
            <v>69460.055094339623</v>
          </cell>
          <cell r="I21">
            <v>71498.958658280928</v>
          </cell>
          <cell r="J21">
            <v>7797.0511077732745</v>
          </cell>
          <cell r="K21">
            <v>29.928752429071121</v>
          </cell>
          <cell r="L21">
            <v>7.975895841430237</v>
          </cell>
          <cell r="M21">
            <v>135.48064516129034</v>
          </cell>
          <cell r="N21">
            <v>232.76903225806456</v>
          </cell>
          <cell r="O21">
            <v>33.10957992980898</v>
          </cell>
          <cell r="P21">
            <v>38.876219095666137</v>
          </cell>
          <cell r="Q21">
            <v>34.744046171783914</v>
          </cell>
          <cell r="R21">
            <v>5.9571695814018488</v>
          </cell>
          <cell r="S21">
            <v>14.299791731656185</v>
          </cell>
          <cell r="T21">
            <v>1.0587072256470884</v>
          </cell>
        </row>
        <row r="22">
          <cell r="C22">
            <v>19</v>
          </cell>
          <cell r="E22">
            <v>38607.222222222219</v>
          </cell>
          <cell r="F22">
            <v>34189.415094339623</v>
          </cell>
          <cell r="G22">
            <v>76487.862222222218</v>
          </cell>
          <cell r="H22">
            <v>72070.055094339623</v>
          </cell>
          <cell r="I22">
            <v>74278.958658280928</v>
          </cell>
          <cell r="J22">
            <v>8100.2135941418683</v>
          </cell>
          <cell r="K22">
            <v>30.845419095737789</v>
          </cell>
          <cell r="L22">
            <v>8.2008958414302384</v>
          </cell>
          <cell r="M22">
            <v>140.48064516129034</v>
          </cell>
          <cell r="N22">
            <v>240.76903225806456</v>
          </cell>
          <cell r="O22">
            <v>34.123669920393112</v>
          </cell>
          <cell r="P22">
            <v>40.066931413377453</v>
          </cell>
          <cell r="Q22">
            <v>35.905131713952585</v>
          </cell>
          <cell r="R22">
            <v>6.156247818836091</v>
          </cell>
          <cell r="S22">
            <v>14.855791731656186</v>
          </cell>
          <cell r="T22">
            <v>1.0612987893806893</v>
          </cell>
        </row>
        <row r="23">
          <cell r="C23">
            <v>20</v>
          </cell>
          <cell r="E23">
            <v>41557.222222222219</v>
          </cell>
          <cell r="F23">
            <v>36799.415094339623</v>
          </cell>
          <cell r="G23">
            <v>79437.862222222218</v>
          </cell>
          <cell r="H23">
            <v>74680.055094339623</v>
          </cell>
          <cell r="I23">
            <v>77058.958658280928</v>
          </cell>
          <cell r="J23">
            <v>8403.3760805104612</v>
          </cell>
          <cell r="K23">
            <v>31.762085762404453</v>
          </cell>
          <cell r="L23">
            <v>8.4258958414302381</v>
          </cell>
          <cell r="M23">
            <v>145.48064516129034</v>
          </cell>
          <cell r="N23">
            <v>248.76903225806456</v>
          </cell>
          <cell r="O23">
            <v>35.137759910977245</v>
          </cell>
          <cell r="P23">
            <v>41.257643731088763</v>
          </cell>
          <cell r="Q23">
            <v>37.066217256121263</v>
          </cell>
          <cell r="R23">
            <v>6.3553260562703349</v>
          </cell>
          <cell r="S23">
            <v>15.411791731656185</v>
          </cell>
          <cell r="T23">
            <v>1.0637092075236458</v>
          </cell>
        </row>
        <row r="24">
          <cell r="C24">
            <v>21</v>
          </cell>
          <cell r="E24">
            <v>44507.222222222219</v>
          </cell>
          <cell r="F24">
            <v>39409.415094339623</v>
          </cell>
          <cell r="G24">
            <v>82387.862222222218</v>
          </cell>
          <cell r="H24">
            <v>77290.055094339623</v>
          </cell>
          <cell r="I24">
            <v>79838.958658280928</v>
          </cell>
          <cell r="J24">
            <v>8706.538566879055</v>
          </cell>
          <cell r="K24">
            <v>32.678752429071125</v>
          </cell>
          <cell r="L24">
            <v>8.6508958414302377</v>
          </cell>
          <cell r="M24">
            <v>150.48064516129034</v>
          </cell>
          <cell r="N24">
            <v>256.76903225806456</v>
          </cell>
          <cell r="O24">
            <v>36.151849901561384</v>
          </cell>
          <cell r="P24">
            <v>42.448356048800086</v>
          </cell>
          <cell r="Q24">
            <v>38.227302798289941</v>
          </cell>
          <cell r="R24">
            <v>6.5544042937045788</v>
          </cell>
          <cell r="S24">
            <v>15.967791731656186</v>
          </cell>
          <cell r="T24">
            <v>1.0659568313369716</v>
          </cell>
        </row>
        <row r="25">
          <cell r="C25">
            <v>22</v>
          </cell>
          <cell r="E25">
            <v>47457.222222222219</v>
          </cell>
          <cell r="F25">
            <v>42019.415094339623</v>
          </cell>
          <cell r="G25">
            <v>85337.862222222218</v>
          </cell>
          <cell r="H25">
            <v>79900.055094339623</v>
          </cell>
          <cell r="I25">
            <v>82618.958658280928</v>
          </cell>
          <cell r="J25">
            <v>9009.701053247647</v>
          </cell>
          <cell r="K25">
            <v>33.595419095737789</v>
          </cell>
          <cell r="L25">
            <v>8.8758958414302374</v>
          </cell>
          <cell r="M25">
            <v>155.48064516129034</v>
          </cell>
          <cell r="N25">
            <v>264.76903225806456</v>
          </cell>
          <cell r="O25">
            <v>37.165939892145509</v>
          </cell>
          <cell r="P25">
            <v>43.639068366511388</v>
          </cell>
          <cell r="Q25">
            <v>39.388388340458611</v>
          </cell>
          <cell r="R25">
            <v>6.7534825311388218</v>
          </cell>
          <cell r="S25">
            <v>16.523791731656186</v>
          </cell>
          <cell r="T25">
            <v>1.0680576142464742</v>
          </cell>
        </row>
        <row r="26">
          <cell r="C26">
            <v>23</v>
          </cell>
          <cell r="E26">
            <v>50407.222222222219</v>
          </cell>
          <cell r="F26">
            <v>44629.415094339623</v>
          </cell>
          <cell r="G26">
            <v>88287.862222222218</v>
          </cell>
          <cell r="H26">
            <v>82510.055094339623</v>
          </cell>
          <cell r="I26">
            <v>85398.958658280928</v>
          </cell>
          <cell r="J26">
            <v>9312.8635396162408</v>
          </cell>
          <cell r="K26">
            <v>34.512085762404453</v>
          </cell>
          <cell r="L26">
            <v>9.100895841430237</v>
          </cell>
          <cell r="M26">
            <v>160.48064516129034</v>
          </cell>
          <cell r="N26">
            <v>272.76903225806456</v>
          </cell>
          <cell r="O26">
            <v>38.180029882729634</v>
          </cell>
          <cell r="P26">
            <v>44.82978068422269</v>
          </cell>
          <cell r="Q26">
            <v>40.549473882627282</v>
          </cell>
          <cell r="R26">
            <v>6.9525607685730648</v>
          </cell>
          <cell r="S26">
            <v>17.079791731656186</v>
          </cell>
          <cell r="T26">
            <v>1.0700254910904667</v>
          </cell>
        </row>
        <row r="27">
          <cell r="C27">
            <v>24</v>
          </cell>
          <cell r="E27">
            <v>53357.222222222219</v>
          </cell>
          <cell r="F27">
            <v>47239.415094339623</v>
          </cell>
          <cell r="G27">
            <v>91237.862222222218</v>
          </cell>
          <cell r="H27">
            <v>85120.055094339623</v>
          </cell>
          <cell r="I27">
            <v>88178.958658280928</v>
          </cell>
          <cell r="J27">
            <v>9616.0260259848346</v>
          </cell>
          <cell r="K27">
            <v>35.428752429071125</v>
          </cell>
          <cell r="L27">
            <v>9.3258958414302384</v>
          </cell>
          <cell r="M27">
            <v>165.48064516129034</v>
          </cell>
          <cell r="N27">
            <v>280.76903225806456</v>
          </cell>
          <cell r="O27">
            <v>39.194119873313774</v>
          </cell>
          <cell r="P27">
            <v>46.020493001934007</v>
          </cell>
          <cell r="Q27">
            <v>41.71055942479596</v>
          </cell>
          <cell r="R27">
            <v>7.1516390060073087</v>
          </cell>
          <cell r="S27">
            <v>17.635791731656184</v>
          </cell>
          <cell r="T27">
            <v>1.0718726875952107</v>
          </cell>
        </row>
        <row r="28">
          <cell r="C28">
            <v>25</v>
          </cell>
          <cell r="E28">
            <v>56307.222222222219</v>
          </cell>
          <cell r="F28">
            <v>49849.415094339623</v>
          </cell>
          <cell r="G28">
            <v>94187.862222222218</v>
          </cell>
          <cell r="H28">
            <v>87730.055094339623</v>
          </cell>
          <cell r="I28">
            <v>90958.958658280928</v>
          </cell>
          <cell r="J28">
            <v>9919.1885123534266</v>
          </cell>
          <cell r="K28">
            <v>36.845419095737789</v>
          </cell>
          <cell r="L28">
            <v>9.5508958414302381</v>
          </cell>
          <cell r="M28">
            <v>170.48064516129034</v>
          </cell>
          <cell r="N28">
            <v>291.43569892473118</v>
          </cell>
          <cell r="O28">
            <v>40.761349858761982</v>
          </cell>
          <cell r="P28">
            <v>47.860684765669667</v>
          </cell>
          <cell r="Q28">
            <v>42.903773481020863</v>
          </cell>
          <cell r="R28">
            <v>7.3562259572420423</v>
          </cell>
          <cell r="S28">
            <v>18.191791731656185</v>
          </cell>
          <cell r="T28">
            <v>1.0736099746083398</v>
          </cell>
        </row>
        <row r="29">
          <cell r="C29">
            <v>26</v>
          </cell>
          <cell r="E29">
            <v>59257.222222222219</v>
          </cell>
          <cell r="F29">
            <v>52459.415094339623</v>
          </cell>
          <cell r="G29">
            <v>97137.862222222218</v>
          </cell>
          <cell r="H29">
            <v>90340.055094339623</v>
          </cell>
          <cell r="I29">
            <v>93738.958658280928</v>
          </cell>
          <cell r="J29">
            <v>10222.35099872202</v>
          </cell>
          <cell r="K29">
            <v>38.262085762404453</v>
          </cell>
          <cell r="L29">
            <v>9.7758958414302377</v>
          </cell>
          <cell r="M29">
            <v>175.48064516129034</v>
          </cell>
          <cell r="N29">
            <v>302.10236559139787</v>
          </cell>
          <cell r="O29">
            <v>42.328579844210182</v>
          </cell>
          <cell r="P29">
            <v>49.700876529405328</v>
          </cell>
          <cell r="Q29">
            <v>44.096987537245766</v>
          </cell>
          <cell r="R29">
            <v>7.5608129084767759</v>
          </cell>
          <cell r="S29">
            <v>18.747791731656186</v>
          </cell>
          <cell r="T29">
            <v>1.075246878262182</v>
          </cell>
        </row>
        <row r="30">
          <cell r="C30">
            <v>27</v>
          </cell>
          <cell r="E30">
            <v>62207.222222222219</v>
          </cell>
          <cell r="F30">
            <v>55069.415094339623</v>
          </cell>
          <cell r="G30">
            <v>100087.86222222222</v>
          </cell>
          <cell r="H30">
            <v>92950.055094339623</v>
          </cell>
          <cell r="I30">
            <v>96518.958658280928</v>
          </cell>
          <cell r="J30">
            <v>10525.513485090614</v>
          </cell>
          <cell r="K30">
            <v>39.678752429071125</v>
          </cell>
          <cell r="L30">
            <v>10.192562508096906</v>
          </cell>
          <cell r="M30">
            <v>182.147311827957</v>
          </cell>
          <cell r="N30">
            <v>312.76903225806456</v>
          </cell>
          <cell r="O30">
            <v>43.89580982965839</v>
          </cell>
          <cell r="P30">
            <v>51.541068293140995</v>
          </cell>
          <cell r="Q30">
            <v>45.290201593470663</v>
          </cell>
          <cell r="R30">
            <v>7.7653998597115086</v>
          </cell>
          <cell r="S30">
            <v>19.303791731656187</v>
          </cell>
          <cell r="T30">
            <v>1.0767918547292745</v>
          </cell>
        </row>
        <row r="31">
          <cell r="C31">
            <v>28</v>
          </cell>
          <cell r="E31">
            <v>65157.222222222219</v>
          </cell>
          <cell r="F31">
            <v>57679.415094339623</v>
          </cell>
          <cell r="G31">
            <v>103037.86222222222</v>
          </cell>
          <cell r="H31">
            <v>95560.055094339623</v>
          </cell>
          <cell r="I31">
            <v>99298.958658280928</v>
          </cell>
          <cell r="J31">
            <v>10828.675971459206</v>
          </cell>
          <cell r="K31">
            <v>41.095419095737789</v>
          </cell>
          <cell r="L31">
            <v>10.609229174763572</v>
          </cell>
          <cell r="M31">
            <v>188.81397849462365</v>
          </cell>
          <cell r="N31">
            <v>323.43569892473124</v>
          </cell>
          <cell r="O31">
            <v>45.46303981510659</v>
          </cell>
          <cell r="P31">
            <v>53.381260056876656</v>
          </cell>
          <cell r="Q31">
            <v>46.483415649695552</v>
          </cell>
          <cell r="R31">
            <v>7.9699868109462404</v>
          </cell>
          <cell r="S31">
            <v>19.859791731656184</v>
          </cell>
          <cell r="T31">
            <v>1.0782524363396431</v>
          </cell>
        </row>
        <row r="32">
          <cell r="C32">
            <v>29</v>
          </cell>
          <cell r="E32">
            <v>68107.222222222219</v>
          </cell>
          <cell r="F32">
            <v>60289.415094339623</v>
          </cell>
          <cell r="G32">
            <v>105987.86222222222</v>
          </cell>
          <cell r="H32">
            <v>98170.055094339623</v>
          </cell>
          <cell r="I32">
            <v>102078.95865828093</v>
          </cell>
          <cell r="J32">
            <v>11131.8384578278</v>
          </cell>
          <cell r="K32">
            <v>42.512085762404453</v>
          </cell>
          <cell r="L32">
            <v>11.025895841430238</v>
          </cell>
          <cell r="M32">
            <v>195.48064516129034</v>
          </cell>
          <cell r="N32">
            <v>334.10236559139787</v>
          </cell>
          <cell r="O32">
            <v>47.030269800554791</v>
          </cell>
          <cell r="P32">
            <v>55.221451820612309</v>
          </cell>
          <cell r="Q32">
            <v>47.676629705920462</v>
          </cell>
          <cell r="R32">
            <v>8.1745737621809749</v>
          </cell>
          <cell r="S32">
            <v>20.415791731656185</v>
          </cell>
          <cell r="T32">
            <v>1.0796353543895827</v>
          </cell>
        </row>
        <row r="33">
          <cell r="C33">
            <v>30</v>
          </cell>
          <cell r="E33">
            <v>71057.222222222219</v>
          </cell>
          <cell r="F33">
            <v>62899.415094339623</v>
          </cell>
          <cell r="G33">
            <v>108937.86222222222</v>
          </cell>
          <cell r="H33">
            <v>100780.05509433962</v>
          </cell>
          <cell r="I33">
            <v>104858.95865828091</v>
          </cell>
          <cell r="J33">
            <v>11435.000944196392</v>
          </cell>
          <cell r="K33">
            <v>43.928752429071125</v>
          </cell>
          <cell r="L33">
            <v>11.442562508096906</v>
          </cell>
          <cell r="M33">
            <v>202.147311827957</v>
          </cell>
          <cell r="N33">
            <v>344.76903225806456</v>
          </cell>
          <cell r="O33">
            <v>48.597499786002999</v>
          </cell>
          <cell r="P33">
            <v>57.061643584347976</v>
          </cell>
          <cell r="Q33">
            <v>48.869843762145358</v>
          </cell>
          <cell r="R33">
            <v>8.3791607134157076</v>
          </cell>
          <cell r="S33">
            <v>20.971791731656182</v>
          </cell>
          <cell r="T33">
            <v>1.0809466428674417</v>
          </cell>
        </row>
        <row r="34">
          <cell r="C34">
            <v>31</v>
          </cell>
          <cell r="E34">
            <v>74007.222222222219</v>
          </cell>
          <cell r="F34">
            <v>65509.415094339623</v>
          </cell>
          <cell r="G34">
            <v>111887.86222222222</v>
          </cell>
          <cell r="H34">
            <v>103390.05509433962</v>
          </cell>
          <cell r="I34">
            <v>107638.95865828091</v>
          </cell>
          <cell r="J34">
            <v>11738.163430564986</v>
          </cell>
          <cell r="K34">
            <v>45.345419095737782</v>
          </cell>
          <cell r="L34">
            <v>11.859229174763572</v>
          </cell>
          <cell r="M34">
            <v>208.81397849462365</v>
          </cell>
          <cell r="N34">
            <v>355.43569892473118</v>
          </cell>
          <cell r="O34">
            <v>50.164729771451192</v>
          </cell>
          <cell r="P34">
            <v>58.901835348083623</v>
          </cell>
          <cell r="Q34">
            <v>50.063057818370261</v>
          </cell>
          <cell r="R34">
            <v>8.583747664650442</v>
          </cell>
          <cell r="S34">
            <v>21.527791731656183</v>
          </cell>
          <cell r="T34">
            <v>1.082191726468553</v>
          </cell>
        </row>
        <row r="35">
          <cell r="C35">
            <v>32</v>
          </cell>
          <cell r="E35">
            <v>76957.222222222219</v>
          </cell>
          <cell r="F35">
            <v>68119.415094339623</v>
          </cell>
          <cell r="G35">
            <v>114837.86222222222</v>
          </cell>
          <cell r="H35">
            <v>106000.05509433962</v>
          </cell>
          <cell r="I35">
            <v>110418.95865828091</v>
          </cell>
          <cell r="J35">
            <v>12041.325916933578</v>
          </cell>
          <cell r="K35">
            <v>46.762085762404453</v>
          </cell>
          <cell r="L35">
            <v>12.275895841430238</v>
          </cell>
          <cell r="M35">
            <v>215.48064516129034</v>
          </cell>
          <cell r="N35">
            <v>366.10236559139787</v>
          </cell>
          <cell r="O35">
            <v>51.7319597568994</v>
          </cell>
          <cell r="P35">
            <v>60.74202711181929</v>
          </cell>
          <cell r="Q35">
            <v>51.256271874595157</v>
          </cell>
          <cell r="R35">
            <v>8.7883346158851747</v>
          </cell>
          <cell r="S35">
            <v>22.083791731656184</v>
          </cell>
          <cell r="T35">
            <v>1.0833754956072144</v>
          </cell>
        </row>
        <row r="36">
          <cell r="C36">
            <v>33</v>
          </cell>
          <cell r="E36">
            <v>79907.222222222219</v>
          </cell>
          <cell r="F36">
            <v>70729.415094339623</v>
          </cell>
          <cell r="G36">
            <v>117787.86222222222</v>
          </cell>
          <cell r="H36">
            <v>108610.05509433962</v>
          </cell>
          <cell r="I36">
            <v>113198.95865828091</v>
          </cell>
          <cell r="J36">
            <v>12344.488403302172</v>
          </cell>
          <cell r="K36">
            <v>48.178752429071125</v>
          </cell>
          <cell r="L36">
            <v>12.692562508096906</v>
          </cell>
          <cell r="M36">
            <v>222.14731182795697</v>
          </cell>
          <cell r="N36">
            <v>376.76903225806456</v>
          </cell>
          <cell r="O36">
            <v>53.299189742347608</v>
          </cell>
          <cell r="P36">
            <v>62.582218875554958</v>
          </cell>
          <cell r="Q36">
            <v>52.44948593082006</v>
          </cell>
          <cell r="R36">
            <v>8.9929215671199092</v>
          </cell>
          <cell r="S36">
            <v>22.639791731656182</v>
          </cell>
          <cell r="T36">
            <v>1.0845023706130217</v>
          </cell>
        </row>
        <row r="37">
          <cell r="C37">
            <v>34</v>
          </cell>
          <cell r="E37">
            <v>82857.222222222219</v>
          </cell>
          <cell r="F37">
            <v>73339.415094339623</v>
          </cell>
          <cell r="G37">
            <v>120737.86222222222</v>
          </cell>
          <cell r="H37">
            <v>111220.05509433962</v>
          </cell>
          <cell r="I37">
            <v>115978.95865828091</v>
          </cell>
          <cell r="J37">
            <v>12647.650889670766</v>
          </cell>
          <cell r="K37">
            <v>49.595419095737782</v>
          </cell>
          <cell r="L37">
            <v>13.109229174763572</v>
          </cell>
          <cell r="M37">
            <v>228.81397849462365</v>
          </cell>
          <cell r="N37">
            <v>387.43569892473124</v>
          </cell>
          <cell r="O37">
            <v>54.866419727795801</v>
          </cell>
          <cell r="P37">
            <v>64.422410639290604</v>
          </cell>
          <cell r="Q37">
            <v>53.642699987044956</v>
          </cell>
          <cell r="R37">
            <v>9.1975085183546419</v>
          </cell>
          <cell r="S37">
            <v>23.195791731656183</v>
          </cell>
          <cell r="T37">
            <v>1.0855763568882371</v>
          </cell>
        </row>
        <row r="38">
          <cell r="C38">
            <v>35</v>
          </cell>
          <cell r="E38">
            <v>85807.222222222219</v>
          </cell>
          <cell r="F38">
            <v>75949.415094339623</v>
          </cell>
          <cell r="G38">
            <v>123687.86222222222</v>
          </cell>
          <cell r="H38">
            <v>113830.05509433962</v>
          </cell>
          <cell r="I38">
            <v>118758.95865828091</v>
          </cell>
          <cell r="J38">
            <v>12950.813376039358</v>
          </cell>
          <cell r="K38">
            <v>51.012085762404453</v>
          </cell>
          <cell r="L38">
            <v>13.525895841430238</v>
          </cell>
          <cell r="M38">
            <v>235.48064516129034</v>
          </cell>
          <cell r="N38">
            <v>398.10236559139787</v>
          </cell>
          <cell r="O38">
            <v>56.433649713244009</v>
          </cell>
          <cell r="P38">
            <v>66.262602403026264</v>
          </cell>
          <cell r="Q38">
            <v>54.83591404326986</v>
          </cell>
          <cell r="R38">
            <v>9.4020954695893764</v>
          </cell>
          <cell r="S38">
            <v>23.751791731656184</v>
          </cell>
          <cell r="T38">
            <v>1.086601092476962</v>
          </cell>
        </row>
        <row r="39">
          <cell r="C39">
            <v>36</v>
          </cell>
          <cell r="E39">
            <v>88757.222222222219</v>
          </cell>
          <cell r="F39">
            <v>78559.415094339623</v>
          </cell>
          <cell r="G39">
            <v>126637.86222222222</v>
          </cell>
          <cell r="H39">
            <v>116440.05509433962</v>
          </cell>
          <cell r="I39">
            <v>121538.95865828091</v>
          </cell>
          <cell r="J39">
            <v>13253.975862407951</v>
          </cell>
          <cell r="K39">
            <v>52.428752429071125</v>
          </cell>
          <cell r="L39">
            <v>13.942562508096906</v>
          </cell>
          <cell r="M39">
            <v>242.14731182795703</v>
          </cell>
          <cell r="N39">
            <v>408.76903225806456</v>
          </cell>
          <cell r="O39">
            <v>58.000879698692223</v>
          </cell>
          <cell r="P39">
            <v>68.102794166761925</v>
          </cell>
          <cell r="Q39">
            <v>56.029128099494756</v>
          </cell>
          <cell r="R39">
            <v>9.6066824208241091</v>
          </cell>
          <cell r="S39">
            <v>24.307791731656181</v>
          </cell>
          <cell r="T39">
            <v>1.0875798892367436</v>
          </cell>
        </row>
        <row r="40">
          <cell r="C40">
            <v>37</v>
          </cell>
          <cell r="E40">
            <v>91707.222222222219</v>
          </cell>
          <cell r="F40">
            <v>81169.415094339623</v>
          </cell>
          <cell r="G40">
            <v>129587.86222222222</v>
          </cell>
          <cell r="H40">
            <v>119050.05509433962</v>
          </cell>
          <cell r="I40">
            <v>124318.95865828091</v>
          </cell>
          <cell r="J40">
            <v>13557.138348776545</v>
          </cell>
          <cell r="K40">
            <v>53.845419095737796</v>
          </cell>
          <cell r="L40">
            <v>14.35922917476357</v>
          </cell>
          <cell r="M40">
            <v>248.81397849462365</v>
          </cell>
          <cell r="N40">
            <v>419.43569892473124</v>
          </cell>
          <cell r="O40">
            <v>59.568109684140431</v>
          </cell>
          <cell r="P40">
            <v>69.942985930497585</v>
          </cell>
          <cell r="Q40">
            <v>57.222342155719652</v>
          </cell>
          <cell r="R40">
            <v>9.8112693720588418</v>
          </cell>
          <cell r="S40">
            <v>24.863791731656182</v>
          </cell>
          <cell r="T40">
            <v>1.0885157685944122</v>
          </cell>
        </row>
        <row r="41">
          <cell r="C41">
            <v>38</v>
          </cell>
          <cell r="E41">
            <v>94657.222222222219</v>
          </cell>
          <cell r="F41">
            <v>83779.415094339623</v>
          </cell>
          <cell r="G41">
            <v>132537.8622222222</v>
          </cell>
          <cell r="H41">
            <v>121660.05509433962</v>
          </cell>
          <cell r="I41">
            <v>127098.95865828091</v>
          </cell>
          <cell r="J41">
            <v>13860.300835145137</v>
          </cell>
          <cell r="K41">
            <v>55.262085762404453</v>
          </cell>
          <cell r="L41">
            <v>14.775895841430238</v>
          </cell>
          <cell r="M41">
            <v>255.48064516129034</v>
          </cell>
          <cell r="N41">
            <v>430.10236559139787</v>
          </cell>
          <cell r="O41">
            <v>61.135339669588632</v>
          </cell>
          <cell r="P41">
            <v>71.783177694233231</v>
          </cell>
          <cell r="Q41">
            <v>58.415556211944555</v>
          </cell>
          <cell r="R41">
            <v>10.015856323293576</v>
          </cell>
          <cell r="S41">
            <v>25.419791731656183</v>
          </cell>
          <cell r="T41">
            <v>1.0894114926994529</v>
          </cell>
        </row>
        <row r="42">
          <cell r="C42">
            <v>39</v>
          </cell>
          <cell r="E42">
            <v>97607.222222222219</v>
          </cell>
          <cell r="F42">
            <v>86389.415094339623</v>
          </cell>
          <cell r="G42">
            <v>135487.8622222222</v>
          </cell>
          <cell r="H42">
            <v>124270.05509433962</v>
          </cell>
          <cell r="I42">
            <v>129878.95865828091</v>
          </cell>
          <cell r="J42">
            <v>14163.463321513731</v>
          </cell>
          <cell r="K42">
            <v>56.678752429071125</v>
          </cell>
          <cell r="L42">
            <v>15.192562508096906</v>
          </cell>
          <cell r="M42">
            <v>262.14731182795703</v>
          </cell>
          <cell r="N42">
            <v>440.76903225806456</v>
          </cell>
          <cell r="O42">
            <v>62.702569655036839</v>
          </cell>
          <cell r="P42">
            <v>73.623369457968906</v>
          </cell>
          <cell r="Q42">
            <v>59.608770268169465</v>
          </cell>
          <cell r="R42">
            <v>10.220443274528312</v>
          </cell>
          <cell r="S42">
            <v>25.975791731656184</v>
          </cell>
          <cell r="T42">
            <v>1.0902695916515575</v>
          </cell>
        </row>
        <row r="43">
          <cell r="C43">
            <v>40</v>
          </cell>
          <cell r="E43">
            <v>100557.22222222222</v>
          </cell>
          <cell r="F43">
            <v>88999.415094339623</v>
          </cell>
          <cell r="G43">
            <v>138437.8622222222</v>
          </cell>
          <cell r="H43">
            <v>126880.05509433962</v>
          </cell>
          <cell r="I43">
            <v>132658.9586582809</v>
          </cell>
          <cell r="J43">
            <v>14466.625807882323</v>
          </cell>
          <cell r="K43">
            <v>58.095419095737796</v>
          </cell>
          <cell r="L43">
            <v>15.60922917476357</v>
          </cell>
          <cell r="M43">
            <v>268.81397849462365</v>
          </cell>
          <cell r="N43">
            <v>451.43569892473124</v>
          </cell>
          <cell r="O43">
            <v>64.269799640485047</v>
          </cell>
          <cell r="P43">
            <v>75.46356122170458</v>
          </cell>
          <cell r="Q43">
            <v>60.801984324394368</v>
          </cell>
          <cell r="R43">
            <v>10.425030225763047</v>
          </cell>
          <cell r="S43">
            <v>26.531791731656181</v>
          </cell>
          <cell r="T43">
            <v>1.0910923873676517</v>
          </cell>
        </row>
      </sheetData>
      <sheetData sheetId="45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08.xml"/><Relationship Id="rId13" Type="http://schemas.openxmlformats.org/officeDocument/2006/relationships/ctrlProp" Target="../ctrlProps/ctrlProp913.xml"/><Relationship Id="rId18" Type="http://schemas.openxmlformats.org/officeDocument/2006/relationships/ctrlProp" Target="../ctrlProps/ctrlProp918.xml"/><Relationship Id="rId26" Type="http://schemas.openxmlformats.org/officeDocument/2006/relationships/ctrlProp" Target="../ctrlProps/ctrlProp926.xml"/><Relationship Id="rId3" Type="http://schemas.openxmlformats.org/officeDocument/2006/relationships/vmlDrawing" Target="../drawings/vmlDrawing55.vml"/><Relationship Id="rId21" Type="http://schemas.openxmlformats.org/officeDocument/2006/relationships/ctrlProp" Target="../ctrlProps/ctrlProp921.xml"/><Relationship Id="rId7" Type="http://schemas.openxmlformats.org/officeDocument/2006/relationships/ctrlProp" Target="../ctrlProps/ctrlProp907.xml"/><Relationship Id="rId12" Type="http://schemas.openxmlformats.org/officeDocument/2006/relationships/ctrlProp" Target="../ctrlProps/ctrlProp912.xml"/><Relationship Id="rId17" Type="http://schemas.openxmlformats.org/officeDocument/2006/relationships/ctrlProp" Target="../ctrlProps/ctrlProp917.xml"/><Relationship Id="rId25" Type="http://schemas.openxmlformats.org/officeDocument/2006/relationships/ctrlProp" Target="../ctrlProps/ctrlProp925.xml"/><Relationship Id="rId2" Type="http://schemas.openxmlformats.org/officeDocument/2006/relationships/drawing" Target="../drawings/drawing100.xml"/><Relationship Id="rId16" Type="http://schemas.openxmlformats.org/officeDocument/2006/relationships/ctrlProp" Target="../ctrlProps/ctrlProp916.xml"/><Relationship Id="rId20" Type="http://schemas.openxmlformats.org/officeDocument/2006/relationships/ctrlProp" Target="../ctrlProps/ctrlProp920.xml"/><Relationship Id="rId29" Type="http://schemas.openxmlformats.org/officeDocument/2006/relationships/ctrlProp" Target="../ctrlProps/ctrlProp929.xml"/><Relationship Id="rId1" Type="http://schemas.openxmlformats.org/officeDocument/2006/relationships/printerSettings" Target="../printerSettings/printerSettings100.bin"/><Relationship Id="rId6" Type="http://schemas.openxmlformats.org/officeDocument/2006/relationships/ctrlProp" Target="../ctrlProps/ctrlProp906.xml"/><Relationship Id="rId11" Type="http://schemas.openxmlformats.org/officeDocument/2006/relationships/ctrlProp" Target="../ctrlProps/ctrlProp911.xml"/><Relationship Id="rId24" Type="http://schemas.openxmlformats.org/officeDocument/2006/relationships/ctrlProp" Target="../ctrlProps/ctrlProp924.xml"/><Relationship Id="rId5" Type="http://schemas.openxmlformats.org/officeDocument/2006/relationships/ctrlProp" Target="../ctrlProps/ctrlProp905.xml"/><Relationship Id="rId15" Type="http://schemas.openxmlformats.org/officeDocument/2006/relationships/ctrlProp" Target="../ctrlProps/ctrlProp915.xml"/><Relationship Id="rId23" Type="http://schemas.openxmlformats.org/officeDocument/2006/relationships/ctrlProp" Target="../ctrlProps/ctrlProp923.xml"/><Relationship Id="rId28" Type="http://schemas.openxmlformats.org/officeDocument/2006/relationships/ctrlProp" Target="../ctrlProps/ctrlProp928.xml"/><Relationship Id="rId10" Type="http://schemas.openxmlformats.org/officeDocument/2006/relationships/ctrlProp" Target="../ctrlProps/ctrlProp910.xml"/><Relationship Id="rId19" Type="http://schemas.openxmlformats.org/officeDocument/2006/relationships/ctrlProp" Target="../ctrlProps/ctrlProp919.xml"/><Relationship Id="rId31" Type="http://schemas.openxmlformats.org/officeDocument/2006/relationships/comments" Target="../comments44.xml"/><Relationship Id="rId4" Type="http://schemas.openxmlformats.org/officeDocument/2006/relationships/ctrlProp" Target="../ctrlProps/ctrlProp904.xml"/><Relationship Id="rId9" Type="http://schemas.openxmlformats.org/officeDocument/2006/relationships/ctrlProp" Target="../ctrlProps/ctrlProp909.xml"/><Relationship Id="rId14" Type="http://schemas.openxmlformats.org/officeDocument/2006/relationships/ctrlProp" Target="../ctrlProps/ctrlProp914.xml"/><Relationship Id="rId22" Type="http://schemas.openxmlformats.org/officeDocument/2006/relationships/ctrlProp" Target="../ctrlProps/ctrlProp922.xml"/><Relationship Id="rId27" Type="http://schemas.openxmlformats.org/officeDocument/2006/relationships/ctrlProp" Target="../ctrlProps/ctrlProp927.xml"/><Relationship Id="rId30" Type="http://schemas.openxmlformats.org/officeDocument/2006/relationships/ctrlProp" Target="../ctrlProps/ctrlProp930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35.xml"/><Relationship Id="rId13" Type="http://schemas.openxmlformats.org/officeDocument/2006/relationships/ctrlProp" Target="../ctrlProps/ctrlProp940.xml"/><Relationship Id="rId18" Type="http://schemas.openxmlformats.org/officeDocument/2006/relationships/ctrlProp" Target="../ctrlProps/ctrlProp945.xml"/><Relationship Id="rId26" Type="http://schemas.openxmlformats.org/officeDocument/2006/relationships/ctrlProp" Target="../ctrlProps/ctrlProp953.xml"/><Relationship Id="rId3" Type="http://schemas.openxmlformats.org/officeDocument/2006/relationships/vmlDrawing" Target="../drawings/vmlDrawing56.vml"/><Relationship Id="rId21" Type="http://schemas.openxmlformats.org/officeDocument/2006/relationships/ctrlProp" Target="../ctrlProps/ctrlProp948.xml"/><Relationship Id="rId7" Type="http://schemas.openxmlformats.org/officeDocument/2006/relationships/ctrlProp" Target="../ctrlProps/ctrlProp934.xml"/><Relationship Id="rId12" Type="http://schemas.openxmlformats.org/officeDocument/2006/relationships/ctrlProp" Target="../ctrlProps/ctrlProp939.xml"/><Relationship Id="rId17" Type="http://schemas.openxmlformats.org/officeDocument/2006/relationships/ctrlProp" Target="../ctrlProps/ctrlProp944.xml"/><Relationship Id="rId25" Type="http://schemas.openxmlformats.org/officeDocument/2006/relationships/ctrlProp" Target="../ctrlProps/ctrlProp952.xml"/><Relationship Id="rId2" Type="http://schemas.openxmlformats.org/officeDocument/2006/relationships/drawing" Target="../drawings/drawing102.xml"/><Relationship Id="rId16" Type="http://schemas.openxmlformats.org/officeDocument/2006/relationships/ctrlProp" Target="../ctrlProps/ctrlProp943.xml"/><Relationship Id="rId20" Type="http://schemas.openxmlformats.org/officeDocument/2006/relationships/ctrlProp" Target="../ctrlProps/ctrlProp947.xml"/><Relationship Id="rId29" Type="http://schemas.openxmlformats.org/officeDocument/2006/relationships/ctrlProp" Target="../ctrlProps/ctrlProp956.xml"/><Relationship Id="rId1" Type="http://schemas.openxmlformats.org/officeDocument/2006/relationships/printerSettings" Target="../printerSettings/printerSettings102.bin"/><Relationship Id="rId6" Type="http://schemas.openxmlformats.org/officeDocument/2006/relationships/ctrlProp" Target="../ctrlProps/ctrlProp933.xml"/><Relationship Id="rId11" Type="http://schemas.openxmlformats.org/officeDocument/2006/relationships/ctrlProp" Target="../ctrlProps/ctrlProp938.xml"/><Relationship Id="rId24" Type="http://schemas.openxmlformats.org/officeDocument/2006/relationships/ctrlProp" Target="../ctrlProps/ctrlProp951.xml"/><Relationship Id="rId5" Type="http://schemas.openxmlformats.org/officeDocument/2006/relationships/ctrlProp" Target="../ctrlProps/ctrlProp932.xml"/><Relationship Id="rId15" Type="http://schemas.openxmlformats.org/officeDocument/2006/relationships/ctrlProp" Target="../ctrlProps/ctrlProp942.xml"/><Relationship Id="rId23" Type="http://schemas.openxmlformats.org/officeDocument/2006/relationships/ctrlProp" Target="../ctrlProps/ctrlProp950.xml"/><Relationship Id="rId28" Type="http://schemas.openxmlformats.org/officeDocument/2006/relationships/ctrlProp" Target="../ctrlProps/ctrlProp955.xml"/><Relationship Id="rId10" Type="http://schemas.openxmlformats.org/officeDocument/2006/relationships/ctrlProp" Target="../ctrlProps/ctrlProp937.xml"/><Relationship Id="rId19" Type="http://schemas.openxmlformats.org/officeDocument/2006/relationships/ctrlProp" Target="../ctrlProps/ctrlProp946.xml"/><Relationship Id="rId4" Type="http://schemas.openxmlformats.org/officeDocument/2006/relationships/ctrlProp" Target="../ctrlProps/ctrlProp931.xml"/><Relationship Id="rId9" Type="http://schemas.openxmlformats.org/officeDocument/2006/relationships/ctrlProp" Target="../ctrlProps/ctrlProp936.xml"/><Relationship Id="rId14" Type="http://schemas.openxmlformats.org/officeDocument/2006/relationships/ctrlProp" Target="../ctrlProps/ctrlProp941.xml"/><Relationship Id="rId22" Type="http://schemas.openxmlformats.org/officeDocument/2006/relationships/ctrlProp" Target="../ctrlProps/ctrlProp949.xml"/><Relationship Id="rId27" Type="http://schemas.openxmlformats.org/officeDocument/2006/relationships/ctrlProp" Target="../ctrlProps/ctrlProp954.xml"/><Relationship Id="rId30" Type="http://schemas.openxmlformats.org/officeDocument/2006/relationships/ctrlProp" Target="../ctrlProps/ctrlProp957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62.xml"/><Relationship Id="rId13" Type="http://schemas.openxmlformats.org/officeDocument/2006/relationships/ctrlProp" Target="../ctrlProps/ctrlProp967.xml"/><Relationship Id="rId18" Type="http://schemas.openxmlformats.org/officeDocument/2006/relationships/ctrlProp" Target="../ctrlProps/ctrlProp972.xml"/><Relationship Id="rId26" Type="http://schemas.openxmlformats.org/officeDocument/2006/relationships/ctrlProp" Target="../ctrlProps/ctrlProp980.xml"/><Relationship Id="rId3" Type="http://schemas.openxmlformats.org/officeDocument/2006/relationships/vmlDrawing" Target="../drawings/vmlDrawing57.vml"/><Relationship Id="rId21" Type="http://schemas.openxmlformats.org/officeDocument/2006/relationships/ctrlProp" Target="../ctrlProps/ctrlProp975.xml"/><Relationship Id="rId7" Type="http://schemas.openxmlformats.org/officeDocument/2006/relationships/ctrlProp" Target="../ctrlProps/ctrlProp961.xml"/><Relationship Id="rId12" Type="http://schemas.openxmlformats.org/officeDocument/2006/relationships/ctrlProp" Target="../ctrlProps/ctrlProp966.xml"/><Relationship Id="rId17" Type="http://schemas.openxmlformats.org/officeDocument/2006/relationships/ctrlProp" Target="../ctrlProps/ctrlProp971.xml"/><Relationship Id="rId25" Type="http://schemas.openxmlformats.org/officeDocument/2006/relationships/ctrlProp" Target="../ctrlProps/ctrlProp979.xml"/><Relationship Id="rId2" Type="http://schemas.openxmlformats.org/officeDocument/2006/relationships/drawing" Target="../drawings/drawing104.xml"/><Relationship Id="rId16" Type="http://schemas.openxmlformats.org/officeDocument/2006/relationships/ctrlProp" Target="../ctrlProps/ctrlProp970.xml"/><Relationship Id="rId20" Type="http://schemas.openxmlformats.org/officeDocument/2006/relationships/ctrlProp" Target="../ctrlProps/ctrlProp974.xml"/><Relationship Id="rId29" Type="http://schemas.openxmlformats.org/officeDocument/2006/relationships/ctrlProp" Target="../ctrlProps/ctrlProp983.xml"/><Relationship Id="rId1" Type="http://schemas.openxmlformats.org/officeDocument/2006/relationships/printerSettings" Target="../printerSettings/printerSettings104.bin"/><Relationship Id="rId6" Type="http://schemas.openxmlformats.org/officeDocument/2006/relationships/ctrlProp" Target="../ctrlProps/ctrlProp960.xml"/><Relationship Id="rId11" Type="http://schemas.openxmlformats.org/officeDocument/2006/relationships/ctrlProp" Target="../ctrlProps/ctrlProp965.xml"/><Relationship Id="rId24" Type="http://schemas.openxmlformats.org/officeDocument/2006/relationships/ctrlProp" Target="../ctrlProps/ctrlProp978.xml"/><Relationship Id="rId5" Type="http://schemas.openxmlformats.org/officeDocument/2006/relationships/ctrlProp" Target="../ctrlProps/ctrlProp959.xml"/><Relationship Id="rId15" Type="http://schemas.openxmlformats.org/officeDocument/2006/relationships/ctrlProp" Target="../ctrlProps/ctrlProp969.xml"/><Relationship Id="rId23" Type="http://schemas.openxmlformats.org/officeDocument/2006/relationships/ctrlProp" Target="../ctrlProps/ctrlProp977.xml"/><Relationship Id="rId28" Type="http://schemas.openxmlformats.org/officeDocument/2006/relationships/ctrlProp" Target="../ctrlProps/ctrlProp982.xml"/><Relationship Id="rId10" Type="http://schemas.openxmlformats.org/officeDocument/2006/relationships/ctrlProp" Target="../ctrlProps/ctrlProp964.xml"/><Relationship Id="rId19" Type="http://schemas.openxmlformats.org/officeDocument/2006/relationships/ctrlProp" Target="../ctrlProps/ctrlProp973.xml"/><Relationship Id="rId4" Type="http://schemas.openxmlformats.org/officeDocument/2006/relationships/ctrlProp" Target="../ctrlProps/ctrlProp958.xml"/><Relationship Id="rId9" Type="http://schemas.openxmlformats.org/officeDocument/2006/relationships/ctrlProp" Target="../ctrlProps/ctrlProp963.xml"/><Relationship Id="rId14" Type="http://schemas.openxmlformats.org/officeDocument/2006/relationships/ctrlProp" Target="../ctrlProps/ctrlProp968.xml"/><Relationship Id="rId22" Type="http://schemas.openxmlformats.org/officeDocument/2006/relationships/ctrlProp" Target="../ctrlProps/ctrlProp976.xml"/><Relationship Id="rId27" Type="http://schemas.openxmlformats.org/officeDocument/2006/relationships/ctrlProp" Target="../ctrlProps/ctrlProp981.xml"/><Relationship Id="rId30" Type="http://schemas.openxmlformats.org/officeDocument/2006/relationships/ctrlProp" Target="../ctrlProps/ctrlProp98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9.xml"/><Relationship Id="rId13" Type="http://schemas.openxmlformats.org/officeDocument/2006/relationships/ctrlProp" Target="../ctrlProps/ctrlProp994.xml"/><Relationship Id="rId18" Type="http://schemas.openxmlformats.org/officeDocument/2006/relationships/ctrlProp" Target="../ctrlProps/ctrlProp999.xml"/><Relationship Id="rId26" Type="http://schemas.openxmlformats.org/officeDocument/2006/relationships/ctrlProp" Target="../ctrlProps/ctrlProp1007.xml"/><Relationship Id="rId3" Type="http://schemas.openxmlformats.org/officeDocument/2006/relationships/vmlDrawing" Target="../drawings/vmlDrawing58.vml"/><Relationship Id="rId21" Type="http://schemas.openxmlformats.org/officeDocument/2006/relationships/ctrlProp" Target="../ctrlProps/ctrlProp1002.xml"/><Relationship Id="rId7" Type="http://schemas.openxmlformats.org/officeDocument/2006/relationships/ctrlProp" Target="../ctrlProps/ctrlProp988.xml"/><Relationship Id="rId12" Type="http://schemas.openxmlformats.org/officeDocument/2006/relationships/ctrlProp" Target="../ctrlProps/ctrlProp993.xml"/><Relationship Id="rId17" Type="http://schemas.openxmlformats.org/officeDocument/2006/relationships/ctrlProp" Target="../ctrlProps/ctrlProp998.xml"/><Relationship Id="rId25" Type="http://schemas.openxmlformats.org/officeDocument/2006/relationships/ctrlProp" Target="../ctrlProps/ctrlProp1006.xml"/><Relationship Id="rId2" Type="http://schemas.openxmlformats.org/officeDocument/2006/relationships/drawing" Target="../drawings/drawing106.xml"/><Relationship Id="rId16" Type="http://schemas.openxmlformats.org/officeDocument/2006/relationships/ctrlProp" Target="../ctrlProps/ctrlProp997.xml"/><Relationship Id="rId20" Type="http://schemas.openxmlformats.org/officeDocument/2006/relationships/ctrlProp" Target="../ctrlProps/ctrlProp1001.xml"/><Relationship Id="rId29" Type="http://schemas.openxmlformats.org/officeDocument/2006/relationships/ctrlProp" Target="../ctrlProps/ctrlProp1010.xml"/><Relationship Id="rId1" Type="http://schemas.openxmlformats.org/officeDocument/2006/relationships/printerSettings" Target="../printerSettings/printerSettings106.bin"/><Relationship Id="rId6" Type="http://schemas.openxmlformats.org/officeDocument/2006/relationships/ctrlProp" Target="../ctrlProps/ctrlProp987.xml"/><Relationship Id="rId11" Type="http://schemas.openxmlformats.org/officeDocument/2006/relationships/ctrlProp" Target="../ctrlProps/ctrlProp992.xml"/><Relationship Id="rId24" Type="http://schemas.openxmlformats.org/officeDocument/2006/relationships/ctrlProp" Target="../ctrlProps/ctrlProp1005.xml"/><Relationship Id="rId5" Type="http://schemas.openxmlformats.org/officeDocument/2006/relationships/ctrlProp" Target="../ctrlProps/ctrlProp986.xml"/><Relationship Id="rId15" Type="http://schemas.openxmlformats.org/officeDocument/2006/relationships/ctrlProp" Target="../ctrlProps/ctrlProp996.xml"/><Relationship Id="rId23" Type="http://schemas.openxmlformats.org/officeDocument/2006/relationships/ctrlProp" Target="../ctrlProps/ctrlProp1004.xml"/><Relationship Id="rId28" Type="http://schemas.openxmlformats.org/officeDocument/2006/relationships/ctrlProp" Target="../ctrlProps/ctrlProp1009.xml"/><Relationship Id="rId10" Type="http://schemas.openxmlformats.org/officeDocument/2006/relationships/ctrlProp" Target="../ctrlProps/ctrlProp991.xml"/><Relationship Id="rId19" Type="http://schemas.openxmlformats.org/officeDocument/2006/relationships/ctrlProp" Target="../ctrlProps/ctrlProp1000.xml"/><Relationship Id="rId4" Type="http://schemas.openxmlformats.org/officeDocument/2006/relationships/ctrlProp" Target="../ctrlProps/ctrlProp985.xml"/><Relationship Id="rId9" Type="http://schemas.openxmlformats.org/officeDocument/2006/relationships/ctrlProp" Target="../ctrlProps/ctrlProp990.xml"/><Relationship Id="rId14" Type="http://schemas.openxmlformats.org/officeDocument/2006/relationships/ctrlProp" Target="../ctrlProps/ctrlProp995.xml"/><Relationship Id="rId22" Type="http://schemas.openxmlformats.org/officeDocument/2006/relationships/ctrlProp" Target="../ctrlProps/ctrlProp1003.xml"/><Relationship Id="rId27" Type="http://schemas.openxmlformats.org/officeDocument/2006/relationships/ctrlProp" Target="../ctrlProps/ctrlProp1008.xml"/><Relationship Id="rId30" Type="http://schemas.openxmlformats.org/officeDocument/2006/relationships/ctrlProp" Target="../ctrlProps/ctrlProp1011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16.xml"/><Relationship Id="rId13" Type="http://schemas.openxmlformats.org/officeDocument/2006/relationships/ctrlProp" Target="../ctrlProps/ctrlProp1021.xml"/><Relationship Id="rId18" Type="http://schemas.openxmlformats.org/officeDocument/2006/relationships/ctrlProp" Target="../ctrlProps/ctrlProp1026.xml"/><Relationship Id="rId26" Type="http://schemas.openxmlformats.org/officeDocument/2006/relationships/ctrlProp" Target="../ctrlProps/ctrlProp1034.xml"/><Relationship Id="rId3" Type="http://schemas.openxmlformats.org/officeDocument/2006/relationships/vmlDrawing" Target="../drawings/vmlDrawing59.vml"/><Relationship Id="rId21" Type="http://schemas.openxmlformats.org/officeDocument/2006/relationships/ctrlProp" Target="../ctrlProps/ctrlProp1029.xml"/><Relationship Id="rId7" Type="http://schemas.openxmlformats.org/officeDocument/2006/relationships/ctrlProp" Target="../ctrlProps/ctrlProp1015.xml"/><Relationship Id="rId12" Type="http://schemas.openxmlformats.org/officeDocument/2006/relationships/ctrlProp" Target="../ctrlProps/ctrlProp1020.xml"/><Relationship Id="rId17" Type="http://schemas.openxmlformats.org/officeDocument/2006/relationships/ctrlProp" Target="../ctrlProps/ctrlProp1025.xml"/><Relationship Id="rId25" Type="http://schemas.openxmlformats.org/officeDocument/2006/relationships/ctrlProp" Target="../ctrlProps/ctrlProp1033.xml"/><Relationship Id="rId2" Type="http://schemas.openxmlformats.org/officeDocument/2006/relationships/drawing" Target="../drawings/drawing108.xml"/><Relationship Id="rId16" Type="http://schemas.openxmlformats.org/officeDocument/2006/relationships/ctrlProp" Target="../ctrlProps/ctrlProp1024.xml"/><Relationship Id="rId20" Type="http://schemas.openxmlformats.org/officeDocument/2006/relationships/ctrlProp" Target="../ctrlProps/ctrlProp1028.xml"/><Relationship Id="rId29" Type="http://schemas.openxmlformats.org/officeDocument/2006/relationships/ctrlProp" Target="../ctrlProps/ctrlProp1037.xml"/><Relationship Id="rId1" Type="http://schemas.openxmlformats.org/officeDocument/2006/relationships/printerSettings" Target="../printerSettings/printerSettings108.bin"/><Relationship Id="rId6" Type="http://schemas.openxmlformats.org/officeDocument/2006/relationships/ctrlProp" Target="../ctrlProps/ctrlProp1014.xml"/><Relationship Id="rId11" Type="http://schemas.openxmlformats.org/officeDocument/2006/relationships/ctrlProp" Target="../ctrlProps/ctrlProp1019.xml"/><Relationship Id="rId24" Type="http://schemas.openxmlformats.org/officeDocument/2006/relationships/ctrlProp" Target="../ctrlProps/ctrlProp1032.xml"/><Relationship Id="rId32" Type="http://schemas.openxmlformats.org/officeDocument/2006/relationships/ctrlProp" Target="../ctrlProps/ctrlProp1040.xml"/><Relationship Id="rId5" Type="http://schemas.openxmlformats.org/officeDocument/2006/relationships/ctrlProp" Target="../ctrlProps/ctrlProp1013.xml"/><Relationship Id="rId15" Type="http://schemas.openxmlformats.org/officeDocument/2006/relationships/ctrlProp" Target="../ctrlProps/ctrlProp1023.xml"/><Relationship Id="rId23" Type="http://schemas.openxmlformats.org/officeDocument/2006/relationships/ctrlProp" Target="../ctrlProps/ctrlProp1031.xml"/><Relationship Id="rId28" Type="http://schemas.openxmlformats.org/officeDocument/2006/relationships/ctrlProp" Target="../ctrlProps/ctrlProp1036.xml"/><Relationship Id="rId10" Type="http://schemas.openxmlformats.org/officeDocument/2006/relationships/ctrlProp" Target="../ctrlProps/ctrlProp1018.xml"/><Relationship Id="rId19" Type="http://schemas.openxmlformats.org/officeDocument/2006/relationships/ctrlProp" Target="../ctrlProps/ctrlProp1027.xml"/><Relationship Id="rId31" Type="http://schemas.openxmlformats.org/officeDocument/2006/relationships/ctrlProp" Target="../ctrlProps/ctrlProp1039.xml"/><Relationship Id="rId4" Type="http://schemas.openxmlformats.org/officeDocument/2006/relationships/ctrlProp" Target="../ctrlProps/ctrlProp1012.xml"/><Relationship Id="rId9" Type="http://schemas.openxmlformats.org/officeDocument/2006/relationships/ctrlProp" Target="../ctrlProps/ctrlProp1017.xml"/><Relationship Id="rId14" Type="http://schemas.openxmlformats.org/officeDocument/2006/relationships/ctrlProp" Target="../ctrlProps/ctrlProp1022.xml"/><Relationship Id="rId22" Type="http://schemas.openxmlformats.org/officeDocument/2006/relationships/ctrlProp" Target="../ctrlProps/ctrlProp1030.xml"/><Relationship Id="rId27" Type="http://schemas.openxmlformats.org/officeDocument/2006/relationships/ctrlProp" Target="../ctrlProps/ctrlProp1035.xml"/><Relationship Id="rId30" Type="http://schemas.openxmlformats.org/officeDocument/2006/relationships/ctrlProp" Target="../ctrlProps/ctrlProp1038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5.xml"/><Relationship Id="rId13" Type="http://schemas.openxmlformats.org/officeDocument/2006/relationships/ctrlProp" Target="../ctrlProps/ctrlProp1050.xml"/><Relationship Id="rId18" Type="http://schemas.openxmlformats.org/officeDocument/2006/relationships/ctrlProp" Target="../ctrlProps/ctrlProp1055.xml"/><Relationship Id="rId26" Type="http://schemas.openxmlformats.org/officeDocument/2006/relationships/ctrlProp" Target="../ctrlProps/ctrlProp1063.xml"/><Relationship Id="rId3" Type="http://schemas.openxmlformats.org/officeDocument/2006/relationships/vmlDrawing" Target="../drawings/vmlDrawing60.vml"/><Relationship Id="rId21" Type="http://schemas.openxmlformats.org/officeDocument/2006/relationships/ctrlProp" Target="../ctrlProps/ctrlProp1058.xml"/><Relationship Id="rId7" Type="http://schemas.openxmlformats.org/officeDocument/2006/relationships/ctrlProp" Target="../ctrlProps/ctrlProp1044.xml"/><Relationship Id="rId12" Type="http://schemas.openxmlformats.org/officeDocument/2006/relationships/ctrlProp" Target="../ctrlProps/ctrlProp1049.xml"/><Relationship Id="rId17" Type="http://schemas.openxmlformats.org/officeDocument/2006/relationships/ctrlProp" Target="../ctrlProps/ctrlProp1054.xml"/><Relationship Id="rId25" Type="http://schemas.openxmlformats.org/officeDocument/2006/relationships/ctrlProp" Target="../ctrlProps/ctrlProp1062.xml"/><Relationship Id="rId33" Type="http://schemas.openxmlformats.org/officeDocument/2006/relationships/comments" Target="../comments45.xml"/><Relationship Id="rId2" Type="http://schemas.openxmlformats.org/officeDocument/2006/relationships/drawing" Target="../drawings/drawing110.xml"/><Relationship Id="rId16" Type="http://schemas.openxmlformats.org/officeDocument/2006/relationships/ctrlProp" Target="../ctrlProps/ctrlProp1053.xml"/><Relationship Id="rId20" Type="http://schemas.openxmlformats.org/officeDocument/2006/relationships/ctrlProp" Target="../ctrlProps/ctrlProp1057.xml"/><Relationship Id="rId29" Type="http://schemas.openxmlformats.org/officeDocument/2006/relationships/ctrlProp" Target="../ctrlProps/ctrlProp1066.xml"/><Relationship Id="rId1" Type="http://schemas.openxmlformats.org/officeDocument/2006/relationships/printerSettings" Target="../printerSettings/printerSettings110.bin"/><Relationship Id="rId6" Type="http://schemas.openxmlformats.org/officeDocument/2006/relationships/ctrlProp" Target="../ctrlProps/ctrlProp1043.xml"/><Relationship Id="rId11" Type="http://schemas.openxmlformats.org/officeDocument/2006/relationships/ctrlProp" Target="../ctrlProps/ctrlProp1048.xml"/><Relationship Id="rId24" Type="http://schemas.openxmlformats.org/officeDocument/2006/relationships/ctrlProp" Target="../ctrlProps/ctrlProp1061.xml"/><Relationship Id="rId32" Type="http://schemas.openxmlformats.org/officeDocument/2006/relationships/ctrlProp" Target="../ctrlProps/ctrlProp1069.xml"/><Relationship Id="rId5" Type="http://schemas.openxmlformats.org/officeDocument/2006/relationships/ctrlProp" Target="../ctrlProps/ctrlProp1042.xml"/><Relationship Id="rId15" Type="http://schemas.openxmlformats.org/officeDocument/2006/relationships/ctrlProp" Target="../ctrlProps/ctrlProp1052.xml"/><Relationship Id="rId23" Type="http://schemas.openxmlformats.org/officeDocument/2006/relationships/ctrlProp" Target="../ctrlProps/ctrlProp1060.xml"/><Relationship Id="rId28" Type="http://schemas.openxmlformats.org/officeDocument/2006/relationships/ctrlProp" Target="../ctrlProps/ctrlProp1065.xml"/><Relationship Id="rId10" Type="http://schemas.openxmlformats.org/officeDocument/2006/relationships/ctrlProp" Target="../ctrlProps/ctrlProp1047.xml"/><Relationship Id="rId19" Type="http://schemas.openxmlformats.org/officeDocument/2006/relationships/ctrlProp" Target="../ctrlProps/ctrlProp1056.xml"/><Relationship Id="rId31" Type="http://schemas.openxmlformats.org/officeDocument/2006/relationships/ctrlProp" Target="../ctrlProps/ctrlProp1068.xml"/><Relationship Id="rId4" Type="http://schemas.openxmlformats.org/officeDocument/2006/relationships/ctrlProp" Target="../ctrlProps/ctrlProp1041.xml"/><Relationship Id="rId9" Type="http://schemas.openxmlformats.org/officeDocument/2006/relationships/ctrlProp" Target="../ctrlProps/ctrlProp1046.xml"/><Relationship Id="rId14" Type="http://schemas.openxmlformats.org/officeDocument/2006/relationships/ctrlProp" Target="../ctrlProps/ctrlProp1051.xml"/><Relationship Id="rId22" Type="http://schemas.openxmlformats.org/officeDocument/2006/relationships/ctrlProp" Target="../ctrlProps/ctrlProp1059.xml"/><Relationship Id="rId27" Type="http://schemas.openxmlformats.org/officeDocument/2006/relationships/ctrlProp" Target="../ctrlProps/ctrlProp1064.xml"/><Relationship Id="rId30" Type="http://schemas.openxmlformats.org/officeDocument/2006/relationships/ctrlProp" Target="../ctrlProps/ctrlProp1067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74.xml"/><Relationship Id="rId13" Type="http://schemas.openxmlformats.org/officeDocument/2006/relationships/ctrlProp" Target="../ctrlProps/ctrlProp1079.xml"/><Relationship Id="rId18" Type="http://schemas.openxmlformats.org/officeDocument/2006/relationships/ctrlProp" Target="../ctrlProps/ctrlProp1084.xml"/><Relationship Id="rId26" Type="http://schemas.openxmlformats.org/officeDocument/2006/relationships/ctrlProp" Target="../ctrlProps/ctrlProp1092.xml"/><Relationship Id="rId3" Type="http://schemas.openxmlformats.org/officeDocument/2006/relationships/vmlDrawing" Target="../drawings/vmlDrawing61.vml"/><Relationship Id="rId21" Type="http://schemas.openxmlformats.org/officeDocument/2006/relationships/ctrlProp" Target="../ctrlProps/ctrlProp1087.xml"/><Relationship Id="rId7" Type="http://schemas.openxmlformats.org/officeDocument/2006/relationships/ctrlProp" Target="../ctrlProps/ctrlProp1073.xml"/><Relationship Id="rId12" Type="http://schemas.openxmlformats.org/officeDocument/2006/relationships/ctrlProp" Target="../ctrlProps/ctrlProp1078.xml"/><Relationship Id="rId17" Type="http://schemas.openxmlformats.org/officeDocument/2006/relationships/ctrlProp" Target="../ctrlProps/ctrlProp1083.xml"/><Relationship Id="rId25" Type="http://schemas.openxmlformats.org/officeDocument/2006/relationships/ctrlProp" Target="../ctrlProps/ctrlProp1091.xml"/><Relationship Id="rId2" Type="http://schemas.openxmlformats.org/officeDocument/2006/relationships/drawing" Target="../drawings/drawing112.xml"/><Relationship Id="rId16" Type="http://schemas.openxmlformats.org/officeDocument/2006/relationships/ctrlProp" Target="../ctrlProps/ctrlProp1082.xml"/><Relationship Id="rId20" Type="http://schemas.openxmlformats.org/officeDocument/2006/relationships/ctrlProp" Target="../ctrlProps/ctrlProp1086.xml"/><Relationship Id="rId29" Type="http://schemas.openxmlformats.org/officeDocument/2006/relationships/ctrlProp" Target="../ctrlProps/ctrlProp1095.xml"/><Relationship Id="rId1" Type="http://schemas.openxmlformats.org/officeDocument/2006/relationships/printerSettings" Target="../printerSettings/printerSettings112.bin"/><Relationship Id="rId6" Type="http://schemas.openxmlformats.org/officeDocument/2006/relationships/ctrlProp" Target="../ctrlProps/ctrlProp1072.xml"/><Relationship Id="rId11" Type="http://schemas.openxmlformats.org/officeDocument/2006/relationships/ctrlProp" Target="../ctrlProps/ctrlProp1077.xml"/><Relationship Id="rId24" Type="http://schemas.openxmlformats.org/officeDocument/2006/relationships/ctrlProp" Target="../ctrlProps/ctrlProp1090.xml"/><Relationship Id="rId5" Type="http://schemas.openxmlformats.org/officeDocument/2006/relationships/ctrlProp" Target="../ctrlProps/ctrlProp1071.xml"/><Relationship Id="rId15" Type="http://schemas.openxmlformats.org/officeDocument/2006/relationships/ctrlProp" Target="../ctrlProps/ctrlProp1081.xml"/><Relationship Id="rId23" Type="http://schemas.openxmlformats.org/officeDocument/2006/relationships/ctrlProp" Target="../ctrlProps/ctrlProp1089.xml"/><Relationship Id="rId28" Type="http://schemas.openxmlformats.org/officeDocument/2006/relationships/ctrlProp" Target="../ctrlProps/ctrlProp1094.xml"/><Relationship Id="rId10" Type="http://schemas.openxmlformats.org/officeDocument/2006/relationships/ctrlProp" Target="../ctrlProps/ctrlProp1076.xml"/><Relationship Id="rId19" Type="http://schemas.openxmlformats.org/officeDocument/2006/relationships/ctrlProp" Target="../ctrlProps/ctrlProp1085.xml"/><Relationship Id="rId4" Type="http://schemas.openxmlformats.org/officeDocument/2006/relationships/ctrlProp" Target="../ctrlProps/ctrlProp1070.xml"/><Relationship Id="rId9" Type="http://schemas.openxmlformats.org/officeDocument/2006/relationships/ctrlProp" Target="../ctrlProps/ctrlProp1075.xml"/><Relationship Id="rId14" Type="http://schemas.openxmlformats.org/officeDocument/2006/relationships/ctrlProp" Target="../ctrlProps/ctrlProp1080.xml"/><Relationship Id="rId22" Type="http://schemas.openxmlformats.org/officeDocument/2006/relationships/ctrlProp" Target="../ctrlProps/ctrlProp1088.xml"/><Relationship Id="rId27" Type="http://schemas.openxmlformats.org/officeDocument/2006/relationships/ctrlProp" Target="../ctrlProps/ctrlProp1093.xml"/><Relationship Id="rId30" Type="http://schemas.openxmlformats.org/officeDocument/2006/relationships/ctrlProp" Target="../ctrlProps/ctrlProp1096.xm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01.xml"/><Relationship Id="rId13" Type="http://schemas.openxmlformats.org/officeDocument/2006/relationships/ctrlProp" Target="../ctrlProps/ctrlProp1106.xml"/><Relationship Id="rId18" Type="http://schemas.openxmlformats.org/officeDocument/2006/relationships/ctrlProp" Target="../ctrlProps/ctrlProp1111.xml"/><Relationship Id="rId26" Type="http://schemas.openxmlformats.org/officeDocument/2006/relationships/ctrlProp" Target="../ctrlProps/ctrlProp1119.xml"/><Relationship Id="rId3" Type="http://schemas.openxmlformats.org/officeDocument/2006/relationships/vmlDrawing" Target="../drawings/vmlDrawing62.vml"/><Relationship Id="rId21" Type="http://schemas.openxmlformats.org/officeDocument/2006/relationships/ctrlProp" Target="../ctrlProps/ctrlProp1114.xml"/><Relationship Id="rId7" Type="http://schemas.openxmlformats.org/officeDocument/2006/relationships/ctrlProp" Target="../ctrlProps/ctrlProp1100.xml"/><Relationship Id="rId12" Type="http://schemas.openxmlformats.org/officeDocument/2006/relationships/ctrlProp" Target="../ctrlProps/ctrlProp1105.xml"/><Relationship Id="rId17" Type="http://schemas.openxmlformats.org/officeDocument/2006/relationships/ctrlProp" Target="../ctrlProps/ctrlProp1110.xml"/><Relationship Id="rId25" Type="http://schemas.openxmlformats.org/officeDocument/2006/relationships/ctrlProp" Target="../ctrlProps/ctrlProp1118.xml"/><Relationship Id="rId2" Type="http://schemas.openxmlformats.org/officeDocument/2006/relationships/drawing" Target="../drawings/drawing114.xml"/><Relationship Id="rId16" Type="http://schemas.openxmlformats.org/officeDocument/2006/relationships/ctrlProp" Target="../ctrlProps/ctrlProp1109.xml"/><Relationship Id="rId20" Type="http://schemas.openxmlformats.org/officeDocument/2006/relationships/ctrlProp" Target="../ctrlProps/ctrlProp1113.xml"/><Relationship Id="rId29" Type="http://schemas.openxmlformats.org/officeDocument/2006/relationships/ctrlProp" Target="../ctrlProps/ctrlProp1122.xml"/><Relationship Id="rId1" Type="http://schemas.openxmlformats.org/officeDocument/2006/relationships/printerSettings" Target="../printerSettings/printerSettings114.bin"/><Relationship Id="rId6" Type="http://schemas.openxmlformats.org/officeDocument/2006/relationships/ctrlProp" Target="../ctrlProps/ctrlProp1099.xml"/><Relationship Id="rId11" Type="http://schemas.openxmlformats.org/officeDocument/2006/relationships/ctrlProp" Target="../ctrlProps/ctrlProp1104.xml"/><Relationship Id="rId24" Type="http://schemas.openxmlformats.org/officeDocument/2006/relationships/ctrlProp" Target="../ctrlProps/ctrlProp1117.xml"/><Relationship Id="rId5" Type="http://schemas.openxmlformats.org/officeDocument/2006/relationships/ctrlProp" Target="../ctrlProps/ctrlProp1098.xml"/><Relationship Id="rId15" Type="http://schemas.openxmlformats.org/officeDocument/2006/relationships/ctrlProp" Target="../ctrlProps/ctrlProp1108.xml"/><Relationship Id="rId23" Type="http://schemas.openxmlformats.org/officeDocument/2006/relationships/ctrlProp" Target="../ctrlProps/ctrlProp1116.xml"/><Relationship Id="rId28" Type="http://schemas.openxmlformats.org/officeDocument/2006/relationships/ctrlProp" Target="../ctrlProps/ctrlProp1121.xml"/><Relationship Id="rId10" Type="http://schemas.openxmlformats.org/officeDocument/2006/relationships/ctrlProp" Target="../ctrlProps/ctrlProp1103.xml"/><Relationship Id="rId19" Type="http://schemas.openxmlformats.org/officeDocument/2006/relationships/ctrlProp" Target="../ctrlProps/ctrlProp1112.xml"/><Relationship Id="rId4" Type="http://schemas.openxmlformats.org/officeDocument/2006/relationships/ctrlProp" Target="../ctrlProps/ctrlProp1097.xml"/><Relationship Id="rId9" Type="http://schemas.openxmlformats.org/officeDocument/2006/relationships/ctrlProp" Target="../ctrlProps/ctrlProp1102.xml"/><Relationship Id="rId14" Type="http://schemas.openxmlformats.org/officeDocument/2006/relationships/ctrlProp" Target="../ctrlProps/ctrlProp1107.xml"/><Relationship Id="rId22" Type="http://schemas.openxmlformats.org/officeDocument/2006/relationships/ctrlProp" Target="../ctrlProps/ctrlProp1115.xml"/><Relationship Id="rId27" Type="http://schemas.openxmlformats.org/officeDocument/2006/relationships/ctrlProp" Target="../ctrlProps/ctrlProp1120.xml"/><Relationship Id="rId30" Type="http://schemas.openxmlformats.org/officeDocument/2006/relationships/ctrlProp" Target="../ctrlProps/ctrlProp1123.xm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28.xml"/><Relationship Id="rId13" Type="http://schemas.openxmlformats.org/officeDocument/2006/relationships/ctrlProp" Target="../ctrlProps/ctrlProp1133.xml"/><Relationship Id="rId18" Type="http://schemas.openxmlformats.org/officeDocument/2006/relationships/ctrlProp" Target="../ctrlProps/ctrlProp1138.xml"/><Relationship Id="rId26" Type="http://schemas.openxmlformats.org/officeDocument/2006/relationships/ctrlProp" Target="../ctrlProps/ctrlProp1146.xml"/><Relationship Id="rId3" Type="http://schemas.openxmlformats.org/officeDocument/2006/relationships/vmlDrawing" Target="../drawings/vmlDrawing63.vml"/><Relationship Id="rId21" Type="http://schemas.openxmlformats.org/officeDocument/2006/relationships/ctrlProp" Target="../ctrlProps/ctrlProp1141.xml"/><Relationship Id="rId34" Type="http://schemas.openxmlformats.org/officeDocument/2006/relationships/ctrlProp" Target="../ctrlProps/ctrlProp1154.xml"/><Relationship Id="rId7" Type="http://schemas.openxmlformats.org/officeDocument/2006/relationships/ctrlProp" Target="../ctrlProps/ctrlProp1127.xml"/><Relationship Id="rId12" Type="http://schemas.openxmlformats.org/officeDocument/2006/relationships/ctrlProp" Target="../ctrlProps/ctrlProp1132.xml"/><Relationship Id="rId17" Type="http://schemas.openxmlformats.org/officeDocument/2006/relationships/ctrlProp" Target="../ctrlProps/ctrlProp1137.xml"/><Relationship Id="rId25" Type="http://schemas.openxmlformats.org/officeDocument/2006/relationships/ctrlProp" Target="../ctrlProps/ctrlProp1145.xml"/><Relationship Id="rId33" Type="http://schemas.openxmlformats.org/officeDocument/2006/relationships/ctrlProp" Target="../ctrlProps/ctrlProp1153.xml"/><Relationship Id="rId2" Type="http://schemas.openxmlformats.org/officeDocument/2006/relationships/drawing" Target="../drawings/drawing116.xml"/><Relationship Id="rId16" Type="http://schemas.openxmlformats.org/officeDocument/2006/relationships/ctrlProp" Target="../ctrlProps/ctrlProp1136.xml"/><Relationship Id="rId20" Type="http://schemas.openxmlformats.org/officeDocument/2006/relationships/ctrlProp" Target="../ctrlProps/ctrlProp1140.xml"/><Relationship Id="rId29" Type="http://schemas.openxmlformats.org/officeDocument/2006/relationships/ctrlProp" Target="../ctrlProps/ctrlProp1149.xml"/><Relationship Id="rId1" Type="http://schemas.openxmlformats.org/officeDocument/2006/relationships/printerSettings" Target="../printerSettings/printerSettings116.bin"/><Relationship Id="rId6" Type="http://schemas.openxmlformats.org/officeDocument/2006/relationships/ctrlProp" Target="../ctrlProps/ctrlProp1126.xml"/><Relationship Id="rId11" Type="http://schemas.openxmlformats.org/officeDocument/2006/relationships/ctrlProp" Target="../ctrlProps/ctrlProp1131.xml"/><Relationship Id="rId24" Type="http://schemas.openxmlformats.org/officeDocument/2006/relationships/ctrlProp" Target="../ctrlProps/ctrlProp1144.xml"/><Relationship Id="rId32" Type="http://schemas.openxmlformats.org/officeDocument/2006/relationships/ctrlProp" Target="../ctrlProps/ctrlProp1152.xml"/><Relationship Id="rId5" Type="http://schemas.openxmlformats.org/officeDocument/2006/relationships/ctrlProp" Target="../ctrlProps/ctrlProp1125.xml"/><Relationship Id="rId15" Type="http://schemas.openxmlformats.org/officeDocument/2006/relationships/ctrlProp" Target="../ctrlProps/ctrlProp1135.xml"/><Relationship Id="rId23" Type="http://schemas.openxmlformats.org/officeDocument/2006/relationships/ctrlProp" Target="../ctrlProps/ctrlProp1143.xml"/><Relationship Id="rId28" Type="http://schemas.openxmlformats.org/officeDocument/2006/relationships/ctrlProp" Target="../ctrlProps/ctrlProp1148.xml"/><Relationship Id="rId10" Type="http://schemas.openxmlformats.org/officeDocument/2006/relationships/ctrlProp" Target="../ctrlProps/ctrlProp1130.xml"/><Relationship Id="rId19" Type="http://schemas.openxmlformats.org/officeDocument/2006/relationships/ctrlProp" Target="../ctrlProps/ctrlProp1139.xml"/><Relationship Id="rId31" Type="http://schemas.openxmlformats.org/officeDocument/2006/relationships/ctrlProp" Target="../ctrlProps/ctrlProp1151.xml"/><Relationship Id="rId4" Type="http://schemas.openxmlformats.org/officeDocument/2006/relationships/ctrlProp" Target="../ctrlProps/ctrlProp1124.xml"/><Relationship Id="rId9" Type="http://schemas.openxmlformats.org/officeDocument/2006/relationships/ctrlProp" Target="../ctrlProps/ctrlProp1129.xml"/><Relationship Id="rId14" Type="http://schemas.openxmlformats.org/officeDocument/2006/relationships/ctrlProp" Target="../ctrlProps/ctrlProp1134.xml"/><Relationship Id="rId22" Type="http://schemas.openxmlformats.org/officeDocument/2006/relationships/ctrlProp" Target="../ctrlProps/ctrlProp1142.xml"/><Relationship Id="rId27" Type="http://schemas.openxmlformats.org/officeDocument/2006/relationships/ctrlProp" Target="../ctrlProps/ctrlProp1147.xml"/><Relationship Id="rId30" Type="http://schemas.openxmlformats.org/officeDocument/2006/relationships/ctrlProp" Target="../ctrlProps/ctrlProp1150.xml"/><Relationship Id="rId35" Type="http://schemas.openxmlformats.org/officeDocument/2006/relationships/ctrlProp" Target="../ctrlProps/ctrlProp1155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0.xml"/><Relationship Id="rId13" Type="http://schemas.openxmlformats.org/officeDocument/2006/relationships/ctrlProp" Target="../ctrlProps/ctrlProp1165.xml"/><Relationship Id="rId18" Type="http://schemas.openxmlformats.org/officeDocument/2006/relationships/ctrlProp" Target="../ctrlProps/ctrlProp1170.xml"/><Relationship Id="rId26" Type="http://schemas.openxmlformats.org/officeDocument/2006/relationships/ctrlProp" Target="../ctrlProps/ctrlProp1178.xml"/><Relationship Id="rId3" Type="http://schemas.openxmlformats.org/officeDocument/2006/relationships/vmlDrawing" Target="../drawings/vmlDrawing64.vml"/><Relationship Id="rId21" Type="http://schemas.openxmlformats.org/officeDocument/2006/relationships/ctrlProp" Target="../ctrlProps/ctrlProp1173.xml"/><Relationship Id="rId7" Type="http://schemas.openxmlformats.org/officeDocument/2006/relationships/ctrlProp" Target="../ctrlProps/ctrlProp1159.xml"/><Relationship Id="rId12" Type="http://schemas.openxmlformats.org/officeDocument/2006/relationships/ctrlProp" Target="../ctrlProps/ctrlProp1164.xml"/><Relationship Id="rId17" Type="http://schemas.openxmlformats.org/officeDocument/2006/relationships/ctrlProp" Target="../ctrlProps/ctrlProp1169.xml"/><Relationship Id="rId25" Type="http://schemas.openxmlformats.org/officeDocument/2006/relationships/ctrlProp" Target="../ctrlProps/ctrlProp1177.xml"/><Relationship Id="rId2" Type="http://schemas.openxmlformats.org/officeDocument/2006/relationships/drawing" Target="../drawings/drawing118.xml"/><Relationship Id="rId16" Type="http://schemas.openxmlformats.org/officeDocument/2006/relationships/ctrlProp" Target="../ctrlProps/ctrlProp1168.xml"/><Relationship Id="rId20" Type="http://schemas.openxmlformats.org/officeDocument/2006/relationships/ctrlProp" Target="../ctrlProps/ctrlProp1172.xml"/><Relationship Id="rId29" Type="http://schemas.openxmlformats.org/officeDocument/2006/relationships/ctrlProp" Target="../ctrlProps/ctrlProp1181.xml"/><Relationship Id="rId1" Type="http://schemas.openxmlformats.org/officeDocument/2006/relationships/printerSettings" Target="../printerSettings/printerSettings118.bin"/><Relationship Id="rId6" Type="http://schemas.openxmlformats.org/officeDocument/2006/relationships/ctrlProp" Target="../ctrlProps/ctrlProp1158.xml"/><Relationship Id="rId11" Type="http://schemas.openxmlformats.org/officeDocument/2006/relationships/ctrlProp" Target="../ctrlProps/ctrlProp1163.xml"/><Relationship Id="rId24" Type="http://schemas.openxmlformats.org/officeDocument/2006/relationships/ctrlProp" Target="../ctrlProps/ctrlProp1176.xml"/><Relationship Id="rId5" Type="http://schemas.openxmlformats.org/officeDocument/2006/relationships/ctrlProp" Target="../ctrlProps/ctrlProp1157.xml"/><Relationship Id="rId15" Type="http://schemas.openxmlformats.org/officeDocument/2006/relationships/ctrlProp" Target="../ctrlProps/ctrlProp1167.xml"/><Relationship Id="rId23" Type="http://schemas.openxmlformats.org/officeDocument/2006/relationships/ctrlProp" Target="../ctrlProps/ctrlProp1175.xml"/><Relationship Id="rId28" Type="http://schemas.openxmlformats.org/officeDocument/2006/relationships/ctrlProp" Target="../ctrlProps/ctrlProp1180.xml"/><Relationship Id="rId10" Type="http://schemas.openxmlformats.org/officeDocument/2006/relationships/ctrlProp" Target="../ctrlProps/ctrlProp1162.xml"/><Relationship Id="rId19" Type="http://schemas.openxmlformats.org/officeDocument/2006/relationships/ctrlProp" Target="../ctrlProps/ctrlProp1171.xml"/><Relationship Id="rId4" Type="http://schemas.openxmlformats.org/officeDocument/2006/relationships/ctrlProp" Target="../ctrlProps/ctrlProp1156.xml"/><Relationship Id="rId9" Type="http://schemas.openxmlformats.org/officeDocument/2006/relationships/ctrlProp" Target="../ctrlProps/ctrlProp1161.xml"/><Relationship Id="rId14" Type="http://schemas.openxmlformats.org/officeDocument/2006/relationships/ctrlProp" Target="../ctrlProps/ctrlProp1166.xml"/><Relationship Id="rId22" Type="http://schemas.openxmlformats.org/officeDocument/2006/relationships/ctrlProp" Target="../ctrlProps/ctrlProp1174.xml"/><Relationship Id="rId27" Type="http://schemas.openxmlformats.org/officeDocument/2006/relationships/ctrlProp" Target="../ctrlProps/ctrlProp1179.xml"/><Relationship Id="rId30" Type="http://schemas.openxmlformats.org/officeDocument/2006/relationships/ctrlProp" Target="../ctrlProps/ctrlProp1182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87.xml"/><Relationship Id="rId13" Type="http://schemas.openxmlformats.org/officeDocument/2006/relationships/ctrlProp" Target="../ctrlProps/ctrlProp1192.xml"/><Relationship Id="rId18" Type="http://schemas.openxmlformats.org/officeDocument/2006/relationships/ctrlProp" Target="../ctrlProps/ctrlProp1197.xml"/><Relationship Id="rId26" Type="http://schemas.openxmlformats.org/officeDocument/2006/relationships/ctrlProp" Target="../ctrlProps/ctrlProp1205.xml"/><Relationship Id="rId3" Type="http://schemas.openxmlformats.org/officeDocument/2006/relationships/vmlDrawing" Target="../drawings/vmlDrawing65.vml"/><Relationship Id="rId21" Type="http://schemas.openxmlformats.org/officeDocument/2006/relationships/ctrlProp" Target="../ctrlProps/ctrlProp1200.xml"/><Relationship Id="rId7" Type="http://schemas.openxmlformats.org/officeDocument/2006/relationships/ctrlProp" Target="../ctrlProps/ctrlProp1186.xml"/><Relationship Id="rId12" Type="http://schemas.openxmlformats.org/officeDocument/2006/relationships/ctrlProp" Target="../ctrlProps/ctrlProp1191.xml"/><Relationship Id="rId17" Type="http://schemas.openxmlformats.org/officeDocument/2006/relationships/ctrlProp" Target="../ctrlProps/ctrlProp1196.xml"/><Relationship Id="rId25" Type="http://schemas.openxmlformats.org/officeDocument/2006/relationships/ctrlProp" Target="../ctrlProps/ctrlProp1204.xml"/><Relationship Id="rId33" Type="http://schemas.openxmlformats.org/officeDocument/2006/relationships/comments" Target="../comments46.xml"/><Relationship Id="rId2" Type="http://schemas.openxmlformats.org/officeDocument/2006/relationships/drawing" Target="../drawings/drawing120.xml"/><Relationship Id="rId16" Type="http://schemas.openxmlformats.org/officeDocument/2006/relationships/ctrlProp" Target="../ctrlProps/ctrlProp1195.xml"/><Relationship Id="rId20" Type="http://schemas.openxmlformats.org/officeDocument/2006/relationships/ctrlProp" Target="../ctrlProps/ctrlProp1199.xml"/><Relationship Id="rId29" Type="http://schemas.openxmlformats.org/officeDocument/2006/relationships/ctrlProp" Target="../ctrlProps/ctrlProp1208.xml"/><Relationship Id="rId1" Type="http://schemas.openxmlformats.org/officeDocument/2006/relationships/printerSettings" Target="../printerSettings/printerSettings120.bin"/><Relationship Id="rId6" Type="http://schemas.openxmlformats.org/officeDocument/2006/relationships/ctrlProp" Target="../ctrlProps/ctrlProp1185.xml"/><Relationship Id="rId11" Type="http://schemas.openxmlformats.org/officeDocument/2006/relationships/ctrlProp" Target="../ctrlProps/ctrlProp1190.xml"/><Relationship Id="rId24" Type="http://schemas.openxmlformats.org/officeDocument/2006/relationships/ctrlProp" Target="../ctrlProps/ctrlProp1203.xml"/><Relationship Id="rId32" Type="http://schemas.openxmlformats.org/officeDocument/2006/relationships/ctrlProp" Target="../ctrlProps/ctrlProp1211.xml"/><Relationship Id="rId5" Type="http://schemas.openxmlformats.org/officeDocument/2006/relationships/ctrlProp" Target="../ctrlProps/ctrlProp1184.xml"/><Relationship Id="rId15" Type="http://schemas.openxmlformats.org/officeDocument/2006/relationships/ctrlProp" Target="../ctrlProps/ctrlProp1194.xml"/><Relationship Id="rId23" Type="http://schemas.openxmlformats.org/officeDocument/2006/relationships/ctrlProp" Target="../ctrlProps/ctrlProp1202.xml"/><Relationship Id="rId28" Type="http://schemas.openxmlformats.org/officeDocument/2006/relationships/ctrlProp" Target="../ctrlProps/ctrlProp1207.xml"/><Relationship Id="rId10" Type="http://schemas.openxmlformats.org/officeDocument/2006/relationships/ctrlProp" Target="../ctrlProps/ctrlProp1189.xml"/><Relationship Id="rId19" Type="http://schemas.openxmlformats.org/officeDocument/2006/relationships/ctrlProp" Target="../ctrlProps/ctrlProp1198.xml"/><Relationship Id="rId31" Type="http://schemas.openxmlformats.org/officeDocument/2006/relationships/ctrlProp" Target="../ctrlProps/ctrlProp1210.xml"/><Relationship Id="rId4" Type="http://schemas.openxmlformats.org/officeDocument/2006/relationships/ctrlProp" Target="../ctrlProps/ctrlProp1183.xml"/><Relationship Id="rId9" Type="http://schemas.openxmlformats.org/officeDocument/2006/relationships/ctrlProp" Target="../ctrlProps/ctrlProp1188.xml"/><Relationship Id="rId14" Type="http://schemas.openxmlformats.org/officeDocument/2006/relationships/ctrlProp" Target="../ctrlProps/ctrlProp1193.xml"/><Relationship Id="rId22" Type="http://schemas.openxmlformats.org/officeDocument/2006/relationships/ctrlProp" Target="../ctrlProps/ctrlProp1201.xml"/><Relationship Id="rId27" Type="http://schemas.openxmlformats.org/officeDocument/2006/relationships/ctrlProp" Target="../ctrlProps/ctrlProp1206.xml"/><Relationship Id="rId30" Type="http://schemas.openxmlformats.org/officeDocument/2006/relationships/ctrlProp" Target="../ctrlProps/ctrlProp1209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16.xml"/><Relationship Id="rId13" Type="http://schemas.openxmlformats.org/officeDocument/2006/relationships/ctrlProp" Target="../ctrlProps/ctrlProp1221.xml"/><Relationship Id="rId18" Type="http://schemas.openxmlformats.org/officeDocument/2006/relationships/ctrlProp" Target="../ctrlProps/ctrlProp1226.xml"/><Relationship Id="rId26" Type="http://schemas.openxmlformats.org/officeDocument/2006/relationships/ctrlProp" Target="../ctrlProps/ctrlProp1234.xml"/><Relationship Id="rId3" Type="http://schemas.openxmlformats.org/officeDocument/2006/relationships/vmlDrawing" Target="../drawings/vmlDrawing66.vml"/><Relationship Id="rId21" Type="http://schemas.openxmlformats.org/officeDocument/2006/relationships/ctrlProp" Target="../ctrlProps/ctrlProp1229.xml"/><Relationship Id="rId7" Type="http://schemas.openxmlformats.org/officeDocument/2006/relationships/ctrlProp" Target="../ctrlProps/ctrlProp1215.xml"/><Relationship Id="rId12" Type="http://schemas.openxmlformats.org/officeDocument/2006/relationships/ctrlProp" Target="../ctrlProps/ctrlProp1220.xml"/><Relationship Id="rId17" Type="http://schemas.openxmlformats.org/officeDocument/2006/relationships/ctrlProp" Target="../ctrlProps/ctrlProp1225.xml"/><Relationship Id="rId25" Type="http://schemas.openxmlformats.org/officeDocument/2006/relationships/ctrlProp" Target="../ctrlProps/ctrlProp1233.xml"/><Relationship Id="rId33" Type="http://schemas.openxmlformats.org/officeDocument/2006/relationships/comments" Target="../comments47.xml"/><Relationship Id="rId2" Type="http://schemas.openxmlformats.org/officeDocument/2006/relationships/drawing" Target="../drawings/drawing122.xml"/><Relationship Id="rId16" Type="http://schemas.openxmlformats.org/officeDocument/2006/relationships/ctrlProp" Target="../ctrlProps/ctrlProp1224.xml"/><Relationship Id="rId20" Type="http://schemas.openxmlformats.org/officeDocument/2006/relationships/ctrlProp" Target="../ctrlProps/ctrlProp1228.xml"/><Relationship Id="rId29" Type="http://schemas.openxmlformats.org/officeDocument/2006/relationships/ctrlProp" Target="../ctrlProps/ctrlProp1237.xml"/><Relationship Id="rId1" Type="http://schemas.openxmlformats.org/officeDocument/2006/relationships/printerSettings" Target="../printerSettings/printerSettings122.bin"/><Relationship Id="rId6" Type="http://schemas.openxmlformats.org/officeDocument/2006/relationships/ctrlProp" Target="../ctrlProps/ctrlProp1214.xml"/><Relationship Id="rId11" Type="http://schemas.openxmlformats.org/officeDocument/2006/relationships/ctrlProp" Target="../ctrlProps/ctrlProp1219.xml"/><Relationship Id="rId24" Type="http://schemas.openxmlformats.org/officeDocument/2006/relationships/ctrlProp" Target="../ctrlProps/ctrlProp1232.xml"/><Relationship Id="rId32" Type="http://schemas.openxmlformats.org/officeDocument/2006/relationships/ctrlProp" Target="../ctrlProps/ctrlProp1240.xml"/><Relationship Id="rId5" Type="http://schemas.openxmlformats.org/officeDocument/2006/relationships/ctrlProp" Target="../ctrlProps/ctrlProp1213.xml"/><Relationship Id="rId15" Type="http://schemas.openxmlformats.org/officeDocument/2006/relationships/ctrlProp" Target="../ctrlProps/ctrlProp1223.xml"/><Relationship Id="rId23" Type="http://schemas.openxmlformats.org/officeDocument/2006/relationships/ctrlProp" Target="../ctrlProps/ctrlProp1231.xml"/><Relationship Id="rId28" Type="http://schemas.openxmlformats.org/officeDocument/2006/relationships/ctrlProp" Target="../ctrlProps/ctrlProp1236.xml"/><Relationship Id="rId10" Type="http://schemas.openxmlformats.org/officeDocument/2006/relationships/ctrlProp" Target="../ctrlProps/ctrlProp1218.xml"/><Relationship Id="rId19" Type="http://schemas.openxmlformats.org/officeDocument/2006/relationships/ctrlProp" Target="../ctrlProps/ctrlProp1227.xml"/><Relationship Id="rId31" Type="http://schemas.openxmlformats.org/officeDocument/2006/relationships/ctrlProp" Target="../ctrlProps/ctrlProp1239.xml"/><Relationship Id="rId4" Type="http://schemas.openxmlformats.org/officeDocument/2006/relationships/ctrlProp" Target="../ctrlProps/ctrlProp1212.xml"/><Relationship Id="rId9" Type="http://schemas.openxmlformats.org/officeDocument/2006/relationships/ctrlProp" Target="../ctrlProps/ctrlProp1217.xml"/><Relationship Id="rId14" Type="http://schemas.openxmlformats.org/officeDocument/2006/relationships/ctrlProp" Target="../ctrlProps/ctrlProp1222.xml"/><Relationship Id="rId22" Type="http://schemas.openxmlformats.org/officeDocument/2006/relationships/ctrlProp" Target="../ctrlProps/ctrlProp1230.xml"/><Relationship Id="rId27" Type="http://schemas.openxmlformats.org/officeDocument/2006/relationships/ctrlProp" Target="../ctrlProps/ctrlProp1235.xml"/><Relationship Id="rId30" Type="http://schemas.openxmlformats.org/officeDocument/2006/relationships/ctrlProp" Target="../ctrlProps/ctrlProp1238.xm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5.xml"/><Relationship Id="rId13" Type="http://schemas.openxmlformats.org/officeDocument/2006/relationships/ctrlProp" Target="../ctrlProps/ctrlProp1250.xml"/><Relationship Id="rId18" Type="http://schemas.openxmlformats.org/officeDocument/2006/relationships/ctrlProp" Target="../ctrlProps/ctrlProp1255.xml"/><Relationship Id="rId26" Type="http://schemas.openxmlformats.org/officeDocument/2006/relationships/ctrlProp" Target="../ctrlProps/ctrlProp1263.xml"/><Relationship Id="rId3" Type="http://schemas.openxmlformats.org/officeDocument/2006/relationships/vmlDrawing" Target="../drawings/vmlDrawing67.vml"/><Relationship Id="rId21" Type="http://schemas.openxmlformats.org/officeDocument/2006/relationships/ctrlProp" Target="../ctrlProps/ctrlProp1258.xml"/><Relationship Id="rId7" Type="http://schemas.openxmlformats.org/officeDocument/2006/relationships/ctrlProp" Target="../ctrlProps/ctrlProp1244.xml"/><Relationship Id="rId12" Type="http://schemas.openxmlformats.org/officeDocument/2006/relationships/ctrlProp" Target="../ctrlProps/ctrlProp1249.xml"/><Relationship Id="rId17" Type="http://schemas.openxmlformats.org/officeDocument/2006/relationships/ctrlProp" Target="../ctrlProps/ctrlProp1254.xml"/><Relationship Id="rId25" Type="http://schemas.openxmlformats.org/officeDocument/2006/relationships/ctrlProp" Target="../ctrlProps/ctrlProp1262.xml"/><Relationship Id="rId2" Type="http://schemas.openxmlformats.org/officeDocument/2006/relationships/drawing" Target="../drawings/drawing124.xml"/><Relationship Id="rId16" Type="http://schemas.openxmlformats.org/officeDocument/2006/relationships/ctrlProp" Target="../ctrlProps/ctrlProp1253.xml"/><Relationship Id="rId20" Type="http://schemas.openxmlformats.org/officeDocument/2006/relationships/ctrlProp" Target="../ctrlProps/ctrlProp1257.xml"/><Relationship Id="rId29" Type="http://schemas.openxmlformats.org/officeDocument/2006/relationships/ctrlProp" Target="../ctrlProps/ctrlProp1266.xml"/><Relationship Id="rId1" Type="http://schemas.openxmlformats.org/officeDocument/2006/relationships/printerSettings" Target="../printerSettings/printerSettings124.bin"/><Relationship Id="rId6" Type="http://schemas.openxmlformats.org/officeDocument/2006/relationships/ctrlProp" Target="../ctrlProps/ctrlProp1243.xml"/><Relationship Id="rId11" Type="http://schemas.openxmlformats.org/officeDocument/2006/relationships/ctrlProp" Target="../ctrlProps/ctrlProp1248.xml"/><Relationship Id="rId24" Type="http://schemas.openxmlformats.org/officeDocument/2006/relationships/ctrlProp" Target="../ctrlProps/ctrlProp1261.xml"/><Relationship Id="rId5" Type="http://schemas.openxmlformats.org/officeDocument/2006/relationships/ctrlProp" Target="../ctrlProps/ctrlProp1242.xml"/><Relationship Id="rId15" Type="http://schemas.openxmlformats.org/officeDocument/2006/relationships/ctrlProp" Target="../ctrlProps/ctrlProp1252.xml"/><Relationship Id="rId23" Type="http://schemas.openxmlformats.org/officeDocument/2006/relationships/ctrlProp" Target="../ctrlProps/ctrlProp1260.xml"/><Relationship Id="rId28" Type="http://schemas.openxmlformats.org/officeDocument/2006/relationships/ctrlProp" Target="../ctrlProps/ctrlProp1265.xml"/><Relationship Id="rId10" Type="http://schemas.openxmlformats.org/officeDocument/2006/relationships/ctrlProp" Target="../ctrlProps/ctrlProp1247.xml"/><Relationship Id="rId19" Type="http://schemas.openxmlformats.org/officeDocument/2006/relationships/ctrlProp" Target="../ctrlProps/ctrlProp1256.xml"/><Relationship Id="rId31" Type="http://schemas.openxmlformats.org/officeDocument/2006/relationships/comments" Target="../comments48.xml"/><Relationship Id="rId4" Type="http://schemas.openxmlformats.org/officeDocument/2006/relationships/ctrlProp" Target="../ctrlProps/ctrlProp1241.xml"/><Relationship Id="rId9" Type="http://schemas.openxmlformats.org/officeDocument/2006/relationships/ctrlProp" Target="../ctrlProps/ctrlProp1246.xml"/><Relationship Id="rId14" Type="http://schemas.openxmlformats.org/officeDocument/2006/relationships/ctrlProp" Target="../ctrlProps/ctrlProp1251.xml"/><Relationship Id="rId22" Type="http://schemas.openxmlformats.org/officeDocument/2006/relationships/ctrlProp" Target="../ctrlProps/ctrlProp1259.xml"/><Relationship Id="rId27" Type="http://schemas.openxmlformats.org/officeDocument/2006/relationships/ctrlProp" Target="../ctrlProps/ctrlProp1264.xml"/><Relationship Id="rId30" Type="http://schemas.openxmlformats.org/officeDocument/2006/relationships/ctrlProp" Target="../ctrlProps/ctrlProp1267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72.xml"/><Relationship Id="rId13" Type="http://schemas.openxmlformats.org/officeDocument/2006/relationships/ctrlProp" Target="../ctrlProps/ctrlProp1277.xml"/><Relationship Id="rId18" Type="http://schemas.openxmlformats.org/officeDocument/2006/relationships/ctrlProp" Target="../ctrlProps/ctrlProp1282.xml"/><Relationship Id="rId26" Type="http://schemas.openxmlformats.org/officeDocument/2006/relationships/ctrlProp" Target="../ctrlProps/ctrlProp1290.xml"/><Relationship Id="rId3" Type="http://schemas.openxmlformats.org/officeDocument/2006/relationships/vmlDrawing" Target="../drawings/vmlDrawing68.vml"/><Relationship Id="rId21" Type="http://schemas.openxmlformats.org/officeDocument/2006/relationships/ctrlProp" Target="../ctrlProps/ctrlProp1285.xml"/><Relationship Id="rId7" Type="http://schemas.openxmlformats.org/officeDocument/2006/relationships/ctrlProp" Target="../ctrlProps/ctrlProp1271.xml"/><Relationship Id="rId12" Type="http://schemas.openxmlformats.org/officeDocument/2006/relationships/ctrlProp" Target="../ctrlProps/ctrlProp1276.xml"/><Relationship Id="rId17" Type="http://schemas.openxmlformats.org/officeDocument/2006/relationships/ctrlProp" Target="../ctrlProps/ctrlProp1281.xml"/><Relationship Id="rId25" Type="http://schemas.openxmlformats.org/officeDocument/2006/relationships/ctrlProp" Target="../ctrlProps/ctrlProp1289.xml"/><Relationship Id="rId2" Type="http://schemas.openxmlformats.org/officeDocument/2006/relationships/drawing" Target="../drawings/drawing126.xml"/><Relationship Id="rId16" Type="http://schemas.openxmlformats.org/officeDocument/2006/relationships/ctrlProp" Target="../ctrlProps/ctrlProp1280.xml"/><Relationship Id="rId20" Type="http://schemas.openxmlformats.org/officeDocument/2006/relationships/ctrlProp" Target="../ctrlProps/ctrlProp1284.xml"/><Relationship Id="rId29" Type="http://schemas.openxmlformats.org/officeDocument/2006/relationships/ctrlProp" Target="../ctrlProps/ctrlProp1293.xml"/><Relationship Id="rId1" Type="http://schemas.openxmlformats.org/officeDocument/2006/relationships/printerSettings" Target="../printerSettings/printerSettings126.bin"/><Relationship Id="rId6" Type="http://schemas.openxmlformats.org/officeDocument/2006/relationships/ctrlProp" Target="../ctrlProps/ctrlProp1270.xml"/><Relationship Id="rId11" Type="http://schemas.openxmlformats.org/officeDocument/2006/relationships/ctrlProp" Target="../ctrlProps/ctrlProp1275.xml"/><Relationship Id="rId24" Type="http://schemas.openxmlformats.org/officeDocument/2006/relationships/ctrlProp" Target="../ctrlProps/ctrlProp1288.xml"/><Relationship Id="rId32" Type="http://schemas.openxmlformats.org/officeDocument/2006/relationships/comments" Target="../comments49.xml"/><Relationship Id="rId5" Type="http://schemas.openxmlformats.org/officeDocument/2006/relationships/ctrlProp" Target="../ctrlProps/ctrlProp1269.xml"/><Relationship Id="rId15" Type="http://schemas.openxmlformats.org/officeDocument/2006/relationships/ctrlProp" Target="../ctrlProps/ctrlProp1279.xml"/><Relationship Id="rId23" Type="http://schemas.openxmlformats.org/officeDocument/2006/relationships/ctrlProp" Target="../ctrlProps/ctrlProp1287.xml"/><Relationship Id="rId28" Type="http://schemas.openxmlformats.org/officeDocument/2006/relationships/ctrlProp" Target="../ctrlProps/ctrlProp1292.xml"/><Relationship Id="rId10" Type="http://schemas.openxmlformats.org/officeDocument/2006/relationships/ctrlProp" Target="../ctrlProps/ctrlProp1274.xml"/><Relationship Id="rId19" Type="http://schemas.openxmlformats.org/officeDocument/2006/relationships/ctrlProp" Target="../ctrlProps/ctrlProp1283.xml"/><Relationship Id="rId31" Type="http://schemas.openxmlformats.org/officeDocument/2006/relationships/ctrlProp" Target="../ctrlProps/ctrlProp1295.xml"/><Relationship Id="rId4" Type="http://schemas.openxmlformats.org/officeDocument/2006/relationships/ctrlProp" Target="../ctrlProps/ctrlProp1268.xml"/><Relationship Id="rId9" Type="http://schemas.openxmlformats.org/officeDocument/2006/relationships/ctrlProp" Target="../ctrlProps/ctrlProp1273.xml"/><Relationship Id="rId14" Type="http://schemas.openxmlformats.org/officeDocument/2006/relationships/ctrlProp" Target="../ctrlProps/ctrlProp1278.xml"/><Relationship Id="rId22" Type="http://schemas.openxmlformats.org/officeDocument/2006/relationships/ctrlProp" Target="../ctrlProps/ctrlProp1286.xml"/><Relationship Id="rId27" Type="http://schemas.openxmlformats.org/officeDocument/2006/relationships/ctrlProp" Target="../ctrlProps/ctrlProp1291.xml"/><Relationship Id="rId30" Type="http://schemas.openxmlformats.org/officeDocument/2006/relationships/ctrlProp" Target="../ctrlProps/ctrlProp1294.xm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00.xml"/><Relationship Id="rId13" Type="http://schemas.openxmlformats.org/officeDocument/2006/relationships/ctrlProp" Target="../ctrlProps/ctrlProp1305.xml"/><Relationship Id="rId18" Type="http://schemas.openxmlformats.org/officeDocument/2006/relationships/ctrlProp" Target="../ctrlProps/ctrlProp1310.xml"/><Relationship Id="rId26" Type="http://schemas.openxmlformats.org/officeDocument/2006/relationships/ctrlProp" Target="../ctrlProps/ctrlProp1318.xml"/><Relationship Id="rId3" Type="http://schemas.openxmlformats.org/officeDocument/2006/relationships/vmlDrawing" Target="../drawings/vmlDrawing69.vml"/><Relationship Id="rId21" Type="http://schemas.openxmlformats.org/officeDocument/2006/relationships/ctrlProp" Target="../ctrlProps/ctrlProp1313.xml"/><Relationship Id="rId7" Type="http://schemas.openxmlformats.org/officeDocument/2006/relationships/ctrlProp" Target="../ctrlProps/ctrlProp1299.xml"/><Relationship Id="rId12" Type="http://schemas.openxmlformats.org/officeDocument/2006/relationships/ctrlProp" Target="../ctrlProps/ctrlProp1304.xml"/><Relationship Id="rId17" Type="http://schemas.openxmlformats.org/officeDocument/2006/relationships/ctrlProp" Target="../ctrlProps/ctrlProp1309.xml"/><Relationship Id="rId25" Type="http://schemas.openxmlformats.org/officeDocument/2006/relationships/ctrlProp" Target="../ctrlProps/ctrlProp1317.xml"/><Relationship Id="rId2" Type="http://schemas.openxmlformats.org/officeDocument/2006/relationships/drawing" Target="../drawings/drawing128.xml"/><Relationship Id="rId16" Type="http://schemas.openxmlformats.org/officeDocument/2006/relationships/ctrlProp" Target="../ctrlProps/ctrlProp1308.xml"/><Relationship Id="rId20" Type="http://schemas.openxmlformats.org/officeDocument/2006/relationships/ctrlProp" Target="../ctrlProps/ctrlProp1312.xml"/><Relationship Id="rId29" Type="http://schemas.openxmlformats.org/officeDocument/2006/relationships/ctrlProp" Target="../ctrlProps/ctrlProp1321.xml"/><Relationship Id="rId1" Type="http://schemas.openxmlformats.org/officeDocument/2006/relationships/printerSettings" Target="../printerSettings/printerSettings128.bin"/><Relationship Id="rId6" Type="http://schemas.openxmlformats.org/officeDocument/2006/relationships/ctrlProp" Target="../ctrlProps/ctrlProp1298.xml"/><Relationship Id="rId11" Type="http://schemas.openxmlformats.org/officeDocument/2006/relationships/ctrlProp" Target="../ctrlProps/ctrlProp1303.xml"/><Relationship Id="rId24" Type="http://schemas.openxmlformats.org/officeDocument/2006/relationships/ctrlProp" Target="../ctrlProps/ctrlProp1316.xml"/><Relationship Id="rId5" Type="http://schemas.openxmlformats.org/officeDocument/2006/relationships/ctrlProp" Target="../ctrlProps/ctrlProp1297.xml"/><Relationship Id="rId15" Type="http://schemas.openxmlformats.org/officeDocument/2006/relationships/ctrlProp" Target="../ctrlProps/ctrlProp1307.xml"/><Relationship Id="rId23" Type="http://schemas.openxmlformats.org/officeDocument/2006/relationships/ctrlProp" Target="../ctrlProps/ctrlProp1315.xml"/><Relationship Id="rId28" Type="http://schemas.openxmlformats.org/officeDocument/2006/relationships/ctrlProp" Target="../ctrlProps/ctrlProp1320.xml"/><Relationship Id="rId10" Type="http://schemas.openxmlformats.org/officeDocument/2006/relationships/ctrlProp" Target="../ctrlProps/ctrlProp1302.xml"/><Relationship Id="rId19" Type="http://schemas.openxmlformats.org/officeDocument/2006/relationships/ctrlProp" Target="../ctrlProps/ctrlProp1311.xml"/><Relationship Id="rId31" Type="http://schemas.openxmlformats.org/officeDocument/2006/relationships/comments" Target="../comments50.xml"/><Relationship Id="rId4" Type="http://schemas.openxmlformats.org/officeDocument/2006/relationships/ctrlProp" Target="../ctrlProps/ctrlProp1296.xml"/><Relationship Id="rId9" Type="http://schemas.openxmlformats.org/officeDocument/2006/relationships/ctrlProp" Target="../ctrlProps/ctrlProp1301.xml"/><Relationship Id="rId14" Type="http://schemas.openxmlformats.org/officeDocument/2006/relationships/ctrlProp" Target="../ctrlProps/ctrlProp1306.xml"/><Relationship Id="rId22" Type="http://schemas.openxmlformats.org/officeDocument/2006/relationships/ctrlProp" Target="../ctrlProps/ctrlProp1314.xml"/><Relationship Id="rId27" Type="http://schemas.openxmlformats.org/officeDocument/2006/relationships/ctrlProp" Target="../ctrlProps/ctrlProp1319.xml"/><Relationship Id="rId30" Type="http://schemas.openxmlformats.org/officeDocument/2006/relationships/ctrlProp" Target="../ctrlProps/ctrlProp1322.xm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7.xml"/><Relationship Id="rId13" Type="http://schemas.openxmlformats.org/officeDocument/2006/relationships/ctrlProp" Target="../ctrlProps/ctrlProp1332.xml"/><Relationship Id="rId18" Type="http://schemas.openxmlformats.org/officeDocument/2006/relationships/ctrlProp" Target="../ctrlProps/ctrlProp1337.xml"/><Relationship Id="rId26" Type="http://schemas.openxmlformats.org/officeDocument/2006/relationships/ctrlProp" Target="../ctrlProps/ctrlProp1345.xml"/><Relationship Id="rId3" Type="http://schemas.openxmlformats.org/officeDocument/2006/relationships/vmlDrawing" Target="../drawings/vmlDrawing70.vml"/><Relationship Id="rId21" Type="http://schemas.openxmlformats.org/officeDocument/2006/relationships/ctrlProp" Target="../ctrlProps/ctrlProp1340.xml"/><Relationship Id="rId7" Type="http://schemas.openxmlformats.org/officeDocument/2006/relationships/ctrlProp" Target="../ctrlProps/ctrlProp1326.xml"/><Relationship Id="rId12" Type="http://schemas.openxmlformats.org/officeDocument/2006/relationships/ctrlProp" Target="../ctrlProps/ctrlProp1331.xml"/><Relationship Id="rId17" Type="http://schemas.openxmlformats.org/officeDocument/2006/relationships/ctrlProp" Target="../ctrlProps/ctrlProp1336.xml"/><Relationship Id="rId25" Type="http://schemas.openxmlformats.org/officeDocument/2006/relationships/ctrlProp" Target="../ctrlProps/ctrlProp1344.xml"/><Relationship Id="rId2" Type="http://schemas.openxmlformats.org/officeDocument/2006/relationships/drawing" Target="../drawings/drawing130.xml"/><Relationship Id="rId16" Type="http://schemas.openxmlformats.org/officeDocument/2006/relationships/ctrlProp" Target="../ctrlProps/ctrlProp1335.xml"/><Relationship Id="rId20" Type="http://schemas.openxmlformats.org/officeDocument/2006/relationships/ctrlProp" Target="../ctrlProps/ctrlProp1339.xml"/><Relationship Id="rId29" Type="http://schemas.openxmlformats.org/officeDocument/2006/relationships/ctrlProp" Target="../ctrlProps/ctrlProp1348.xml"/><Relationship Id="rId1" Type="http://schemas.openxmlformats.org/officeDocument/2006/relationships/printerSettings" Target="../printerSettings/printerSettings130.bin"/><Relationship Id="rId6" Type="http://schemas.openxmlformats.org/officeDocument/2006/relationships/ctrlProp" Target="../ctrlProps/ctrlProp1325.xml"/><Relationship Id="rId11" Type="http://schemas.openxmlformats.org/officeDocument/2006/relationships/ctrlProp" Target="../ctrlProps/ctrlProp1330.xml"/><Relationship Id="rId24" Type="http://schemas.openxmlformats.org/officeDocument/2006/relationships/ctrlProp" Target="../ctrlProps/ctrlProp1343.xml"/><Relationship Id="rId5" Type="http://schemas.openxmlformats.org/officeDocument/2006/relationships/ctrlProp" Target="../ctrlProps/ctrlProp1324.xml"/><Relationship Id="rId15" Type="http://schemas.openxmlformats.org/officeDocument/2006/relationships/ctrlProp" Target="../ctrlProps/ctrlProp1334.xml"/><Relationship Id="rId23" Type="http://schemas.openxmlformats.org/officeDocument/2006/relationships/ctrlProp" Target="../ctrlProps/ctrlProp1342.xml"/><Relationship Id="rId28" Type="http://schemas.openxmlformats.org/officeDocument/2006/relationships/ctrlProp" Target="../ctrlProps/ctrlProp1347.xml"/><Relationship Id="rId10" Type="http://schemas.openxmlformats.org/officeDocument/2006/relationships/ctrlProp" Target="../ctrlProps/ctrlProp1329.xml"/><Relationship Id="rId19" Type="http://schemas.openxmlformats.org/officeDocument/2006/relationships/ctrlProp" Target="../ctrlProps/ctrlProp1338.xml"/><Relationship Id="rId31" Type="http://schemas.openxmlformats.org/officeDocument/2006/relationships/comments" Target="../comments51.xml"/><Relationship Id="rId4" Type="http://schemas.openxmlformats.org/officeDocument/2006/relationships/ctrlProp" Target="../ctrlProps/ctrlProp1323.xml"/><Relationship Id="rId9" Type="http://schemas.openxmlformats.org/officeDocument/2006/relationships/ctrlProp" Target="../ctrlProps/ctrlProp1328.xml"/><Relationship Id="rId14" Type="http://schemas.openxmlformats.org/officeDocument/2006/relationships/ctrlProp" Target="../ctrlProps/ctrlProp1333.xml"/><Relationship Id="rId22" Type="http://schemas.openxmlformats.org/officeDocument/2006/relationships/ctrlProp" Target="../ctrlProps/ctrlProp1341.xml"/><Relationship Id="rId27" Type="http://schemas.openxmlformats.org/officeDocument/2006/relationships/ctrlProp" Target="../ctrlProps/ctrlProp1346.xml"/><Relationship Id="rId30" Type="http://schemas.openxmlformats.org/officeDocument/2006/relationships/ctrlProp" Target="../ctrlProps/ctrlProp1349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54.xml"/><Relationship Id="rId13" Type="http://schemas.openxmlformats.org/officeDocument/2006/relationships/ctrlProp" Target="../ctrlProps/ctrlProp1359.xml"/><Relationship Id="rId18" Type="http://schemas.openxmlformats.org/officeDocument/2006/relationships/ctrlProp" Target="../ctrlProps/ctrlProp1364.xml"/><Relationship Id="rId26" Type="http://schemas.openxmlformats.org/officeDocument/2006/relationships/ctrlProp" Target="../ctrlProps/ctrlProp1372.xml"/><Relationship Id="rId3" Type="http://schemas.openxmlformats.org/officeDocument/2006/relationships/vmlDrawing" Target="../drawings/vmlDrawing71.vml"/><Relationship Id="rId21" Type="http://schemas.openxmlformats.org/officeDocument/2006/relationships/ctrlProp" Target="../ctrlProps/ctrlProp1367.xml"/><Relationship Id="rId7" Type="http://schemas.openxmlformats.org/officeDocument/2006/relationships/ctrlProp" Target="../ctrlProps/ctrlProp1353.xml"/><Relationship Id="rId12" Type="http://schemas.openxmlformats.org/officeDocument/2006/relationships/ctrlProp" Target="../ctrlProps/ctrlProp1358.xml"/><Relationship Id="rId17" Type="http://schemas.openxmlformats.org/officeDocument/2006/relationships/ctrlProp" Target="../ctrlProps/ctrlProp1363.xml"/><Relationship Id="rId25" Type="http://schemas.openxmlformats.org/officeDocument/2006/relationships/ctrlProp" Target="../ctrlProps/ctrlProp1371.xml"/><Relationship Id="rId2" Type="http://schemas.openxmlformats.org/officeDocument/2006/relationships/drawing" Target="../drawings/drawing131.xml"/><Relationship Id="rId16" Type="http://schemas.openxmlformats.org/officeDocument/2006/relationships/ctrlProp" Target="../ctrlProps/ctrlProp1362.xml"/><Relationship Id="rId20" Type="http://schemas.openxmlformats.org/officeDocument/2006/relationships/ctrlProp" Target="../ctrlProps/ctrlProp1366.xml"/><Relationship Id="rId29" Type="http://schemas.openxmlformats.org/officeDocument/2006/relationships/ctrlProp" Target="../ctrlProps/ctrlProp1375.xml"/><Relationship Id="rId1" Type="http://schemas.openxmlformats.org/officeDocument/2006/relationships/printerSettings" Target="../printerSettings/printerSettings132.bin"/><Relationship Id="rId6" Type="http://schemas.openxmlformats.org/officeDocument/2006/relationships/ctrlProp" Target="../ctrlProps/ctrlProp1352.xml"/><Relationship Id="rId11" Type="http://schemas.openxmlformats.org/officeDocument/2006/relationships/ctrlProp" Target="../ctrlProps/ctrlProp1357.xml"/><Relationship Id="rId24" Type="http://schemas.openxmlformats.org/officeDocument/2006/relationships/ctrlProp" Target="../ctrlProps/ctrlProp1370.xml"/><Relationship Id="rId5" Type="http://schemas.openxmlformats.org/officeDocument/2006/relationships/ctrlProp" Target="../ctrlProps/ctrlProp1351.xml"/><Relationship Id="rId15" Type="http://schemas.openxmlformats.org/officeDocument/2006/relationships/ctrlProp" Target="../ctrlProps/ctrlProp1361.xml"/><Relationship Id="rId23" Type="http://schemas.openxmlformats.org/officeDocument/2006/relationships/ctrlProp" Target="../ctrlProps/ctrlProp1369.xml"/><Relationship Id="rId28" Type="http://schemas.openxmlformats.org/officeDocument/2006/relationships/ctrlProp" Target="../ctrlProps/ctrlProp1374.xml"/><Relationship Id="rId10" Type="http://schemas.openxmlformats.org/officeDocument/2006/relationships/ctrlProp" Target="../ctrlProps/ctrlProp1356.xml"/><Relationship Id="rId19" Type="http://schemas.openxmlformats.org/officeDocument/2006/relationships/ctrlProp" Target="../ctrlProps/ctrlProp1365.xml"/><Relationship Id="rId4" Type="http://schemas.openxmlformats.org/officeDocument/2006/relationships/ctrlProp" Target="../ctrlProps/ctrlProp1350.xml"/><Relationship Id="rId9" Type="http://schemas.openxmlformats.org/officeDocument/2006/relationships/ctrlProp" Target="../ctrlProps/ctrlProp1355.xml"/><Relationship Id="rId14" Type="http://schemas.openxmlformats.org/officeDocument/2006/relationships/ctrlProp" Target="../ctrlProps/ctrlProp1360.xml"/><Relationship Id="rId22" Type="http://schemas.openxmlformats.org/officeDocument/2006/relationships/ctrlProp" Target="../ctrlProps/ctrlProp1368.xml"/><Relationship Id="rId27" Type="http://schemas.openxmlformats.org/officeDocument/2006/relationships/ctrlProp" Target="../ctrlProps/ctrlProp1373.xml"/><Relationship Id="rId30" Type="http://schemas.openxmlformats.org/officeDocument/2006/relationships/comments" Target="../comments5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14.xml"/><Relationship Id="rId20" Type="http://schemas.openxmlformats.org/officeDocument/2006/relationships/comments" Target="../comments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13" Type="http://schemas.openxmlformats.org/officeDocument/2006/relationships/ctrlProp" Target="../ctrlProps/ctrlProp27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5" Type="http://schemas.openxmlformats.org/officeDocument/2006/relationships/comments" Target="../comments5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Relationship Id="rId14" Type="http://schemas.openxmlformats.org/officeDocument/2006/relationships/ctrlProp" Target="../ctrlProps/ctrlProp2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5" Type="http://schemas.openxmlformats.org/officeDocument/2006/relationships/ctrlProp" Target="../ctrlProps/ctrlProp30.xml"/><Relationship Id="rId15" Type="http://schemas.openxmlformats.org/officeDocument/2006/relationships/comments" Target="../comments6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13" Type="http://schemas.openxmlformats.org/officeDocument/2006/relationships/ctrlProp" Target="../ctrlProps/ctrlProp49.xml"/><Relationship Id="rId18" Type="http://schemas.openxmlformats.org/officeDocument/2006/relationships/ctrlProp" Target="../ctrlProps/ctrlProp54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3.xml"/><Relationship Id="rId12" Type="http://schemas.openxmlformats.org/officeDocument/2006/relationships/ctrlProp" Target="../ctrlProps/ctrlProp48.xml"/><Relationship Id="rId17" Type="http://schemas.openxmlformats.org/officeDocument/2006/relationships/ctrlProp" Target="../ctrlProps/ctrlProp53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52.xml"/><Relationship Id="rId20" Type="http://schemas.openxmlformats.org/officeDocument/2006/relationships/comments" Target="../comments7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42.xml"/><Relationship Id="rId11" Type="http://schemas.openxmlformats.org/officeDocument/2006/relationships/ctrlProp" Target="../ctrlProps/ctrlProp47.xml"/><Relationship Id="rId5" Type="http://schemas.openxmlformats.org/officeDocument/2006/relationships/ctrlProp" Target="../ctrlProps/ctrlProp41.xml"/><Relationship Id="rId15" Type="http://schemas.openxmlformats.org/officeDocument/2006/relationships/ctrlProp" Target="../ctrlProps/ctrlProp51.xml"/><Relationship Id="rId10" Type="http://schemas.openxmlformats.org/officeDocument/2006/relationships/ctrlProp" Target="../ctrlProps/ctrlProp46.xml"/><Relationship Id="rId19" Type="http://schemas.openxmlformats.org/officeDocument/2006/relationships/ctrlProp" Target="../ctrlProps/ctrlProp55.xml"/><Relationship Id="rId4" Type="http://schemas.openxmlformats.org/officeDocument/2006/relationships/ctrlProp" Target="../ctrlProps/ctrlProp40.xml"/><Relationship Id="rId9" Type="http://schemas.openxmlformats.org/officeDocument/2006/relationships/ctrlProp" Target="../ctrlProps/ctrlProp45.xml"/><Relationship Id="rId14" Type="http://schemas.openxmlformats.org/officeDocument/2006/relationships/ctrlProp" Target="../ctrlProps/ctrlProp5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13" Type="http://schemas.openxmlformats.org/officeDocument/2006/relationships/ctrlProp" Target="../ctrlProps/ctrlProp65.xml"/><Relationship Id="rId18" Type="http://schemas.openxmlformats.org/officeDocument/2006/relationships/ctrlProp" Target="../ctrlProps/ctrlProp70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59.xml"/><Relationship Id="rId12" Type="http://schemas.openxmlformats.org/officeDocument/2006/relationships/ctrlProp" Target="../ctrlProps/ctrlProp64.xml"/><Relationship Id="rId17" Type="http://schemas.openxmlformats.org/officeDocument/2006/relationships/ctrlProp" Target="../ctrlProps/ctrlProp69.xml"/><Relationship Id="rId2" Type="http://schemas.openxmlformats.org/officeDocument/2006/relationships/drawing" Target="../drawings/drawing23.xml"/><Relationship Id="rId16" Type="http://schemas.openxmlformats.org/officeDocument/2006/relationships/ctrlProp" Target="../ctrlProps/ctrlProp68.xml"/><Relationship Id="rId20" Type="http://schemas.openxmlformats.org/officeDocument/2006/relationships/comments" Target="../comments8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58.xml"/><Relationship Id="rId11" Type="http://schemas.openxmlformats.org/officeDocument/2006/relationships/ctrlProp" Target="../ctrlProps/ctrlProp63.xml"/><Relationship Id="rId5" Type="http://schemas.openxmlformats.org/officeDocument/2006/relationships/ctrlProp" Target="../ctrlProps/ctrlProp57.xml"/><Relationship Id="rId15" Type="http://schemas.openxmlformats.org/officeDocument/2006/relationships/ctrlProp" Target="../ctrlProps/ctrlProp67.xml"/><Relationship Id="rId10" Type="http://schemas.openxmlformats.org/officeDocument/2006/relationships/ctrlProp" Target="../ctrlProps/ctrlProp62.xml"/><Relationship Id="rId19" Type="http://schemas.openxmlformats.org/officeDocument/2006/relationships/ctrlProp" Target="../ctrlProps/ctrlProp71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Relationship Id="rId14" Type="http://schemas.openxmlformats.org/officeDocument/2006/relationships/ctrlProp" Target="../ctrlProps/ctrlProp6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6.xml"/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84.xml"/><Relationship Id="rId20" Type="http://schemas.openxmlformats.org/officeDocument/2006/relationships/comments" Target="../comments9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13" Type="http://schemas.openxmlformats.org/officeDocument/2006/relationships/ctrlProp" Target="../ctrlProps/ctrlProp97.xml"/><Relationship Id="rId18" Type="http://schemas.openxmlformats.org/officeDocument/2006/relationships/ctrlProp" Target="../ctrlProps/ctrlProp102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91.xml"/><Relationship Id="rId12" Type="http://schemas.openxmlformats.org/officeDocument/2006/relationships/ctrlProp" Target="../ctrlProps/ctrlProp96.xml"/><Relationship Id="rId17" Type="http://schemas.openxmlformats.org/officeDocument/2006/relationships/ctrlProp" Target="../ctrlProps/ctrlProp101.xml"/><Relationship Id="rId2" Type="http://schemas.openxmlformats.org/officeDocument/2006/relationships/drawing" Target="../drawings/drawing27.xml"/><Relationship Id="rId16" Type="http://schemas.openxmlformats.org/officeDocument/2006/relationships/ctrlProp" Target="../ctrlProps/ctrlProp100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90.xml"/><Relationship Id="rId11" Type="http://schemas.openxmlformats.org/officeDocument/2006/relationships/ctrlProp" Target="../ctrlProps/ctrlProp95.xml"/><Relationship Id="rId5" Type="http://schemas.openxmlformats.org/officeDocument/2006/relationships/ctrlProp" Target="../ctrlProps/ctrlProp89.xml"/><Relationship Id="rId15" Type="http://schemas.openxmlformats.org/officeDocument/2006/relationships/ctrlProp" Target="../ctrlProps/ctrlProp99.xml"/><Relationship Id="rId10" Type="http://schemas.openxmlformats.org/officeDocument/2006/relationships/ctrlProp" Target="../ctrlProps/ctrlProp94.xml"/><Relationship Id="rId19" Type="http://schemas.openxmlformats.org/officeDocument/2006/relationships/ctrlProp" Target="../ctrlProps/ctrlProp103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Relationship Id="rId14" Type="http://schemas.openxmlformats.org/officeDocument/2006/relationships/ctrlProp" Target="../ctrlProps/ctrlProp9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0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13" Type="http://schemas.openxmlformats.org/officeDocument/2006/relationships/ctrlProp" Target="../ctrlProps/ctrlProp113.xml"/><Relationship Id="rId18" Type="http://schemas.openxmlformats.org/officeDocument/2006/relationships/ctrlProp" Target="../ctrlProps/ctrlProp118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107.xml"/><Relationship Id="rId12" Type="http://schemas.openxmlformats.org/officeDocument/2006/relationships/ctrlProp" Target="../ctrlProps/ctrlProp112.xml"/><Relationship Id="rId17" Type="http://schemas.openxmlformats.org/officeDocument/2006/relationships/ctrlProp" Target="../ctrlProps/ctrlProp117.xml"/><Relationship Id="rId2" Type="http://schemas.openxmlformats.org/officeDocument/2006/relationships/drawing" Target="../drawings/drawing29.xml"/><Relationship Id="rId16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06.xml"/><Relationship Id="rId11" Type="http://schemas.openxmlformats.org/officeDocument/2006/relationships/ctrlProp" Target="../ctrlProps/ctrlProp111.xml"/><Relationship Id="rId5" Type="http://schemas.openxmlformats.org/officeDocument/2006/relationships/ctrlProp" Target="../ctrlProps/ctrlProp105.xml"/><Relationship Id="rId15" Type="http://schemas.openxmlformats.org/officeDocument/2006/relationships/ctrlProp" Target="../ctrlProps/ctrlProp115.xml"/><Relationship Id="rId10" Type="http://schemas.openxmlformats.org/officeDocument/2006/relationships/ctrlProp" Target="../ctrlProps/ctrlProp110.xml"/><Relationship Id="rId19" Type="http://schemas.openxmlformats.org/officeDocument/2006/relationships/ctrlProp" Target="../ctrlProps/ctrlProp119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Relationship Id="rId14" Type="http://schemas.openxmlformats.org/officeDocument/2006/relationships/ctrlProp" Target="../ctrlProps/ctrlProp1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13" Type="http://schemas.openxmlformats.org/officeDocument/2006/relationships/ctrlProp" Target="../ctrlProps/ctrlProp129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123.xml"/><Relationship Id="rId12" Type="http://schemas.openxmlformats.org/officeDocument/2006/relationships/ctrlProp" Target="../ctrlProps/ctrlProp128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22.xml"/><Relationship Id="rId11" Type="http://schemas.openxmlformats.org/officeDocument/2006/relationships/ctrlProp" Target="../ctrlProps/ctrlProp127.xml"/><Relationship Id="rId5" Type="http://schemas.openxmlformats.org/officeDocument/2006/relationships/ctrlProp" Target="../ctrlProps/ctrlProp121.xml"/><Relationship Id="rId10" Type="http://schemas.openxmlformats.org/officeDocument/2006/relationships/ctrlProp" Target="../ctrlProps/ctrlProp126.xml"/><Relationship Id="rId4" Type="http://schemas.openxmlformats.org/officeDocument/2006/relationships/ctrlProp" Target="../ctrlProps/ctrlProp120.xml"/><Relationship Id="rId9" Type="http://schemas.openxmlformats.org/officeDocument/2006/relationships/ctrlProp" Target="../ctrlProps/ctrlProp125.xml"/><Relationship Id="rId14" Type="http://schemas.openxmlformats.org/officeDocument/2006/relationships/ctrlProp" Target="../ctrlProps/ctrlProp1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5.xml"/><Relationship Id="rId13" Type="http://schemas.openxmlformats.org/officeDocument/2006/relationships/ctrlProp" Target="../ctrlProps/ctrlProp140.xml"/><Relationship Id="rId18" Type="http://schemas.openxmlformats.org/officeDocument/2006/relationships/ctrlProp" Target="../ctrlProps/ctrlProp145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134.xml"/><Relationship Id="rId12" Type="http://schemas.openxmlformats.org/officeDocument/2006/relationships/ctrlProp" Target="../ctrlProps/ctrlProp139.xml"/><Relationship Id="rId17" Type="http://schemas.openxmlformats.org/officeDocument/2006/relationships/ctrlProp" Target="../ctrlProps/ctrlProp144.xml"/><Relationship Id="rId2" Type="http://schemas.openxmlformats.org/officeDocument/2006/relationships/drawing" Target="../drawings/drawing33.xml"/><Relationship Id="rId16" Type="http://schemas.openxmlformats.org/officeDocument/2006/relationships/ctrlProp" Target="../ctrlProps/ctrlProp143.xml"/><Relationship Id="rId20" Type="http://schemas.openxmlformats.org/officeDocument/2006/relationships/comments" Target="../comments13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33.xml"/><Relationship Id="rId11" Type="http://schemas.openxmlformats.org/officeDocument/2006/relationships/ctrlProp" Target="../ctrlProps/ctrlProp138.xml"/><Relationship Id="rId5" Type="http://schemas.openxmlformats.org/officeDocument/2006/relationships/ctrlProp" Target="../ctrlProps/ctrlProp132.xml"/><Relationship Id="rId15" Type="http://schemas.openxmlformats.org/officeDocument/2006/relationships/ctrlProp" Target="../ctrlProps/ctrlProp142.xml"/><Relationship Id="rId10" Type="http://schemas.openxmlformats.org/officeDocument/2006/relationships/ctrlProp" Target="../ctrlProps/ctrlProp137.xml"/><Relationship Id="rId19" Type="http://schemas.openxmlformats.org/officeDocument/2006/relationships/ctrlProp" Target="../ctrlProps/ctrlProp146.xml"/><Relationship Id="rId4" Type="http://schemas.openxmlformats.org/officeDocument/2006/relationships/ctrlProp" Target="../ctrlProps/ctrlProp131.xml"/><Relationship Id="rId9" Type="http://schemas.openxmlformats.org/officeDocument/2006/relationships/ctrlProp" Target="../ctrlProps/ctrlProp136.xml"/><Relationship Id="rId14" Type="http://schemas.openxmlformats.org/officeDocument/2006/relationships/ctrlProp" Target="../ctrlProps/ctrlProp14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4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1.xml"/><Relationship Id="rId13" Type="http://schemas.openxmlformats.org/officeDocument/2006/relationships/ctrlProp" Target="../ctrlProps/ctrlProp156.xml"/><Relationship Id="rId18" Type="http://schemas.openxmlformats.org/officeDocument/2006/relationships/ctrlProp" Target="../ctrlProps/ctrlProp161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150.xml"/><Relationship Id="rId12" Type="http://schemas.openxmlformats.org/officeDocument/2006/relationships/ctrlProp" Target="../ctrlProps/ctrlProp155.xml"/><Relationship Id="rId17" Type="http://schemas.openxmlformats.org/officeDocument/2006/relationships/ctrlProp" Target="../ctrlProps/ctrlProp160.xml"/><Relationship Id="rId2" Type="http://schemas.openxmlformats.org/officeDocument/2006/relationships/drawing" Target="../drawings/drawing35.xml"/><Relationship Id="rId16" Type="http://schemas.openxmlformats.org/officeDocument/2006/relationships/ctrlProp" Target="../ctrlProps/ctrlProp159.xml"/><Relationship Id="rId20" Type="http://schemas.openxmlformats.org/officeDocument/2006/relationships/comments" Target="../comments15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49.xml"/><Relationship Id="rId11" Type="http://schemas.openxmlformats.org/officeDocument/2006/relationships/ctrlProp" Target="../ctrlProps/ctrlProp154.xml"/><Relationship Id="rId5" Type="http://schemas.openxmlformats.org/officeDocument/2006/relationships/ctrlProp" Target="../ctrlProps/ctrlProp148.xml"/><Relationship Id="rId15" Type="http://schemas.openxmlformats.org/officeDocument/2006/relationships/ctrlProp" Target="../ctrlProps/ctrlProp158.xml"/><Relationship Id="rId10" Type="http://schemas.openxmlformats.org/officeDocument/2006/relationships/ctrlProp" Target="../ctrlProps/ctrlProp153.xml"/><Relationship Id="rId19" Type="http://schemas.openxmlformats.org/officeDocument/2006/relationships/ctrlProp" Target="../ctrlProps/ctrlProp162.xml"/><Relationship Id="rId4" Type="http://schemas.openxmlformats.org/officeDocument/2006/relationships/ctrlProp" Target="../ctrlProps/ctrlProp147.xml"/><Relationship Id="rId9" Type="http://schemas.openxmlformats.org/officeDocument/2006/relationships/ctrlProp" Target="../ctrlProps/ctrlProp152.xml"/><Relationship Id="rId14" Type="http://schemas.openxmlformats.org/officeDocument/2006/relationships/ctrlProp" Target="../ctrlProps/ctrlProp15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7.xml"/><Relationship Id="rId13" Type="http://schemas.openxmlformats.org/officeDocument/2006/relationships/ctrlProp" Target="../ctrlProps/ctrlProp172.xml"/><Relationship Id="rId18" Type="http://schemas.openxmlformats.org/officeDocument/2006/relationships/ctrlProp" Target="../ctrlProps/ctrlProp177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166.xml"/><Relationship Id="rId12" Type="http://schemas.openxmlformats.org/officeDocument/2006/relationships/ctrlProp" Target="../ctrlProps/ctrlProp171.xml"/><Relationship Id="rId17" Type="http://schemas.openxmlformats.org/officeDocument/2006/relationships/ctrlProp" Target="../ctrlProps/ctrlProp176.xml"/><Relationship Id="rId2" Type="http://schemas.openxmlformats.org/officeDocument/2006/relationships/drawing" Target="../drawings/drawing37.xml"/><Relationship Id="rId16" Type="http://schemas.openxmlformats.org/officeDocument/2006/relationships/ctrlProp" Target="../ctrlProps/ctrlProp175.xml"/><Relationship Id="rId20" Type="http://schemas.openxmlformats.org/officeDocument/2006/relationships/comments" Target="../comments1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65.xml"/><Relationship Id="rId11" Type="http://schemas.openxmlformats.org/officeDocument/2006/relationships/ctrlProp" Target="../ctrlProps/ctrlProp170.xml"/><Relationship Id="rId5" Type="http://schemas.openxmlformats.org/officeDocument/2006/relationships/ctrlProp" Target="../ctrlProps/ctrlProp164.xml"/><Relationship Id="rId15" Type="http://schemas.openxmlformats.org/officeDocument/2006/relationships/ctrlProp" Target="../ctrlProps/ctrlProp174.xml"/><Relationship Id="rId10" Type="http://schemas.openxmlformats.org/officeDocument/2006/relationships/ctrlProp" Target="../ctrlProps/ctrlProp169.xml"/><Relationship Id="rId19" Type="http://schemas.openxmlformats.org/officeDocument/2006/relationships/ctrlProp" Target="../ctrlProps/ctrlProp178.xml"/><Relationship Id="rId4" Type="http://schemas.openxmlformats.org/officeDocument/2006/relationships/ctrlProp" Target="../ctrlProps/ctrlProp163.xml"/><Relationship Id="rId9" Type="http://schemas.openxmlformats.org/officeDocument/2006/relationships/ctrlProp" Target="../ctrlProps/ctrlProp168.xml"/><Relationship Id="rId14" Type="http://schemas.openxmlformats.org/officeDocument/2006/relationships/ctrlProp" Target="../ctrlProps/ctrlProp173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3.xml"/><Relationship Id="rId13" Type="http://schemas.openxmlformats.org/officeDocument/2006/relationships/ctrlProp" Target="../ctrlProps/ctrlProp188.xml"/><Relationship Id="rId18" Type="http://schemas.openxmlformats.org/officeDocument/2006/relationships/ctrlProp" Target="../ctrlProps/ctrlProp193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182.xml"/><Relationship Id="rId12" Type="http://schemas.openxmlformats.org/officeDocument/2006/relationships/ctrlProp" Target="../ctrlProps/ctrlProp187.xml"/><Relationship Id="rId17" Type="http://schemas.openxmlformats.org/officeDocument/2006/relationships/ctrlProp" Target="../ctrlProps/ctrlProp192.xml"/><Relationship Id="rId2" Type="http://schemas.openxmlformats.org/officeDocument/2006/relationships/drawing" Target="../drawings/drawing39.xml"/><Relationship Id="rId16" Type="http://schemas.openxmlformats.org/officeDocument/2006/relationships/ctrlProp" Target="../ctrlProps/ctrlProp191.xml"/><Relationship Id="rId20" Type="http://schemas.openxmlformats.org/officeDocument/2006/relationships/comments" Target="../comments17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81.xml"/><Relationship Id="rId11" Type="http://schemas.openxmlformats.org/officeDocument/2006/relationships/ctrlProp" Target="../ctrlProps/ctrlProp186.xml"/><Relationship Id="rId5" Type="http://schemas.openxmlformats.org/officeDocument/2006/relationships/ctrlProp" Target="../ctrlProps/ctrlProp180.xml"/><Relationship Id="rId15" Type="http://schemas.openxmlformats.org/officeDocument/2006/relationships/ctrlProp" Target="../ctrlProps/ctrlProp190.xml"/><Relationship Id="rId10" Type="http://schemas.openxmlformats.org/officeDocument/2006/relationships/ctrlProp" Target="../ctrlProps/ctrlProp185.xml"/><Relationship Id="rId19" Type="http://schemas.openxmlformats.org/officeDocument/2006/relationships/ctrlProp" Target="../ctrlProps/ctrlProp194.xml"/><Relationship Id="rId4" Type="http://schemas.openxmlformats.org/officeDocument/2006/relationships/ctrlProp" Target="../ctrlProps/ctrlProp179.xml"/><Relationship Id="rId9" Type="http://schemas.openxmlformats.org/officeDocument/2006/relationships/ctrlProp" Target="../ctrlProps/ctrlProp184.xml"/><Relationship Id="rId14" Type="http://schemas.openxmlformats.org/officeDocument/2006/relationships/ctrlProp" Target="../ctrlProps/ctrlProp189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9.xml"/><Relationship Id="rId13" Type="http://schemas.openxmlformats.org/officeDocument/2006/relationships/ctrlProp" Target="../ctrlProps/ctrlProp204.xml"/><Relationship Id="rId18" Type="http://schemas.openxmlformats.org/officeDocument/2006/relationships/ctrlProp" Target="../ctrlProps/ctrlProp209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198.xml"/><Relationship Id="rId12" Type="http://schemas.openxmlformats.org/officeDocument/2006/relationships/ctrlProp" Target="../ctrlProps/ctrlProp203.xml"/><Relationship Id="rId17" Type="http://schemas.openxmlformats.org/officeDocument/2006/relationships/ctrlProp" Target="../ctrlProps/ctrlProp208.xml"/><Relationship Id="rId2" Type="http://schemas.openxmlformats.org/officeDocument/2006/relationships/drawing" Target="../drawings/drawing41.xml"/><Relationship Id="rId16" Type="http://schemas.openxmlformats.org/officeDocument/2006/relationships/ctrlProp" Target="../ctrlProps/ctrlProp207.xml"/><Relationship Id="rId1" Type="http://schemas.openxmlformats.org/officeDocument/2006/relationships/printerSettings" Target="../printerSettings/printerSettings40.bin"/><Relationship Id="rId6" Type="http://schemas.openxmlformats.org/officeDocument/2006/relationships/ctrlProp" Target="../ctrlProps/ctrlProp197.xml"/><Relationship Id="rId11" Type="http://schemas.openxmlformats.org/officeDocument/2006/relationships/ctrlProp" Target="../ctrlProps/ctrlProp202.xml"/><Relationship Id="rId5" Type="http://schemas.openxmlformats.org/officeDocument/2006/relationships/ctrlProp" Target="../ctrlProps/ctrlProp196.xml"/><Relationship Id="rId15" Type="http://schemas.openxmlformats.org/officeDocument/2006/relationships/ctrlProp" Target="../ctrlProps/ctrlProp206.xml"/><Relationship Id="rId10" Type="http://schemas.openxmlformats.org/officeDocument/2006/relationships/ctrlProp" Target="../ctrlProps/ctrlProp201.xml"/><Relationship Id="rId19" Type="http://schemas.openxmlformats.org/officeDocument/2006/relationships/ctrlProp" Target="../ctrlProps/ctrlProp210.xml"/><Relationship Id="rId4" Type="http://schemas.openxmlformats.org/officeDocument/2006/relationships/ctrlProp" Target="../ctrlProps/ctrlProp195.xml"/><Relationship Id="rId9" Type="http://schemas.openxmlformats.org/officeDocument/2006/relationships/ctrlProp" Target="../ctrlProps/ctrlProp200.xml"/><Relationship Id="rId14" Type="http://schemas.openxmlformats.org/officeDocument/2006/relationships/ctrlProp" Target="../ctrlProps/ctrlProp205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5.xml"/><Relationship Id="rId13" Type="http://schemas.openxmlformats.org/officeDocument/2006/relationships/ctrlProp" Target="../ctrlProps/ctrlProp220.xml"/><Relationship Id="rId18" Type="http://schemas.openxmlformats.org/officeDocument/2006/relationships/ctrlProp" Target="../ctrlProps/ctrlProp225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214.xml"/><Relationship Id="rId12" Type="http://schemas.openxmlformats.org/officeDocument/2006/relationships/ctrlProp" Target="../ctrlProps/ctrlProp219.xml"/><Relationship Id="rId17" Type="http://schemas.openxmlformats.org/officeDocument/2006/relationships/ctrlProp" Target="../ctrlProps/ctrlProp224.xml"/><Relationship Id="rId2" Type="http://schemas.openxmlformats.org/officeDocument/2006/relationships/drawing" Target="../drawings/drawing43.xml"/><Relationship Id="rId16" Type="http://schemas.openxmlformats.org/officeDocument/2006/relationships/ctrlProp" Target="../ctrlProps/ctrlProp223.xml"/><Relationship Id="rId1" Type="http://schemas.openxmlformats.org/officeDocument/2006/relationships/printerSettings" Target="../printerSettings/printerSettings42.bin"/><Relationship Id="rId6" Type="http://schemas.openxmlformats.org/officeDocument/2006/relationships/ctrlProp" Target="../ctrlProps/ctrlProp213.xml"/><Relationship Id="rId11" Type="http://schemas.openxmlformats.org/officeDocument/2006/relationships/ctrlProp" Target="../ctrlProps/ctrlProp218.xml"/><Relationship Id="rId5" Type="http://schemas.openxmlformats.org/officeDocument/2006/relationships/ctrlProp" Target="../ctrlProps/ctrlProp212.xml"/><Relationship Id="rId15" Type="http://schemas.openxmlformats.org/officeDocument/2006/relationships/ctrlProp" Target="../ctrlProps/ctrlProp222.xml"/><Relationship Id="rId10" Type="http://schemas.openxmlformats.org/officeDocument/2006/relationships/ctrlProp" Target="../ctrlProps/ctrlProp217.xml"/><Relationship Id="rId19" Type="http://schemas.openxmlformats.org/officeDocument/2006/relationships/ctrlProp" Target="../ctrlProps/ctrlProp226.xml"/><Relationship Id="rId4" Type="http://schemas.openxmlformats.org/officeDocument/2006/relationships/ctrlProp" Target="../ctrlProps/ctrlProp211.xml"/><Relationship Id="rId9" Type="http://schemas.openxmlformats.org/officeDocument/2006/relationships/ctrlProp" Target="../ctrlProps/ctrlProp216.xml"/><Relationship Id="rId14" Type="http://schemas.openxmlformats.org/officeDocument/2006/relationships/ctrlProp" Target="../ctrlProps/ctrlProp22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1.xml"/><Relationship Id="rId13" Type="http://schemas.openxmlformats.org/officeDocument/2006/relationships/ctrlProp" Target="../ctrlProps/ctrlProp236.xml"/><Relationship Id="rId18" Type="http://schemas.openxmlformats.org/officeDocument/2006/relationships/ctrlProp" Target="../ctrlProps/ctrlProp241.xml"/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230.xml"/><Relationship Id="rId12" Type="http://schemas.openxmlformats.org/officeDocument/2006/relationships/ctrlProp" Target="../ctrlProps/ctrlProp235.xml"/><Relationship Id="rId17" Type="http://schemas.openxmlformats.org/officeDocument/2006/relationships/ctrlProp" Target="../ctrlProps/ctrlProp240.xml"/><Relationship Id="rId2" Type="http://schemas.openxmlformats.org/officeDocument/2006/relationships/drawing" Target="../drawings/drawing45.xml"/><Relationship Id="rId16" Type="http://schemas.openxmlformats.org/officeDocument/2006/relationships/ctrlProp" Target="../ctrlProps/ctrlProp239.xml"/><Relationship Id="rId20" Type="http://schemas.openxmlformats.org/officeDocument/2006/relationships/comments" Target="../comments18.xml"/><Relationship Id="rId1" Type="http://schemas.openxmlformats.org/officeDocument/2006/relationships/printerSettings" Target="../printerSettings/printerSettings44.bin"/><Relationship Id="rId6" Type="http://schemas.openxmlformats.org/officeDocument/2006/relationships/ctrlProp" Target="../ctrlProps/ctrlProp229.xml"/><Relationship Id="rId11" Type="http://schemas.openxmlformats.org/officeDocument/2006/relationships/ctrlProp" Target="../ctrlProps/ctrlProp234.xml"/><Relationship Id="rId5" Type="http://schemas.openxmlformats.org/officeDocument/2006/relationships/ctrlProp" Target="../ctrlProps/ctrlProp228.xml"/><Relationship Id="rId15" Type="http://schemas.openxmlformats.org/officeDocument/2006/relationships/ctrlProp" Target="../ctrlProps/ctrlProp238.xml"/><Relationship Id="rId10" Type="http://schemas.openxmlformats.org/officeDocument/2006/relationships/ctrlProp" Target="../ctrlProps/ctrlProp233.xml"/><Relationship Id="rId19" Type="http://schemas.openxmlformats.org/officeDocument/2006/relationships/ctrlProp" Target="../ctrlProps/ctrlProp242.xml"/><Relationship Id="rId4" Type="http://schemas.openxmlformats.org/officeDocument/2006/relationships/ctrlProp" Target="../ctrlProps/ctrlProp227.xml"/><Relationship Id="rId9" Type="http://schemas.openxmlformats.org/officeDocument/2006/relationships/ctrlProp" Target="../ctrlProps/ctrlProp232.xml"/><Relationship Id="rId14" Type="http://schemas.openxmlformats.org/officeDocument/2006/relationships/ctrlProp" Target="../ctrlProps/ctrlProp23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7.xml"/><Relationship Id="rId13" Type="http://schemas.openxmlformats.org/officeDocument/2006/relationships/ctrlProp" Target="../ctrlProps/ctrlProp252.xml"/><Relationship Id="rId18" Type="http://schemas.openxmlformats.org/officeDocument/2006/relationships/ctrlProp" Target="../ctrlProps/ctrlProp257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246.xml"/><Relationship Id="rId12" Type="http://schemas.openxmlformats.org/officeDocument/2006/relationships/ctrlProp" Target="../ctrlProps/ctrlProp251.xml"/><Relationship Id="rId17" Type="http://schemas.openxmlformats.org/officeDocument/2006/relationships/ctrlProp" Target="../ctrlProps/ctrlProp256.xml"/><Relationship Id="rId2" Type="http://schemas.openxmlformats.org/officeDocument/2006/relationships/drawing" Target="../drawings/drawing47.xml"/><Relationship Id="rId16" Type="http://schemas.openxmlformats.org/officeDocument/2006/relationships/ctrlProp" Target="../ctrlProps/ctrlProp255.xml"/><Relationship Id="rId20" Type="http://schemas.openxmlformats.org/officeDocument/2006/relationships/comments" Target="../comments19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245.xml"/><Relationship Id="rId11" Type="http://schemas.openxmlformats.org/officeDocument/2006/relationships/ctrlProp" Target="../ctrlProps/ctrlProp250.xml"/><Relationship Id="rId5" Type="http://schemas.openxmlformats.org/officeDocument/2006/relationships/ctrlProp" Target="../ctrlProps/ctrlProp244.xml"/><Relationship Id="rId15" Type="http://schemas.openxmlformats.org/officeDocument/2006/relationships/ctrlProp" Target="../ctrlProps/ctrlProp254.xml"/><Relationship Id="rId10" Type="http://schemas.openxmlformats.org/officeDocument/2006/relationships/ctrlProp" Target="../ctrlProps/ctrlProp249.xml"/><Relationship Id="rId19" Type="http://schemas.openxmlformats.org/officeDocument/2006/relationships/ctrlProp" Target="../ctrlProps/ctrlProp258.xml"/><Relationship Id="rId4" Type="http://schemas.openxmlformats.org/officeDocument/2006/relationships/ctrlProp" Target="../ctrlProps/ctrlProp243.xml"/><Relationship Id="rId9" Type="http://schemas.openxmlformats.org/officeDocument/2006/relationships/ctrlProp" Target="../ctrlProps/ctrlProp248.xml"/><Relationship Id="rId14" Type="http://schemas.openxmlformats.org/officeDocument/2006/relationships/ctrlProp" Target="../ctrlProps/ctrlProp253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0.xm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3.xml"/><Relationship Id="rId13" Type="http://schemas.openxmlformats.org/officeDocument/2006/relationships/ctrlProp" Target="../ctrlProps/ctrlProp268.xml"/><Relationship Id="rId18" Type="http://schemas.openxmlformats.org/officeDocument/2006/relationships/ctrlProp" Target="../ctrlProps/ctrlProp273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262.xml"/><Relationship Id="rId12" Type="http://schemas.openxmlformats.org/officeDocument/2006/relationships/ctrlProp" Target="../ctrlProps/ctrlProp267.xml"/><Relationship Id="rId17" Type="http://schemas.openxmlformats.org/officeDocument/2006/relationships/ctrlProp" Target="../ctrlProps/ctrlProp272.xml"/><Relationship Id="rId2" Type="http://schemas.openxmlformats.org/officeDocument/2006/relationships/drawing" Target="../drawings/drawing49.xml"/><Relationship Id="rId16" Type="http://schemas.openxmlformats.org/officeDocument/2006/relationships/ctrlProp" Target="../ctrlProps/ctrlProp271.xml"/><Relationship Id="rId1" Type="http://schemas.openxmlformats.org/officeDocument/2006/relationships/printerSettings" Target="../printerSettings/printerSettings48.bin"/><Relationship Id="rId6" Type="http://schemas.openxmlformats.org/officeDocument/2006/relationships/ctrlProp" Target="../ctrlProps/ctrlProp261.xml"/><Relationship Id="rId11" Type="http://schemas.openxmlformats.org/officeDocument/2006/relationships/ctrlProp" Target="../ctrlProps/ctrlProp266.xml"/><Relationship Id="rId5" Type="http://schemas.openxmlformats.org/officeDocument/2006/relationships/ctrlProp" Target="../ctrlProps/ctrlProp260.xml"/><Relationship Id="rId15" Type="http://schemas.openxmlformats.org/officeDocument/2006/relationships/ctrlProp" Target="../ctrlProps/ctrlProp270.xml"/><Relationship Id="rId10" Type="http://schemas.openxmlformats.org/officeDocument/2006/relationships/ctrlProp" Target="../ctrlProps/ctrlProp265.xml"/><Relationship Id="rId19" Type="http://schemas.openxmlformats.org/officeDocument/2006/relationships/ctrlProp" Target="../ctrlProps/ctrlProp274.xml"/><Relationship Id="rId4" Type="http://schemas.openxmlformats.org/officeDocument/2006/relationships/ctrlProp" Target="../ctrlProps/ctrlProp259.xml"/><Relationship Id="rId9" Type="http://schemas.openxmlformats.org/officeDocument/2006/relationships/ctrlProp" Target="../ctrlProps/ctrlProp264.xml"/><Relationship Id="rId14" Type="http://schemas.openxmlformats.org/officeDocument/2006/relationships/ctrlProp" Target="../ctrlProps/ctrlProp26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9.xml"/><Relationship Id="rId13" Type="http://schemas.openxmlformats.org/officeDocument/2006/relationships/ctrlProp" Target="../ctrlProps/ctrlProp284.xml"/><Relationship Id="rId18" Type="http://schemas.openxmlformats.org/officeDocument/2006/relationships/ctrlProp" Target="../ctrlProps/ctrlProp289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278.xml"/><Relationship Id="rId12" Type="http://schemas.openxmlformats.org/officeDocument/2006/relationships/ctrlProp" Target="../ctrlProps/ctrlProp283.xml"/><Relationship Id="rId17" Type="http://schemas.openxmlformats.org/officeDocument/2006/relationships/ctrlProp" Target="../ctrlProps/ctrlProp288.xml"/><Relationship Id="rId2" Type="http://schemas.openxmlformats.org/officeDocument/2006/relationships/drawing" Target="../drawings/drawing51.xml"/><Relationship Id="rId16" Type="http://schemas.openxmlformats.org/officeDocument/2006/relationships/ctrlProp" Target="../ctrlProps/ctrlProp287.xml"/><Relationship Id="rId1" Type="http://schemas.openxmlformats.org/officeDocument/2006/relationships/printerSettings" Target="../printerSettings/printerSettings50.bin"/><Relationship Id="rId6" Type="http://schemas.openxmlformats.org/officeDocument/2006/relationships/ctrlProp" Target="../ctrlProps/ctrlProp277.xml"/><Relationship Id="rId11" Type="http://schemas.openxmlformats.org/officeDocument/2006/relationships/ctrlProp" Target="../ctrlProps/ctrlProp282.xml"/><Relationship Id="rId5" Type="http://schemas.openxmlformats.org/officeDocument/2006/relationships/ctrlProp" Target="../ctrlProps/ctrlProp276.xml"/><Relationship Id="rId15" Type="http://schemas.openxmlformats.org/officeDocument/2006/relationships/ctrlProp" Target="../ctrlProps/ctrlProp286.xml"/><Relationship Id="rId10" Type="http://schemas.openxmlformats.org/officeDocument/2006/relationships/ctrlProp" Target="../ctrlProps/ctrlProp281.xml"/><Relationship Id="rId19" Type="http://schemas.openxmlformats.org/officeDocument/2006/relationships/ctrlProp" Target="../ctrlProps/ctrlProp290.xml"/><Relationship Id="rId4" Type="http://schemas.openxmlformats.org/officeDocument/2006/relationships/ctrlProp" Target="../ctrlProps/ctrlProp275.xml"/><Relationship Id="rId9" Type="http://schemas.openxmlformats.org/officeDocument/2006/relationships/ctrlProp" Target="../ctrlProps/ctrlProp280.xml"/><Relationship Id="rId14" Type="http://schemas.openxmlformats.org/officeDocument/2006/relationships/ctrlProp" Target="../ctrlProps/ctrlProp285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22.xm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5.xml"/><Relationship Id="rId13" Type="http://schemas.openxmlformats.org/officeDocument/2006/relationships/ctrlProp" Target="../ctrlProps/ctrlProp300.xml"/><Relationship Id="rId18" Type="http://schemas.openxmlformats.org/officeDocument/2006/relationships/ctrlProp" Target="../ctrlProps/ctrlProp305.xml"/><Relationship Id="rId26" Type="http://schemas.openxmlformats.org/officeDocument/2006/relationships/ctrlProp" Target="../ctrlProps/ctrlProp313.xml"/><Relationship Id="rId3" Type="http://schemas.openxmlformats.org/officeDocument/2006/relationships/vmlDrawing" Target="../drawings/vmlDrawing31.vml"/><Relationship Id="rId21" Type="http://schemas.openxmlformats.org/officeDocument/2006/relationships/ctrlProp" Target="../ctrlProps/ctrlProp308.xml"/><Relationship Id="rId7" Type="http://schemas.openxmlformats.org/officeDocument/2006/relationships/ctrlProp" Target="../ctrlProps/ctrlProp294.xml"/><Relationship Id="rId12" Type="http://schemas.openxmlformats.org/officeDocument/2006/relationships/ctrlProp" Target="../ctrlProps/ctrlProp299.xml"/><Relationship Id="rId17" Type="http://schemas.openxmlformats.org/officeDocument/2006/relationships/ctrlProp" Target="../ctrlProps/ctrlProp304.xml"/><Relationship Id="rId25" Type="http://schemas.openxmlformats.org/officeDocument/2006/relationships/ctrlProp" Target="../ctrlProps/ctrlProp312.xml"/><Relationship Id="rId2" Type="http://schemas.openxmlformats.org/officeDocument/2006/relationships/drawing" Target="../drawings/drawing53.xml"/><Relationship Id="rId16" Type="http://schemas.openxmlformats.org/officeDocument/2006/relationships/ctrlProp" Target="../ctrlProps/ctrlProp303.xml"/><Relationship Id="rId20" Type="http://schemas.openxmlformats.org/officeDocument/2006/relationships/ctrlProp" Target="../ctrlProps/ctrlProp307.xml"/><Relationship Id="rId29" Type="http://schemas.openxmlformats.org/officeDocument/2006/relationships/ctrlProp" Target="../ctrlProps/ctrlProp316.xml"/><Relationship Id="rId1" Type="http://schemas.openxmlformats.org/officeDocument/2006/relationships/printerSettings" Target="../printerSettings/printerSettings52.bin"/><Relationship Id="rId6" Type="http://schemas.openxmlformats.org/officeDocument/2006/relationships/ctrlProp" Target="../ctrlProps/ctrlProp293.xml"/><Relationship Id="rId11" Type="http://schemas.openxmlformats.org/officeDocument/2006/relationships/ctrlProp" Target="../ctrlProps/ctrlProp298.xml"/><Relationship Id="rId24" Type="http://schemas.openxmlformats.org/officeDocument/2006/relationships/ctrlProp" Target="../ctrlProps/ctrlProp311.xml"/><Relationship Id="rId5" Type="http://schemas.openxmlformats.org/officeDocument/2006/relationships/ctrlProp" Target="../ctrlProps/ctrlProp292.xml"/><Relationship Id="rId15" Type="http://schemas.openxmlformats.org/officeDocument/2006/relationships/ctrlProp" Target="../ctrlProps/ctrlProp302.xml"/><Relationship Id="rId23" Type="http://schemas.openxmlformats.org/officeDocument/2006/relationships/ctrlProp" Target="../ctrlProps/ctrlProp310.xml"/><Relationship Id="rId28" Type="http://schemas.openxmlformats.org/officeDocument/2006/relationships/ctrlProp" Target="../ctrlProps/ctrlProp315.xml"/><Relationship Id="rId10" Type="http://schemas.openxmlformats.org/officeDocument/2006/relationships/ctrlProp" Target="../ctrlProps/ctrlProp297.xml"/><Relationship Id="rId19" Type="http://schemas.openxmlformats.org/officeDocument/2006/relationships/ctrlProp" Target="../ctrlProps/ctrlProp306.xml"/><Relationship Id="rId4" Type="http://schemas.openxmlformats.org/officeDocument/2006/relationships/ctrlProp" Target="../ctrlProps/ctrlProp291.xml"/><Relationship Id="rId9" Type="http://schemas.openxmlformats.org/officeDocument/2006/relationships/ctrlProp" Target="../ctrlProps/ctrlProp296.xml"/><Relationship Id="rId14" Type="http://schemas.openxmlformats.org/officeDocument/2006/relationships/ctrlProp" Target="../ctrlProps/ctrlProp301.xml"/><Relationship Id="rId22" Type="http://schemas.openxmlformats.org/officeDocument/2006/relationships/ctrlProp" Target="../ctrlProps/ctrlProp309.xml"/><Relationship Id="rId27" Type="http://schemas.openxmlformats.org/officeDocument/2006/relationships/ctrlProp" Target="../ctrlProps/ctrlProp31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1.xml"/><Relationship Id="rId13" Type="http://schemas.openxmlformats.org/officeDocument/2006/relationships/ctrlProp" Target="../ctrlProps/ctrlProp326.xml"/><Relationship Id="rId18" Type="http://schemas.openxmlformats.org/officeDocument/2006/relationships/ctrlProp" Target="../ctrlProps/ctrlProp331.xml"/><Relationship Id="rId26" Type="http://schemas.openxmlformats.org/officeDocument/2006/relationships/ctrlProp" Target="../ctrlProps/ctrlProp339.xml"/><Relationship Id="rId3" Type="http://schemas.openxmlformats.org/officeDocument/2006/relationships/vmlDrawing" Target="../drawings/vmlDrawing32.vml"/><Relationship Id="rId21" Type="http://schemas.openxmlformats.org/officeDocument/2006/relationships/ctrlProp" Target="../ctrlProps/ctrlProp334.xml"/><Relationship Id="rId7" Type="http://schemas.openxmlformats.org/officeDocument/2006/relationships/ctrlProp" Target="../ctrlProps/ctrlProp320.xml"/><Relationship Id="rId12" Type="http://schemas.openxmlformats.org/officeDocument/2006/relationships/ctrlProp" Target="../ctrlProps/ctrlProp325.xml"/><Relationship Id="rId17" Type="http://schemas.openxmlformats.org/officeDocument/2006/relationships/ctrlProp" Target="../ctrlProps/ctrlProp330.xml"/><Relationship Id="rId25" Type="http://schemas.openxmlformats.org/officeDocument/2006/relationships/ctrlProp" Target="../ctrlProps/ctrlProp338.xml"/><Relationship Id="rId2" Type="http://schemas.openxmlformats.org/officeDocument/2006/relationships/drawing" Target="../drawings/drawing54.xml"/><Relationship Id="rId16" Type="http://schemas.openxmlformats.org/officeDocument/2006/relationships/ctrlProp" Target="../ctrlProps/ctrlProp329.xml"/><Relationship Id="rId20" Type="http://schemas.openxmlformats.org/officeDocument/2006/relationships/ctrlProp" Target="../ctrlProps/ctrlProp333.xml"/><Relationship Id="rId29" Type="http://schemas.openxmlformats.org/officeDocument/2006/relationships/ctrlProp" Target="../ctrlProps/ctrlProp342.xml"/><Relationship Id="rId1" Type="http://schemas.openxmlformats.org/officeDocument/2006/relationships/printerSettings" Target="../printerSettings/printerSettings54.bin"/><Relationship Id="rId6" Type="http://schemas.openxmlformats.org/officeDocument/2006/relationships/ctrlProp" Target="../ctrlProps/ctrlProp319.xml"/><Relationship Id="rId11" Type="http://schemas.openxmlformats.org/officeDocument/2006/relationships/ctrlProp" Target="../ctrlProps/ctrlProp324.xml"/><Relationship Id="rId24" Type="http://schemas.openxmlformats.org/officeDocument/2006/relationships/ctrlProp" Target="../ctrlProps/ctrlProp337.xml"/><Relationship Id="rId5" Type="http://schemas.openxmlformats.org/officeDocument/2006/relationships/ctrlProp" Target="../ctrlProps/ctrlProp318.xml"/><Relationship Id="rId15" Type="http://schemas.openxmlformats.org/officeDocument/2006/relationships/ctrlProp" Target="../ctrlProps/ctrlProp328.xml"/><Relationship Id="rId23" Type="http://schemas.openxmlformats.org/officeDocument/2006/relationships/ctrlProp" Target="../ctrlProps/ctrlProp336.xml"/><Relationship Id="rId28" Type="http://schemas.openxmlformats.org/officeDocument/2006/relationships/ctrlProp" Target="../ctrlProps/ctrlProp341.xml"/><Relationship Id="rId10" Type="http://schemas.openxmlformats.org/officeDocument/2006/relationships/ctrlProp" Target="../ctrlProps/ctrlProp323.xml"/><Relationship Id="rId19" Type="http://schemas.openxmlformats.org/officeDocument/2006/relationships/ctrlProp" Target="../ctrlProps/ctrlProp332.xml"/><Relationship Id="rId4" Type="http://schemas.openxmlformats.org/officeDocument/2006/relationships/ctrlProp" Target="../ctrlProps/ctrlProp317.xml"/><Relationship Id="rId9" Type="http://schemas.openxmlformats.org/officeDocument/2006/relationships/ctrlProp" Target="../ctrlProps/ctrlProp322.xml"/><Relationship Id="rId14" Type="http://schemas.openxmlformats.org/officeDocument/2006/relationships/ctrlProp" Target="../ctrlProps/ctrlProp327.xml"/><Relationship Id="rId22" Type="http://schemas.openxmlformats.org/officeDocument/2006/relationships/ctrlProp" Target="../ctrlProps/ctrlProp335.xml"/><Relationship Id="rId27" Type="http://schemas.openxmlformats.org/officeDocument/2006/relationships/ctrlProp" Target="../ctrlProps/ctrlProp340.xml"/><Relationship Id="rId30" Type="http://schemas.openxmlformats.org/officeDocument/2006/relationships/comments" Target="../comments2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7.xml"/><Relationship Id="rId13" Type="http://schemas.openxmlformats.org/officeDocument/2006/relationships/ctrlProp" Target="../ctrlProps/ctrlProp352.xml"/><Relationship Id="rId18" Type="http://schemas.openxmlformats.org/officeDocument/2006/relationships/ctrlProp" Target="../ctrlProps/ctrlProp357.xml"/><Relationship Id="rId26" Type="http://schemas.openxmlformats.org/officeDocument/2006/relationships/ctrlProp" Target="../ctrlProps/ctrlProp365.xml"/><Relationship Id="rId3" Type="http://schemas.openxmlformats.org/officeDocument/2006/relationships/vmlDrawing" Target="../drawings/vmlDrawing33.vml"/><Relationship Id="rId21" Type="http://schemas.openxmlformats.org/officeDocument/2006/relationships/ctrlProp" Target="../ctrlProps/ctrlProp360.xml"/><Relationship Id="rId7" Type="http://schemas.openxmlformats.org/officeDocument/2006/relationships/ctrlProp" Target="../ctrlProps/ctrlProp346.xml"/><Relationship Id="rId12" Type="http://schemas.openxmlformats.org/officeDocument/2006/relationships/ctrlProp" Target="../ctrlProps/ctrlProp351.xml"/><Relationship Id="rId17" Type="http://schemas.openxmlformats.org/officeDocument/2006/relationships/ctrlProp" Target="../ctrlProps/ctrlProp356.xml"/><Relationship Id="rId25" Type="http://schemas.openxmlformats.org/officeDocument/2006/relationships/ctrlProp" Target="../ctrlProps/ctrlProp364.xml"/><Relationship Id="rId2" Type="http://schemas.openxmlformats.org/officeDocument/2006/relationships/drawing" Target="../drawings/drawing56.xml"/><Relationship Id="rId16" Type="http://schemas.openxmlformats.org/officeDocument/2006/relationships/ctrlProp" Target="../ctrlProps/ctrlProp355.xml"/><Relationship Id="rId20" Type="http://schemas.openxmlformats.org/officeDocument/2006/relationships/ctrlProp" Target="../ctrlProps/ctrlProp359.xml"/><Relationship Id="rId29" Type="http://schemas.openxmlformats.org/officeDocument/2006/relationships/ctrlProp" Target="../ctrlProps/ctrlProp368.xml"/><Relationship Id="rId1" Type="http://schemas.openxmlformats.org/officeDocument/2006/relationships/printerSettings" Target="../printerSettings/printerSettings56.bin"/><Relationship Id="rId6" Type="http://schemas.openxmlformats.org/officeDocument/2006/relationships/ctrlProp" Target="../ctrlProps/ctrlProp345.xml"/><Relationship Id="rId11" Type="http://schemas.openxmlformats.org/officeDocument/2006/relationships/ctrlProp" Target="../ctrlProps/ctrlProp350.xml"/><Relationship Id="rId24" Type="http://schemas.openxmlformats.org/officeDocument/2006/relationships/ctrlProp" Target="../ctrlProps/ctrlProp363.xml"/><Relationship Id="rId5" Type="http://schemas.openxmlformats.org/officeDocument/2006/relationships/ctrlProp" Target="../ctrlProps/ctrlProp344.xml"/><Relationship Id="rId15" Type="http://schemas.openxmlformats.org/officeDocument/2006/relationships/ctrlProp" Target="../ctrlProps/ctrlProp354.xml"/><Relationship Id="rId23" Type="http://schemas.openxmlformats.org/officeDocument/2006/relationships/ctrlProp" Target="../ctrlProps/ctrlProp362.xml"/><Relationship Id="rId28" Type="http://schemas.openxmlformats.org/officeDocument/2006/relationships/ctrlProp" Target="../ctrlProps/ctrlProp367.xml"/><Relationship Id="rId10" Type="http://schemas.openxmlformats.org/officeDocument/2006/relationships/ctrlProp" Target="../ctrlProps/ctrlProp349.xml"/><Relationship Id="rId19" Type="http://schemas.openxmlformats.org/officeDocument/2006/relationships/ctrlProp" Target="../ctrlProps/ctrlProp358.xml"/><Relationship Id="rId4" Type="http://schemas.openxmlformats.org/officeDocument/2006/relationships/ctrlProp" Target="../ctrlProps/ctrlProp343.xml"/><Relationship Id="rId9" Type="http://schemas.openxmlformats.org/officeDocument/2006/relationships/ctrlProp" Target="../ctrlProps/ctrlProp348.xml"/><Relationship Id="rId14" Type="http://schemas.openxmlformats.org/officeDocument/2006/relationships/ctrlProp" Target="../ctrlProps/ctrlProp353.xml"/><Relationship Id="rId22" Type="http://schemas.openxmlformats.org/officeDocument/2006/relationships/ctrlProp" Target="../ctrlProps/ctrlProp361.xml"/><Relationship Id="rId27" Type="http://schemas.openxmlformats.org/officeDocument/2006/relationships/ctrlProp" Target="../ctrlProps/ctrlProp366.xml"/><Relationship Id="rId30" Type="http://schemas.openxmlformats.org/officeDocument/2006/relationships/comments" Target="../comments24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3.xml"/><Relationship Id="rId13" Type="http://schemas.openxmlformats.org/officeDocument/2006/relationships/ctrlProp" Target="../ctrlProps/ctrlProp378.xml"/><Relationship Id="rId18" Type="http://schemas.openxmlformats.org/officeDocument/2006/relationships/ctrlProp" Target="../ctrlProps/ctrlProp383.xml"/><Relationship Id="rId26" Type="http://schemas.openxmlformats.org/officeDocument/2006/relationships/ctrlProp" Target="../ctrlProps/ctrlProp391.xml"/><Relationship Id="rId3" Type="http://schemas.openxmlformats.org/officeDocument/2006/relationships/vmlDrawing" Target="../drawings/vmlDrawing34.vml"/><Relationship Id="rId21" Type="http://schemas.openxmlformats.org/officeDocument/2006/relationships/ctrlProp" Target="../ctrlProps/ctrlProp386.xml"/><Relationship Id="rId7" Type="http://schemas.openxmlformats.org/officeDocument/2006/relationships/ctrlProp" Target="../ctrlProps/ctrlProp372.xml"/><Relationship Id="rId12" Type="http://schemas.openxmlformats.org/officeDocument/2006/relationships/ctrlProp" Target="../ctrlProps/ctrlProp377.xml"/><Relationship Id="rId17" Type="http://schemas.openxmlformats.org/officeDocument/2006/relationships/ctrlProp" Target="../ctrlProps/ctrlProp382.xml"/><Relationship Id="rId25" Type="http://schemas.openxmlformats.org/officeDocument/2006/relationships/ctrlProp" Target="../ctrlProps/ctrlProp390.xml"/><Relationship Id="rId2" Type="http://schemas.openxmlformats.org/officeDocument/2006/relationships/drawing" Target="../drawings/drawing58.xml"/><Relationship Id="rId16" Type="http://schemas.openxmlformats.org/officeDocument/2006/relationships/ctrlProp" Target="../ctrlProps/ctrlProp381.xml"/><Relationship Id="rId20" Type="http://schemas.openxmlformats.org/officeDocument/2006/relationships/ctrlProp" Target="../ctrlProps/ctrlProp385.xml"/><Relationship Id="rId29" Type="http://schemas.openxmlformats.org/officeDocument/2006/relationships/ctrlProp" Target="../ctrlProps/ctrlProp394.xml"/><Relationship Id="rId1" Type="http://schemas.openxmlformats.org/officeDocument/2006/relationships/printerSettings" Target="../printerSettings/printerSettings58.bin"/><Relationship Id="rId6" Type="http://schemas.openxmlformats.org/officeDocument/2006/relationships/ctrlProp" Target="../ctrlProps/ctrlProp371.xml"/><Relationship Id="rId11" Type="http://schemas.openxmlformats.org/officeDocument/2006/relationships/ctrlProp" Target="../ctrlProps/ctrlProp376.xml"/><Relationship Id="rId24" Type="http://schemas.openxmlformats.org/officeDocument/2006/relationships/ctrlProp" Target="../ctrlProps/ctrlProp389.xml"/><Relationship Id="rId5" Type="http://schemas.openxmlformats.org/officeDocument/2006/relationships/ctrlProp" Target="../ctrlProps/ctrlProp370.xml"/><Relationship Id="rId15" Type="http://schemas.openxmlformats.org/officeDocument/2006/relationships/ctrlProp" Target="../ctrlProps/ctrlProp380.xml"/><Relationship Id="rId23" Type="http://schemas.openxmlformats.org/officeDocument/2006/relationships/ctrlProp" Target="../ctrlProps/ctrlProp388.xml"/><Relationship Id="rId28" Type="http://schemas.openxmlformats.org/officeDocument/2006/relationships/ctrlProp" Target="../ctrlProps/ctrlProp393.xml"/><Relationship Id="rId10" Type="http://schemas.openxmlformats.org/officeDocument/2006/relationships/ctrlProp" Target="../ctrlProps/ctrlProp375.xml"/><Relationship Id="rId19" Type="http://schemas.openxmlformats.org/officeDocument/2006/relationships/ctrlProp" Target="../ctrlProps/ctrlProp384.xml"/><Relationship Id="rId4" Type="http://schemas.openxmlformats.org/officeDocument/2006/relationships/ctrlProp" Target="../ctrlProps/ctrlProp369.xml"/><Relationship Id="rId9" Type="http://schemas.openxmlformats.org/officeDocument/2006/relationships/ctrlProp" Target="../ctrlProps/ctrlProp374.xml"/><Relationship Id="rId14" Type="http://schemas.openxmlformats.org/officeDocument/2006/relationships/ctrlProp" Target="../ctrlProps/ctrlProp379.xml"/><Relationship Id="rId22" Type="http://schemas.openxmlformats.org/officeDocument/2006/relationships/ctrlProp" Target="../ctrlProps/ctrlProp387.xml"/><Relationship Id="rId27" Type="http://schemas.openxmlformats.org/officeDocument/2006/relationships/ctrlProp" Target="../ctrlProps/ctrlProp392.xml"/><Relationship Id="rId30" Type="http://schemas.openxmlformats.org/officeDocument/2006/relationships/comments" Target="../comments25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9.xml"/><Relationship Id="rId13" Type="http://schemas.openxmlformats.org/officeDocument/2006/relationships/ctrlProp" Target="../ctrlProps/ctrlProp404.xml"/><Relationship Id="rId18" Type="http://schemas.openxmlformats.org/officeDocument/2006/relationships/ctrlProp" Target="../ctrlProps/ctrlProp409.xml"/><Relationship Id="rId26" Type="http://schemas.openxmlformats.org/officeDocument/2006/relationships/ctrlProp" Target="../ctrlProps/ctrlProp417.xml"/><Relationship Id="rId3" Type="http://schemas.openxmlformats.org/officeDocument/2006/relationships/vmlDrawing" Target="../drawings/vmlDrawing35.vml"/><Relationship Id="rId21" Type="http://schemas.openxmlformats.org/officeDocument/2006/relationships/ctrlProp" Target="../ctrlProps/ctrlProp412.xml"/><Relationship Id="rId7" Type="http://schemas.openxmlformats.org/officeDocument/2006/relationships/ctrlProp" Target="../ctrlProps/ctrlProp398.xml"/><Relationship Id="rId12" Type="http://schemas.openxmlformats.org/officeDocument/2006/relationships/ctrlProp" Target="../ctrlProps/ctrlProp403.xml"/><Relationship Id="rId17" Type="http://schemas.openxmlformats.org/officeDocument/2006/relationships/ctrlProp" Target="../ctrlProps/ctrlProp408.xml"/><Relationship Id="rId25" Type="http://schemas.openxmlformats.org/officeDocument/2006/relationships/ctrlProp" Target="../ctrlProps/ctrlProp416.xml"/><Relationship Id="rId2" Type="http://schemas.openxmlformats.org/officeDocument/2006/relationships/drawing" Target="../drawings/drawing60.xml"/><Relationship Id="rId16" Type="http://schemas.openxmlformats.org/officeDocument/2006/relationships/ctrlProp" Target="../ctrlProps/ctrlProp407.xml"/><Relationship Id="rId20" Type="http://schemas.openxmlformats.org/officeDocument/2006/relationships/ctrlProp" Target="../ctrlProps/ctrlProp411.xml"/><Relationship Id="rId29" Type="http://schemas.openxmlformats.org/officeDocument/2006/relationships/ctrlProp" Target="../ctrlProps/ctrlProp420.xml"/><Relationship Id="rId1" Type="http://schemas.openxmlformats.org/officeDocument/2006/relationships/printerSettings" Target="../printerSettings/printerSettings60.bin"/><Relationship Id="rId6" Type="http://schemas.openxmlformats.org/officeDocument/2006/relationships/ctrlProp" Target="../ctrlProps/ctrlProp397.xml"/><Relationship Id="rId11" Type="http://schemas.openxmlformats.org/officeDocument/2006/relationships/ctrlProp" Target="../ctrlProps/ctrlProp402.xml"/><Relationship Id="rId24" Type="http://schemas.openxmlformats.org/officeDocument/2006/relationships/ctrlProp" Target="../ctrlProps/ctrlProp415.xml"/><Relationship Id="rId5" Type="http://schemas.openxmlformats.org/officeDocument/2006/relationships/ctrlProp" Target="../ctrlProps/ctrlProp396.xml"/><Relationship Id="rId15" Type="http://schemas.openxmlformats.org/officeDocument/2006/relationships/ctrlProp" Target="../ctrlProps/ctrlProp406.xml"/><Relationship Id="rId23" Type="http://schemas.openxmlformats.org/officeDocument/2006/relationships/ctrlProp" Target="../ctrlProps/ctrlProp414.xml"/><Relationship Id="rId28" Type="http://schemas.openxmlformats.org/officeDocument/2006/relationships/ctrlProp" Target="../ctrlProps/ctrlProp419.xml"/><Relationship Id="rId10" Type="http://schemas.openxmlformats.org/officeDocument/2006/relationships/ctrlProp" Target="../ctrlProps/ctrlProp401.xml"/><Relationship Id="rId19" Type="http://schemas.openxmlformats.org/officeDocument/2006/relationships/ctrlProp" Target="../ctrlProps/ctrlProp410.xml"/><Relationship Id="rId4" Type="http://schemas.openxmlformats.org/officeDocument/2006/relationships/ctrlProp" Target="../ctrlProps/ctrlProp395.xml"/><Relationship Id="rId9" Type="http://schemas.openxmlformats.org/officeDocument/2006/relationships/ctrlProp" Target="../ctrlProps/ctrlProp400.xml"/><Relationship Id="rId14" Type="http://schemas.openxmlformats.org/officeDocument/2006/relationships/ctrlProp" Target="../ctrlProps/ctrlProp405.xml"/><Relationship Id="rId22" Type="http://schemas.openxmlformats.org/officeDocument/2006/relationships/ctrlProp" Target="../ctrlProps/ctrlProp413.xml"/><Relationship Id="rId27" Type="http://schemas.openxmlformats.org/officeDocument/2006/relationships/ctrlProp" Target="../ctrlProps/ctrlProp418.xml"/><Relationship Id="rId30" Type="http://schemas.openxmlformats.org/officeDocument/2006/relationships/comments" Target="../comments26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5.xml"/><Relationship Id="rId13" Type="http://schemas.openxmlformats.org/officeDocument/2006/relationships/ctrlProp" Target="../ctrlProps/ctrlProp430.xml"/><Relationship Id="rId18" Type="http://schemas.openxmlformats.org/officeDocument/2006/relationships/ctrlProp" Target="../ctrlProps/ctrlProp435.xml"/><Relationship Id="rId26" Type="http://schemas.openxmlformats.org/officeDocument/2006/relationships/ctrlProp" Target="../ctrlProps/ctrlProp443.xml"/><Relationship Id="rId3" Type="http://schemas.openxmlformats.org/officeDocument/2006/relationships/vmlDrawing" Target="../drawings/vmlDrawing36.vml"/><Relationship Id="rId21" Type="http://schemas.openxmlformats.org/officeDocument/2006/relationships/ctrlProp" Target="../ctrlProps/ctrlProp438.xml"/><Relationship Id="rId7" Type="http://schemas.openxmlformats.org/officeDocument/2006/relationships/ctrlProp" Target="../ctrlProps/ctrlProp424.xml"/><Relationship Id="rId12" Type="http://schemas.openxmlformats.org/officeDocument/2006/relationships/ctrlProp" Target="../ctrlProps/ctrlProp429.xml"/><Relationship Id="rId17" Type="http://schemas.openxmlformats.org/officeDocument/2006/relationships/ctrlProp" Target="../ctrlProps/ctrlProp434.xml"/><Relationship Id="rId25" Type="http://schemas.openxmlformats.org/officeDocument/2006/relationships/ctrlProp" Target="../ctrlProps/ctrlProp442.xml"/><Relationship Id="rId2" Type="http://schemas.openxmlformats.org/officeDocument/2006/relationships/drawing" Target="../drawings/drawing62.xml"/><Relationship Id="rId16" Type="http://schemas.openxmlformats.org/officeDocument/2006/relationships/ctrlProp" Target="../ctrlProps/ctrlProp433.xml"/><Relationship Id="rId20" Type="http://schemas.openxmlformats.org/officeDocument/2006/relationships/ctrlProp" Target="../ctrlProps/ctrlProp437.xml"/><Relationship Id="rId29" Type="http://schemas.openxmlformats.org/officeDocument/2006/relationships/ctrlProp" Target="../ctrlProps/ctrlProp446.xml"/><Relationship Id="rId1" Type="http://schemas.openxmlformats.org/officeDocument/2006/relationships/printerSettings" Target="../printerSettings/printerSettings62.bin"/><Relationship Id="rId6" Type="http://schemas.openxmlformats.org/officeDocument/2006/relationships/ctrlProp" Target="../ctrlProps/ctrlProp423.xml"/><Relationship Id="rId11" Type="http://schemas.openxmlformats.org/officeDocument/2006/relationships/ctrlProp" Target="../ctrlProps/ctrlProp428.xml"/><Relationship Id="rId24" Type="http://schemas.openxmlformats.org/officeDocument/2006/relationships/ctrlProp" Target="../ctrlProps/ctrlProp441.xml"/><Relationship Id="rId5" Type="http://schemas.openxmlformats.org/officeDocument/2006/relationships/ctrlProp" Target="../ctrlProps/ctrlProp422.xml"/><Relationship Id="rId15" Type="http://schemas.openxmlformats.org/officeDocument/2006/relationships/ctrlProp" Target="../ctrlProps/ctrlProp432.xml"/><Relationship Id="rId23" Type="http://schemas.openxmlformats.org/officeDocument/2006/relationships/ctrlProp" Target="../ctrlProps/ctrlProp440.xml"/><Relationship Id="rId28" Type="http://schemas.openxmlformats.org/officeDocument/2006/relationships/ctrlProp" Target="../ctrlProps/ctrlProp445.xml"/><Relationship Id="rId10" Type="http://schemas.openxmlformats.org/officeDocument/2006/relationships/ctrlProp" Target="../ctrlProps/ctrlProp427.xml"/><Relationship Id="rId19" Type="http://schemas.openxmlformats.org/officeDocument/2006/relationships/ctrlProp" Target="../ctrlProps/ctrlProp436.xml"/><Relationship Id="rId4" Type="http://schemas.openxmlformats.org/officeDocument/2006/relationships/ctrlProp" Target="../ctrlProps/ctrlProp421.xml"/><Relationship Id="rId9" Type="http://schemas.openxmlformats.org/officeDocument/2006/relationships/ctrlProp" Target="../ctrlProps/ctrlProp426.xml"/><Relationship Id="rId14" Type="http://schemas.openxmlformats.org/officeDocument/2006/relationships/ctrlProp" Target="../ctrlProps/ctrlProp431.xml"/><Relationship Id="rId22" Type="http://schemas.openxmlformats.org/officeDocument/2006/relationships/ctrlProp" Target="../ctrlProps/ctrlProp439.xml"/><Relationship Id="rId27" Type="http://schemas.openxmlformats.org/officeDocument/2006/relationships/ctrlProp" Target="../ctrlProps/ctrlProp444.xml"/><Relationship Id="rId30" Type="http://schemas.openxmlformats.org/officeDocument/2006/relationships/comments" Target="../comments27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1.xml"/><Relationship Id="rId13" Type="http://schemas.openxmlformats.org/officeDocument/2006/relationships/ctrlProp" Target="../ctrlProps/ctrlProp456.xml"/><Relationship Id="rId18" Type="http://schemas.openxmlformats.org/officeDocument/2006/relationships/ctrlProp" Target="../ctrlProps/ctrlProp461.xml"/><Relationship Id="rId26" Type="http://schemas.openxmlformats.org/officeDocument/2006/relationships/ctrlProp" Target="../ctrlProps/ctrlProp469.xml"/><Relationship Id="rId3" Type="http://schemas.openxmlformats.org/officeDocument/2006/relationships/vmlDrawing" Target="../drawings/vmlDrawing37.vml"/><Relationship Id="rId21" Type="http://schemas.openxmlformats.org/officeDocument/2006/relationships/ctrlProp" Target="../ctrlProps/ctrlProp464.xml"/><Relationship Id="rId7" Type="http://schemas.openxmlformats.org/officeDocument/2006/relationships/ctrlProp" Target="../ctrlProps/ctrlProp450.xml"/><Relationship Id="rId12" Type="http://schemas.openxmlformats.org/officeDocument/2006/relationships/ctrlProp" Target="../ctrlProps/ctrlProp455.xml"/><Relationship Id="rId17" Type="http://schemas.openxmlformats.org/officeDocument/2006/relationships/ctrlProp" Target="../ctrlProps/ctrlProp460.xml"/><Relationship Id="rId25" Type="http://schemas.openxmlformats.org/officeDocument/2006/relationships/ctrlProp" Target="../ctrlProps/ctrlProp468.xml"/><Relationship Id="rId2" Type="http://schemas.openxmlformats.org/officeDocument/2006/relationships/drawing" Target="../drawings/drawing64.xml"/><Relationship Id="rId16" Type="http://schemas.openxmlformats.org/officeDocument/2006/relationships/ctrlProp" Target="../ctrlProps/ctrlProp459.xml"/><Relationship Id="rId20" Type="http://schemas.openxmlformats.org/officeDocument/2006/relationships/ctrlProp" Target="../ctrlProps/ctrlProp463.xml"/><Relationship Id="rId29" Type="http://schemas.openxmlformats.org/officeDocument/2006/relationships/ctrlProp" Target="../ctrlProps/ctrlProp472.xml"/><Relationship Id="rId1" Type="http://schemas.openxmlformats.org/officeDocument/2006/relationships/printerSettings" Target="../printerSettings/printerSettings64.bin"/><Relationship Id="rId6" Type="http://schemas.openxmlformats.org/officeDocument/2006/relationships/ctrlProp" Target="../ctrlProps/ctrlProp449.xml"/><Relationship Id="rId11" Type="http://schemas.openxmlformats.org/officeDocument/2006/relationships/ctrlProp" Target="../ctrlProps/ctrlProp454.xml"/><Relationship Id="rId24" Type="http://schemas.openxmlformats.org/officeDocument/2006/relationships/ctrlProp" Target="../ctrlProps/ctrlProp467.xml"/><Relationship Id="rId5" Type="http://schemas.openxmlformats.org/officeDocument/2006/relationships/ctrlProp" Target="../ctrlProps/ctrlProp448.xml"/><Relationship Id="rId15" Type="http://schemas.openxmlformats.org/officeDocument/2006/relationships/ctrlProp" Target="../ctrlProps/ctrlProp458.xml"/><Relationship Id="rId23" Type="http://schemas.openxmlformats.org/officeDocument/2006/relationships/ctrlProp" Target="../ctrlProps/ctrlProp466.xml"/><Relationship Id="rId28" Type="http://schemas.openxmlformats.org/officeDocument/2006/relationships/ctrlProp" Target="../ctrlProps/ctrlProp471.xml"/><Relationship Id="rId10" Type="http://schemas.openxmlformats.org/officeDocument/2006/relationships/ctrlProp" Target="../ctrlProps/ctrlProp453.xml"/><Relationship Id="rId19" Type="http://schemas.openxmlformats.org/officeDocument/2006/relationships/ctrlProp" Target="../ctrlProps/ctrlProp462.xml"/><Relationship Id="rId4" Type="http://schemas.openxmlformats.org/officeDocument/2006/relationships/ctrlProp" Target="../ctrlProps/ctrlProp447.xml"/><Relationship Id="rId9" Type="http://schemas.openxmlformats.org/officeDocument/2006/relationships/ctrlProp" Target="../ctrlProps/ctrlProp452.xml"/><Relationship Id="rId14" Type="http://schemas.openxmlformats.org/officeDocument/2006/relationships/ctrlProp" Target="../ctrlProps/ctrlProp457.xml"/><Relationship Id="rId22" Type="http://schemas.openxmlformats.org/officeDocument/2006/relationships/ctrlProp" Target="../ctrlProps/ctrlProp465.xml"/><Relationship Id="rId27" Type="http://schemas.openxmlformats.org/officeDocument/2006/relationships/ctrlProp" Target="../ctrlProps/ctrlProp470.xml"/><Relationship Id="rId30" Type="http://schemas.openxmlformats.org/officeDocument/2006/relationships/comments" Target="../comments28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7.xml"/><Relationship Id="rId13" Type="http://schemas.openxmlformats.org/officeDocument/2006/relationships/ctrlProp" Target="../ctrlProps/ctrlProp482.xml"/><Relationship Id="rId18" Type="http://schemas.openxmlformats.org/officeDocument/2006/relationships/ctrlProp" Target="../ctrlProps/ctrlProp487.xml"/><Relationship Id="rId26" Type="http://schemas.openxmlformats.org/officeDocument/2006/relationships/ctrlProp" Target="../ctrlProps/ctrlProp495.xml"/><Relationship Id="rId3" Type="http://schemas.openxmlformats.org/officeDocument/2006/relationships/vmlDrawing" Target="../drawings/vmlDrawing38.vml"/><Relationship Id="rId21" Type="http://schemas.openxmlformats.org/officeDocument/2006/relationships/ctrlProp" Target="../ctrlProps/ctrlProp490.xml"/><Relationship Id="rId7" Type="http://schemas.openxmlformats.org/officeDocument/2006/relationships/ctrlProp" Target="../ctrlProps/ctrlProp476.xml"/><Relationship Id="rId12" Type="http://schemas.openxmlformats.org/officeDocument/2006/relationships/ctrlProp" Target="../ctrlProps/ctrlProp481.xml"/><Relationship Id="rId17" Type="http://schemas.openxmlformats.org/officeDocument/2006/relationships/ctrlProp" Target="../ctrlProps/ctrlProp486.xml"/><Relationship Id="rId25" Type="http://schemas.openxmlformats.org/officeDocument/2006/relationships/ctrlProp" Target="../ctrlProps/ctrlProp494.xml"/><Relationship Id="rId2" Type="http://schemas.openxmlformats.org/officeDocument/2006/relationships/drawing" Target="../drawings/drawing66.xml"/><Relationship Id="rId16" Type="http://schemas.openxmlformats.org/officeDocument/2006/relationships/ctrlProp" Target="../ctrlProps/ctrlProp485.xml"/><Relationship Id="rId20" Type="http://schemas.openxmlformats.org/officeDocument/2006/relationships/ctrlProp" Target="../ctrlProps/ctrlProp489.xml"/><Relationship Id="rId29" Type="http://schemas.openxmlformats.org/officeDocument/2006/relationships/ctrlProp" Target="../ctrlProps/ctrlProp498.xml"/><Relationship Id="rId1" Type="http://schemas.openxmlformats.org/officeDocument/2006/relationships/printerSettings" Target="../printerSettings/printerSettings66.bin"/><Relationship Id="rId6" Type="http://schemas.openxmlformats.org/officeDocument/2006/relationships/ctrlProp" Target="../ctrlProps/ctrlProp475.xml"/><Relationship Id="rId11" Type="http://schemas.openxmlformats.org/officeDocument/2006/relationships/ctrlProp" Target="../ctrlProps/ctrlProp480.xml"/><Relationship Id="rId24" Type="http://schemas.openxmlformats.org/officeDocument/2006/relationships/ctrlProp" Target="../ctrlProps/ctrlProp493.xml"/><Relationship Id="rId5" Type="http://schemas.openxmlformats.org/officeDocument/2006/relationships/ctrlProp" Target="../ctrlProps/ctrlProp474.xml"/><Relationship Id="rId15" Type="http://schemas.openxmlformats.org/officeDocument/2006/relationships/ctrlProp" Target="../ctrlProps/ctrlProp484.xml"/><Relationship Id="rId23" Type="http://schemas.openxmlformats.org/officeDocument/2006/relationships/ctrlProp" Target="../ctrlProps/ctrlProp492.xml"/><Relationship Id="rId28" Type="http://schemas.openxmlformats.org/officeDocument/2006/relationships/ctrlProp" Target="../ctrlProps/ctrlProp497.xml"/><Relationship Id="rId10" Type="http://schemas.openxmlformats.org/officeDocument/2006/relationships/ctrlProp" Target="../ctrlProps/ctrlProp479.xml"/><Relationship Id="rId19" Type="http://schemas.openxmlformats.org/officeDocument/2006/relationships/ctrlProp" Target="../ctrlProps/ctrlProp488.xml"/><Relationship Id="rId4" Type="http://schemas.openxmlformats.org/officeDocument/2006/relationships/ctrlProp" Target="../ctrlProps/ctrlProp473.xml"/><Relationship Id="rId9" Type="http://schemas.openxmlformats.org/officeDocument/2006/relationships/ctrlProp" Target="../ctrlProps/ctrlProp478.xml"/><Relationship Id="rId14" Type="http://schemas.openxmlformats.org/officeDocument/2006/relationships/ctrlProp" Target="../ctrlProps/ctrlProp483.xml"/><Relationship Id="rId22" Type="http://schemas.openxmlformats.org/officeDocument/2006/relationships/ctrlProp" Target="../ctrlProps/ctrlProp491.xml"/><Relationship Id="rId27" Type="http://schemas.openxmlformats.org/officeDocument/2006/relationships/ctrlProp" Target="../ctrlProps/ctrlProp496.xml"/><Relationship Id="rId30" Type="http://schemas.openxmlformats.org/officeDocument/2006/relationships/comments" Target="../comments2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3.xml"/><Relationship Id="rId13" Type="http://schemas.openxmlformats.org/officeDocument/2006/relationships/ctrlProp" Target="../ctrlProps/ctrlProp508.xml"/><Relationship Id="rId18" Type="http://schemas.openxmlformats.org/officeDocument/2006/relationships/ctrlProp" Target="../ctrlProps/ctrlProp513.xml"/><Relationship Id="rId26" Type="http://schemas.openxmlformats.org/officeDocument/2006/relationships/ctrlProp" Target="../ctrlProps/ctrlProp521.xml"/><Relationship Id="rId3" Type="http://schemas.openxmlformats.org/officeDocument/2006/relationships/vmlDrawing" Target="../drawings/vmlDrawing39.vml"/><Relationship Id="rId21" Type="http://schemas.openxmlformats.org/officeDocument/2006/relationships/ctrlProp" Target="../ctrlProps/ctrlProp516.xml"/><Relationship Id="rId7" Type="http://schemas.openxmlformats.org/officeDocument/2006/relationships/ctrlProp" Target="../ctrlProps/ctrlProp502.xml"/><Relationship Id="rId12" Type="http://schemas.openxmlformats.org/officeDocument/2006/relationships/ctrlProp" Target="../ctrlProps/ctrlProp507.xml"/><Relationship Id="rId17" Type="http://schemas.openxmlformats.org/officeDocument/2006/relationships/ctrlProp" Target="../ctrlProps/ctrlProp512.xml"/><Relationship Id="rId25" Type="http://schemas.openxmlformats.org/officeDocument/2006/relationships/ctrlProp" Target="../ctrlProps/ctrlProp520.xml"/><Relationship Id="rId2" Type="http://schemas.openxmlformats.org/officeDocument/2006/relationships/drawing" Target="../drawings/drawing68.xml"/><Relationship Id="rId16" Type="http://schemas.openxmlformats.org/officeDocument/2006/relationships/ctrlProp" Target="../ctrlProps/ctrlProp511.xml"/><Relationship Id="rId20" Type="http://schemas.openxmlformats.org/officeDocument/2006/relationships/ctrlProp" Target="../ctrlProps/ctrlProp515.xml"/><Relationship Id="rId29" Type="http://schemas.openxmlformats.org/officeDocument/2006/relationships/ctrlProp" Target="../ctrlProps/ctrlProp524.xml"/><Relationship Id="rId1" Type="http://schemas.openxmlformats.org/officeDocument/2006/relationships/printerSettings" Target="../printerSettings/printerSettings68.bin"/><Relationship Id="rId6" Type="http://schemas.openxmlformats.org/officeDocument/2006/relationships/ctrlProp" Target="../ctrlProps/ctrlProp501.xml"/><Relationship Id="rId11" Type="http://schemas.openxmlformats.org/officeDocument/2006/relationships/ctrlProp" Target="../ctrlProps/ctrlProp506.xml"/><Relationship Id="rId24" Type="http://schemas.openxmlformats.org/officeDocument/2006/relationships/ctrlProp" Target="../ctrlProps/ctrlProp519.xml"/><Relationship Id="rId5" Type="http://schemas.openxmlformats.org/officeDocument/2006/relationships/ctrlProp" Target="../ctrlProps/ctrlProp500.xml"/><Relationship Id="rId15" Type="http://schemas.openxmlformats.org/officeDocument/2006/relationships/ctrlProp" Target="../ctrlProps/ctrlProp510.xml"/><Relationship Id="rId23" Type="http://schemas.openxmlformats.org/officeDocument/2006/relationships/ctrlProp" Target="../ctrlProps/ctrlProp518.xml"/><Relationship Id="rId28" Type="http://schemas.openxmlformats.org/officeDocument/2006/relationships/ctrlProp" Target="../ctrlProps/ctrlProp523.xml"/><Relationship Id="rId10" Type="http://schemas.openxmlformats.org/officeDocument/2006/relationships/ctrlProp" Target="../ctrlProps/ctrlProp505.xml"/><Relationship Id="rId19" Type="http://schemas.openxmlformats.org/officeDocument/2006/relationships/ctrlProp" Target="../ctrlProps/ctrlProp514.xml"/><Relationship Id="rId31" Type="http://schemas.openxmlformats.org/officeDocument/2006/relationships/comments" Target="../comments30.xml"/><Relationship Id="rId4" Type="http://schemas.openxmlformats.org/officeDocument/2006/relationships/ctrlProp" Target="../ctrlProps/ctrlProp499.xml"/><Relationship Id="rId9" Type="http://schemas.openxmlformats.org/officeDocument/2006/relationships/ctrlProp" Target="../ctrlProps/ctrlProp504.xml"/><Relationship Id="rId14" Type="http://schemas.openxmlformats.org/officeDocument/2006/relationships/ctrlProp" Target="../ctrlProps/ctrlProp509.xml"/><Relationship Id="rId22" Type="http://schemas.openxmlformats.org/officeDocument/2006/relationships/ctrlProp" Target="../ctrlProps/ctrlProp517.xml"/><Relationship Id="rId27" Type="http://schemas.openxmlformats.org/officeDocument/2006/relationships/ctrlProp" Target="../ctrlProps/ctrlProp522.xml"/><Relationship Id="rId30" Type="http://schemas.openxmlformats.org/officeDocument/2006/relationships/ctrlProp" Target="../ctrlProps/ctrlProp525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0.xml"/><Relationship Id="rId13" Type="http://schemas.openxmlformats.org/officeDocument/2006/relationships/ctrlProp" Target="../ctrlProps/ctrlProp535.xml"/><Relationship Id="rId18" Type="http://schemas.openxmlformats.org/officeDocument/2006/relationships/ctrlProp" Target="../ctrlProps/ctrlProp540.xml"/><Relationship Id="rId26" Type="http://schemas.openxmlformats.org/officeDocument/2006/relationships/ctrlProp" Target="../ctrlProps/ctrlProp548.xml"/><Relationship Id="rId3" Type="http://schemas.openxmlformats.org/officeDocument/2006/relationships/vmlDrawing" Target="../drawings/vmlDrawing40.vml"/><Relationship Id="rId21" Type="http://schemas.openxmlformats.org/officeDocument/2006/relationships/ctrlProp" Target="../ctrlProps/ctrlProp543.xml"/><Relationship Id="rId7" Type="http://schemas.openxmlformats.org/officeDocument/2006/relationships/ctrlProp" Target="../ctrlProps/ctrlProp529.xml"/><Relationship Id="rId12" Type="http://schemas.openxmlformats.org/officeDocument/2006/relationships/ctrlProp" Target="../ctrlProps/ctrlProp534.xml"/><Relationship Id="rId17" Type="http://schemas.openxmlformats.org/officeDocument/2006/relationships/ctrlProp" Target="../ctrlProps/ctrlProp539.xml"/><Relationship Id="rId25" Type="http://schemas.openxmlformats.org/officeDocument/2006/relationships/ctrlProp" Target="../ctrlProps/ctrlProp547.xml"/><Relationship Id="rId2" Type="http://schemas.openxmlformats.org/officeDocument/2006/relationships/drawing" Target="../drawings/drawing70.xml"/><Relationship Id="rId16" Type="http://schemas.openxmlformats.org/officeDocument/2006/relationships/ctrlProp" Target="../ctrlProps/ctrlProp538.xml"/><Relationship Id="rId20" Type="http://schemas.openxmlformats.org/officeDocument/2006/relationships/ctrlProp" Target="../ctrlProps/ctrlProp542.xml"/><Relationship Id="rId29" Type="http://schemas.openxmlformats.org/officeDocument/2006/relationships/ctrlProp" Target="../ctrlProps/ctrlProp551.xml"/><Relationship Id="rId1" Type="http://schemas.openxmlformats.org/officeDocument/2006/relationships/printerSettings" Target="../printerSettings/printerSettings70.bin"/><Relationship Id="rId6" Type="http://schemas.openxmlformats.org/officeDocument/2006/relationships/ctrlProp" Target="../ctrlProps/ctrlProp528.xml"/><Relationship Id="rId11" Type="http://schemas.openxmlformats.org/officeDocument/2006/relationships/ctrlProp" Target="../ctrlProps/ctrlProp533.xml"/><Relationship Id="rId24" Type="http://schemas.openxmlformats.org/officeDocument/2006/relationships/ctrlProp" Target="../ctrlProps/ctrlProp546.xml"/><Relationship Id="rId5" Type="http://schemas.openxmlformats.org/officeDocument/2006/relationships/ctrlProp" Target="../ctrlProps/ctrlProp527.xml"/><Relationship Id="rId15" Type="http://schemas.openxmlformats.org/officeDocument/2006/relationships/ctrlProp" Target="../ctrlProps/ctrlProp537.xml"/><Relationship Id="rId23" Type="http://schemas.openxmlformats.org/officeDocument/2006/relationships/ctrlProp" Target="../ctrlProps/ctrlProp545.xml"/><Relationship Id="rId28" Type="http://schemas.openxmlformats.org/officeDocument/2006/relationships/ctrlProp" Target="../ctrlProps/ctrlProp550.xml"/><Relationship Id="rId10" Type="http://schemas.openxmlformats.org/officeDocument/2006/relationships/ctrlProp" Target="../ctrlProps/ctrlProp532.xml"/><Relationship Id="rId19" Type="http://schemas.openxmlformats.org/officeDocument/2006/relationships/ctrlProp" Target="../ctrlProps/ctrlProp541.xml"/><Relationship Id="rId31" Type="http://schemas.openxmlformats.org/officeDocument/2006/relationships/comments" Target="../comments31.xml"/><Relationship Id="rId4" Type="http://schemas.openxmlformats.org/officeDocument/2006/relationships/ctrlProp" Target="../ctrlProps/ctrlProp526.xml"/><Relationship Id="rId9" Type="http://schemas.openxmlformats.org/officeDocument/2006/relationships/ctrlProp" Target="../ctrlProps/ctrlProp531.xml"/><Relationship Id="rId14" Type="http://schemas.openxmlformats.org/officeDocument/2006/relationships/ctrlProp" Target="../ctrlProps/ctrlProp536.xml"/><Relationship Id="rId22" Type="http://schemas.openxmlformats.org/officeDocument/2006/relationships/ctrlProp" Target="../ctrlProps/ctrlProp544.xml"/><Relationship Id="rId27" Type="http://schemas.openxmlformats.org/officeDocument/2006/relationships/ctrlProp" Target="../ctrlProps/ctrlProp549.xml"/><Relationship Id="rId30" Type="http://schemas.openxmlformats.org/officeDocument/2006/relationships/ctrlProp" Target="../ctrlProps/ctrlProp552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57.xml"/><Relationship Id="rId13" Type="http://schemas.openxmlformats.org/officeDocument/2006/relationships/ctrlProp" Target="../ctrlProps/ctrlProp562.xml"/><Relationship Id="rId18" Type="http://schemas.openxmlformats.org/officeDocument/2006/relationships/ctrlProp" Target="../ctrlProps/ctrlProp567.xml"/><Relationship Id="rId26" Type="http://schemas.openxmlformats.org/officeDocument/2006/relationships/ctrlProp" Target="../ctrlProps/ctrlProp575.xml"/><Relationship Id="rId3" Type="http://schemas.openxmlformats.org/officeDocument/2006/relationships/vmlDrawing" Target="../drawings/vmlDrawing41.vml"/><Relationship Id="rId21" Type="http://schemas.openxmlformats.org/officeDocument/2006/relationships/ctrlProp" Target="../ctrlProps/ctrlProp570.xml"/><Relationship Id="rId7" Type="http://schemas.openxmlformats.org/officeDocument/2006/relationships/ctrlProp" Target="../ctrlProps/ctrlProp556.xml"/><Relationship Id="rId12" Type="http://schemas.openxmlformats.org/officeDocument/2006/relationships/ctrlProp" Target="../ctrlProps/ctrlProp561.xml"/><Relationship Id="rId17" Type="http://schemas.openxmlformats.org/officeDocument/2006/relationships/ctrlProp" Target="../ctrlProps/ctrlProp566.xml"/><Relationship Id="rId25" Type="http://schemas.openxmlformats.org/officeDocument/2006/relationships/ctrlProp" Target="../ctrlProps/ctrlProp574.xml"/><Relationship Id="rId2" Type="http://schemas.openxmlformats.org/officeDocument/2006/relationships/drawing" Target="../drawings/drawing72.xml"/><Relationship Id="rId16" Type="http://schemas.openxmlformats.org/officeDocument/2006/relationships/ctrlProp" Target="../ctrlProps/ctrlProp565.xml"/><Relationship Id="rId20" Type="http://schemas.openxmlformats.org/officeDocument/2006/relationships/ctrlProp" Target="../ctrlProps/ctrlProp569.xml"/><Relationship Id="rId29" Type="http://schemas.openxmlformats.org/officeDocument/2006/relationships/ctrlProp" Target="../ctrlProps/ctrlProp578.xml"/><Relationship Id="rId1" Type="http://schemas.openxmlformats.org/officeDocument/2006/relationships/printerSettings" Target="../printerSettings/printerSettings72.bin"/><Relationship Id="rId6" Type="http://schemas.openxmlformats.org/officeDocument/2006/relationships/ctrlProp" Target="../ctrlProps/ctrlProp555.xml"/><Relationship Id="rId11" Type="http://schemas.openxmlformats.org/officeDocument/2006/relationships/ctrlProp" Target="../ctrlProps/ctrlProp560.xml"/><Relationship Id="rId24" Type="http://schemas.openxmlformats.org/officeDocument/2006/relationships/ctrlProp" Target="../ctrlProps/ctrlProp573.xml"/><Relationship Id="rId5" Type="http://schemas.openxmlformats.org/officeDocument/2006/relationships/ctrlProp" Target="../ctrlProps/ctrlProp554.xml"/><Relationship Id="rId15" Type="http://schemas.openxmlformats.org/officeDocument/2006/relationships/ctrlProp" Target="../ctrlProps/ctrlProp564.xml"/><Relationship Id="rId23" Type="http://schemas.openxmlformats.org/officeDocument/2006/relationships/ctrlProp" Target="../ctrlProps/ctrlProp572.xml"/><Relationship Id="rId28" Type="http://schemas.openxmlformats.org/officeDocument/2006/relationships/ctrlProp" Target="../ctrlProps/ctrlProp577.xml"/><Relationship Id="rId10" Type="http://schemas.openxmlformats.org/officeDocument/2006/relationships/ctrlProp" Target="../ctrlProps/ctrlProp559.xml"/><Relationship Id="rId19" Type="http://schemas.openxmlformats.org/officeDocument/2006/relationships/ctrlProp" Target="../ctrlProps/ctrlProp568.xml"/><Relationship Id="rId31" Type="http://schemas.openxmlformats.org/officeDocument/2006/relationships/comments" Target="../comments32.xml"/><Relationship Id="rId4" Type="http://schemas.openxmlformats.org/officeDocument/2006/relationships/ctrlProp" Target="../ctrlProps/ctrlProp553.xml"/><Relationship Id="rId9" Type="http://schemas.openxmlformats.org/officeDocument/2006/relationships/ctrlProp" Target="../ctrlProps/ctrlProp558.xml"/><Relationship Id="rId14" Type="http://schemas.openxmlformats.org/officeDocument/2006/relationships/ctrlProp" Target="../ctrlProps/ctrlProp563.xml"/><Relationship Id="rId22" Type="http://schemas.openxmlformats.org/officeDocument/2006/relationships/ctrlProp" Target="../ctrlProps/ctrlProp571.xml"/><Relationship Id="rId27" Type="http://schemas.openxmlformats.org/officeDocument/2006/relationships/ctrlProp" Target="../ctrlProps/ctrlProp576.xml"/><Relationship Id="rId30" Type="http://schemas.openxmlformats.org/officeDocument/2006/relationships/ctrlProp" Target="../ctrlProps/ctrlProp579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4.xml"/><Relationship Id="rId13" Type="http://schemas.openxmlformats.org/officeDocument/2006/relationships/ctrlProp" Target="../ctrlProps/ctrlProp589.xml"/><Relationship Id="rId18" Type="http://schemas.openxmlformats.org/officeDocument/2006/relationships/ctrlProp" Target="../ctrlProps/ctrlProp594.xml"/><Relationship Id="rId26" Type="http://schemas.openxmlformats.org/officeDocument/2006/relationships/ctrlProp" Target="../ctrlProps/ctrlProp602.xml"/><Relationship Id="rId3" Type="http://schemas.openxmlformats.org/officeDocument/2006/relationships/vmlDrawing" Target="../drawings/vmlDrawing42.vml"/><Relationship Id="rId21" Type="http://schemas.openxmlformats.org/officeDocument/2006/relationships/ctrlProp" Target="../ctrlProps/ctrlProp597.xml"/><Relationship Id="rId7" Type="http://schemas.openxmlformats.org/officeDocument/2006/relationships/ctrlProp" Target="../ctrlProps/ctrlProp583.xml"/><Relationship Id="rId12" Type="http://schemas.openxmlformats.org/officeDocument/2006/relationships/ctrlProp" Target="../ctrlProps/ctrlProp588.xml"/><Relationship Id="rId17" Type="http://schemas.openxmlformats.org/officeDocument/2006/relationships/ctrlProp" Target="../ctrlProps/ctrlProp593.xml"/><Relationship Id="rId25" Type="http://schemas.openxmlformats.org/officeDocument/2006/relationships/ctrlProp" Target="../ctrlProps/ctrlProp601.xml"/><Relationship Id="rId2" Type="http://schemas.openxmlformats.org/officeDocument/2006/relationships/drawing" Target="../drawings/drawing74.xml"/><Relationship Id="rId16" Type="http://schemas.openxmlformats.org/officeDocument/2006/relationships/ctrlProp" Target="../ctrlProps/ctrlProp592.xml"/><Relationship Id="rId20" Type="http://schemas.openxmlformats.org/officeDocument/2006/relationships/ctrlProp" Target="../ctrlProps/ctrlProp596.xml"/><Relationship Id="rId29" Type="http://schemas.openxmlformats.org/officeDocument/2006/relationships/ctrlProp" Target="../ctrlProps/ctrlProp605.xml"/><Relationship Id="rId1" Type="http://schemas.openxmlformats.org/officeDocument/2006/relationships/printerSettings" Target="../printerSettings/printerSettings74.bin"/><Relationship Id="rId6" Type="http://schemas.openxmlformats.org/officeDocument/2006/relationships/ctrlProp" Target="../ctrlProps/ctrlProp582.xml"/><Relationship Id="rId11" Type="http://schemas.openxmlformats.org/officeDocument/2006/relationships/ctrlProp" Target="../ctrlProps/ctrlProp587.xml"/><Relationship Id="rId24" Type="http://schemas.openxmlformats.org/officeDocument/2006/relationships/ctrlProp" Target="../ctrlProps/ctrlProp600.xml"/><Relationship Id="rId5" Type="http://schemas.openxmlformats.org/officeDocument/2006/relationships/ctrlProp" Target="../ctrlProps/ctrlProp581.xml"/><Relationship Id="rId15" Type="http://schemas.openxmlformats.org/officeDocument/2006/relationships/ctrlProp" Target="../ctrlProps/ctrlProp591.xml"/><Relationship Id="rId23" Type="http://schemas.openxmlformats.org/officeDocument/2006/relationships/ctrlProp" Target="../ctrlProps/ctrlProp599.xml"/><Relationship Id="rId28" Type="http://schemas.openxmlformats.org/officeDocument/2006/relationships/ctrlProp" Target="../ctrlProps/ctrlProp604.xml"/><Relationship Id="rId10" Type="http://schemas.openxmlformats.org/officeDocument/2006/relationships/ctrlProp" Target="../ctrlProps/ctrlProp586.xml"/><Relationship Id="rId19" Type="http://schemas.openxmlformats.org/officeDocument/2006/relationships/ctrlProp" Target="../ctrlProps/ctrlProp595.xml"/><Relationship Id="rId31" Type="http://schemas.openxmlformats.org/officeDocument/2006/relationships/comments" Target="../comments33.xml"/><Relationship Id="rId4" Type="http://schemas.openxmlformats.org/officeDocument/2006/relationships/ctrlProp" Target="../ctrlProps/ctrlProp580.xml"/><Relationship Id="rId9" Type="http://schemas.openxmlformats.org/officeDocument/2006/relationships/ctrlProp" Target="../ctrlProps/ctrlProp585.xml"/><Relationship Id="rId14" Type="http://schemas.openxmlformats.org/officeDocument/2006/relationships/ctrlProp" Target="../ctrlProps/ctrlProp590.xml"/><Relationship Id="rId22" Type="http://schemas.openxmlformats.org/officeDocument/2006/relationships/ctrlProp" Target="../ctrlProps/ctrlProp598.xml"/><Relationship Id="rId27" Type="http://schemas.openxmlformats.org/officeDocument/2006/relationships/ctrlProp" Target="../ctrlProps/ctrlProp603.xml"/><Relationship Id="rId30" Type="http://schemas.openxmlformats.org/officeDocument/2006/relationships/ctrlProp" Target="../ctrlProps/ctrlProp606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1.xml"/><Relationship Id="rId13" Type="http://schemas.openxmlformats.org/officeDocument/2006/relationships/ctrlProp" Target="../ctrlProps/ctrlProp616.xml"/><Relationship Id="rId18" Type="http://schemas.openxmlformats.org/officeDocument/2006/relationships/ctrlProp" Target="../ctrlProps/ctrlProp621.xml"/><Relationship Id="rId26" Type="http://schemas.openxmlformats.org/officeDocument/2006/relationships/ctrlProp" Target="../ctrlProps/ctrlProp629.xml"/><Relationship Id="rId3" Type="http://schemas.openxmlformats.org/officeDocument/2006/relationships/vmlDrawing" Target="../drawings/vmlDrawing43.vml"/><Relationship Id="rId21" Type="http://schemas.openxmlformats.org/officeDocument/2006/relationships/ctrlProp" Target="../ctrlProps/ctrlProp624.xml"/><Relationship Id="rId7" Type="http://schemas.openxmlformats.org/officeDocument/2006/relationships/ctrlProp" Target="../ctrlProps/ctrlProp610.xml"/><Relationship Id="rId12" Type="http://schemas.openxmlformats.org/officeDocument/2006/relationships/ctrlProp" Target="../ctrlProps/ctrlProp615.xml"/><Relationship Id="rId17" Type="http://schemas.openxmlformats.org/officeDocument/2006/relationships/ctrlProp" Target="../ctrlProps/ctrlProp620.xml"/><Relationship Id="rId25" Type="http://schemas.openxmlformats.org/officeDocument/2006/relationships/ctrlProp" Target="../ctrlProps/ctrlProp628.xml"/><Relationship Id="rId2" Type="http://schemas.openxmlformats.org/officeDocument/2006/relationships/drawing" Target="../drawings/drawing76.xml"/><Relationship Id="rId16" Type="http://schemas.openxmlformats.org/officeDocument/2006/relationships/ctrlProp" Target="../ctrlProps/ctrlProp619.xml"/><Relationship Id="rId20" Type="http://schemas.openxmlformats.org/officeDocument/2006/relationships/ctrlProp" Target="../ctrlProps/ctrlProp623.xml"/><Relationship Id="rId29" Type="http://schemas.openxmlformats.org/officeDocument/2006/relationships/ctrlProp" Target="../ctrlProps/ctrlProp632.xml"/><Relationship Id="rId1" Type="http://schemas.openxmlformats.org/officeDocument/2006/relationships/printerSettings" Target="../printerSettings/printerSettings76.bin"/><Relationship Id="rId6" Type="http://schemas.openxmlformats.org/officeDocument/2006/relationships/ctrlProp" Target="../ctrlProps/ctrlProp609.xml"/><Relationship Id="rId11" Type="http://schemas.openxmlformats.org/officeDocument/2006/relationships/ctrlProp" Target="../ctrlProps/ctrlProp614.xml"/><Relationship Id="rId24" Type="http://schemas.openxmlformats.org/officeDocument/2006/relationships/ctrlProp" Target="../ctrlProps/ctrlProp627.xml"/><Relationship Id="rId5" Type="http://schemas.openxmlformats.org/officeDocument/2006/relationships/ctrlProp" Target="../ctrlProps/ctrlProp608.xml"/><Relationship Id="rId15" Type="http://schemas.openxmlformats.org/officeDocument/2006/relationships/ctrlProp" Target="../ctrlProps/ctrlProp618.xml"/><Relationship Id="rId23" Type="http://schemas.openxmlformats.org/officeDocument/2006/relationships/ctrlProp" Target="../ctrlProps/ctrlProp626.xml"/><Relationship Id="rId28" Type="http://schemas.openxmlformats.org/officeDocument/2006/relationships/ctrlProp" Target="../ctrlProps/ctrlProp631.xml"/><Relationship Id="rId10" Type="http://schemas.openxmlformats.org/officeDocument/2006/relationships/ctrlProp" Target="../ctrlProps/ctrlProp613.xml"/><Relationship Id="rId19" Type="http://schemas.openxmlformats.org/officeDocument/2006/relationships/ctrlProp" Target="../ctrlProps/ctrlProp622.xml"/><Relationship Id="rId31" Type="http://schemas.openxmlformats.org/officeDocument/2006/relationships/comments" Target="../comments34.xml"/><Relationship Id="rId4" Type="http://schemas.openxmlformats.org/officeDocument/2006/relationships/ctrlProp" Target="../ctrlProps/ctrlProp607.xml"/><Relationship Id="rId9" Type="http://schemas.openxmlformats.org/officeDocument/2006/relationships/ctrlProp" Target="../ctrlProps/ctrlProp612.xml"/><Relationship Id="rId14" Type="http://schemas.openxmlformats.org/officeDocument/2006/relationships/ctrlProp" Target="../ctrlProps/ctrlProp617.xml"/><Relationship Id="rId22" Type="http://schemas.openxmlformats.org/officeDocument/2006/relationships/ctrlProp" Target="../ctrlProps/ctrlProp625.xml"/><Relationship Id="rId27" Type="http://schemas.openxmlformats.org/officeDocument/2006/relationships/ctrlProp" Target="../ctrlProps/ctrlProp630.xml"/><Relationship Id="rId30" Type="http://schemas.openxmlformats.org/officeDocument/2006/relationships/ctrlProp" Target="../ctrlProps/ctrlProp633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38.xml"/><Relationship Id="rId13" Type="http://schemas.openxmlformats.org/officeDocument/2006/relationships/ctrlProp" Target="../ctrlProps/ctrlProp643.xml"/><Relationship Id="rId18" Type="http://schemas.openxmlformats.org/officeDocument/2006/relationships/ctrlProp" Target="../ctrlProps/ctrlProp648.xml"/><Relationship Id="rId26" Type="http://schemas.openxmlformats.org/officeDocument/2006/relationships/ctrlProp" Target="../ctrlProps/ctrlProp656.xml"/><Relationship Id="rId3" Type="http://schemas.openxmlformats.org/officeDocument/2006/relationships/vmlDrawing" Target="../drawings/vmlDrawing44.vml"/><Relationship Id="rId21" Type="http://schemas.openxmlformats.org/officeDocument/2006/relationships/ctrlProp" Target="../ctrlProps/ctrlProp651.xml"/><Relationship Id="rId34" Type="http://schemas.openxmlformats.org/officeDocument/2006/relationships/comments" Target="../comments35.xml"/><Relationship Id="rId7" Type="http://schemas.openxmlformats.org/officeDocument/2006/relationships/ctrlProp" Target="../ctrlProps/ctrlProp637.xml"/><Relationship Id="rId12" Type="http://schemas.openxmlformats.org/officeDocument/2006/relationships/ctrlProp" Target="../ctrlProps/ctrlProp642.xml"/><Relationship Id="rId17" Type="http://schemas.openxmlformats.org/officeDocument/2006/relationships/ctrlProp" Target="../ctrlProps/ctrlProp647.xml"/><Relationship Id="rId25" Type="http://schemas.openxmlformats.org/officeDocument/2006/relationships/ctrlProp" Target="../ctrlProps/ctrlProp655.xml"/><Relationship Id="rId33" Type="http://schemas.openxmlformats.org/officeDocument/2006/relationships/ctrlProp" Target="../ctrlProps/ctrlProp663.xml"/><Relationship Id="rId2" Type="http://schemas.openxmlformats.org/officeDocument/2006/relationships/drawing" Target="../drawings/drawing78.xml"/><Relationship Id="rId16" Type="http://schemas.openxmlformats.org/officeDocument/2006/relationships/ctrlProp" Target="../ctrlProps/ctrlProp646.xml"/><Relationship Id="rId20" Type="http://schemas.openxmlformats.org/officeDocument/2006/relationships/ctrlProp" Target="../ctrlProps/ctrlProp650.xml"/><Relationship Id="rId29" Type="http://schemas.openxmlformats.org/officeDocument/2006/relationships/ctrlProp" Target="../ctrlProps/ctrlProp659.xml"/><Relationship Id="rId1" Type="http://schemas.openxmlformats.org/officeDocument/2006/relationships/printerSettings" Target="../printerSettings/printerSettings78.bin"/><Relationship Id="rId6" Type="http://schemas.openxmlformats.org/officeDocument/2006/relationships/ctrlProp" Target="../ctrlProps/ctrlProp636.xml"/><Relationship Id="rId11" Type="http://schemas.openxmlformats.org/officeDocument/2006/relationships/ctrlProp" Target="../ctrlProps/ctrlProp641.xml"/><Relationship Id="rId24" Type="http://schemas.openxmlformats.org/officeDocument/2006/relationships/ctrlProp" Target="../ctrlProps/ctrlProp654.xml"/><Relationship Id="rId32" Type="http://schemas.openxmlformats.org/officeDocument/2006/relationships/ctrlProp" Target="../ctrlProps/ctrlProp662.xml"/><Relationship Id="rId5" Type="http://schemas.openxmlformats.org/officeDocument/2006/relationships/ctrlProp" Target="../ctrlProps/ctrlProp635.xml"/><Relationship Id="rId15" Type="http://schemas.openxmlformats.org/officeDocument/2006/relationships/ctrlProp" Target="../ctrlProps/ctrlProp645.xml"/><Relationship Id="rId23" Type="http://schemas.openxmlformats.org/officeDocument/2006/relationships/ctrlProp" Target="../ctrlProps/ctrlProp653.xml"/><Relationship Id="rId28" Type="http://schemas.openxmlformats.org/officeDocument/2006/relationships/ctrlProp" Target="../ctrlProps/ctrlProp658.xml"/><Relationship Id="rId10" Type="http://schemas.openxmlformats.org/officeDocument/2006/relationships/ctrlProp" Target="../ctrlProps/ctrlProp640.xml"/><Relationship Id="rId19" Type="http://schemas.openxmlformats.org/officeDocument/2006/relationships/ctrlProp" Target="../ctrlProps/ctrlProp649.xml"/><Relationship Id="rId31" Type="http://schemas.openxmlformats.org/officeDocument/2006/relationships/ctrlProp" Target="../ctrlProps/ctrlProp661.xml"/><Relationship Id="rId4" Type="http://schemas.openxmlformats.org/officeDocument/2006/relationships/ctrlProp" Target="../ctrlProps/ctrlProp634.xml"/><Relationship Id="rId9" Type="http://schemas.openxmlformats.org/officeDocument/2006/relationships/ctrlProp" Target="../ctrlProps/ctrlProp639.xml"/><Relationship Id="rId14" Type="http://schemas.openxmlformats.org/officeDocument/2006/relationships/ctrlProp" Target="../ctrlProps/ctrlProp644.xml"/><Relationship Id="rId22" Type="http://schemas.openxmlformats.org/officeDocument/2006/relationships/ctrlProp" Target="../ctrlProps/ctrlProp652.xml"/><Relationship Id="rId27" Type="http://schemas.openxmlformats.org/officeDocument/2006/relationships/ctrlProp" Target="../ctrlProps/ctrlProp657.xml"/><Relationship Id="rId30" Type="http://schemas.openxmlformats.org/officeDocument/2006/relationships/ctrlProp" Target="../ctrlProps/ctrlProp660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8.xml"/><Relationship Id="rId13" Type="http://schemas.openxmlformats.org/officeDocument/2006/relationships/ctrlProp" Target="../ctrlProps/ctrlProp673.xml"/><Relationship Id="rId18" Type="http://schemas.openxmlformats.org/officeDocument/2006/relationships/ctrlProp" Target="../ctrlProps/ctrlProp678.xml"/><Relationship Id="rId26" Type="http://schemas.openxmlformats.org/officeDocument/2006/relationships/ctrlProp" Target="../ctrlProps/ctrlProp686.xml"/><Relationship Id="rId3" Type="http://schemas.openxmlformats.org/officeDocument/2006/relationships/vmlDrawing" Target="../drawings/vmlDrawing45.vml"/><Relationship Id="rId21" Type="http://schemas.openxmlformats.org/officeDocument/2006/relationships/ctrlProp" Target="../ctrlProps/ctrlProp681.xml"/><Relationship Id="rId7" Type="http://schemas.openxmlformats.org/officeDocument/2006/relationships/ctrlProp" Target="../ctrlProps/ctrlProp667.xml"/><Relationship Id="rId12" Type="http://schemas.openxmlformats.org/officeDocument/2006/relationships/ctrlProp" Target="../ctrlProps/ctrlProp672.xml"/><Relationship Id="rId17" Type="http://schemas.openxmlformats.org/officeDocument/2006/relationships/ctrlProp" Target="../ctrlProps/ctrlProp677.xml"/><Relationship Id="rId25" Type="http://schemas.openxmlformats.org/officeDocument/2006/relationships/ctrlProp" Target="../ctrlProps/ctrlProp685.xml"/><Relationship Id="rId2" Type="http://schemas.openxmlformats.org/officeDocument/2006/relationships/drawing" Target="../drawings/drawing80.xml"/><Relationship Id="rId16" Type="http://schemas.openxmlformats.org/officeDocument/2006/relationships/ctrlProp" Target="../ctrlProps/ctrlProp676.xml"/><Relationship Id="rId20" Type="http://schemas.openxmlformats.org/officeDocument/2006/relationships/ctrlProp" Target="../ctrlProps/ctrlProp680.xml"/><Relationship Id="rId29" Type="http://schemas.openxmlformats.org/officeDocument/2006/relationships/ctrlProp" Target="../ctrlProps/ctrlProp689.xml"/><Relationship Id="rId1" Type="http://schemas.openxmlformats.org/officeDocument/2006/relationships/printerSettings" Target="../printerSettings/printerSettings80.bin"/><Relationship Id="rId6" Type="http://schemas.openxmlformats.org/officeDocument/2006/relationships/ctrlProp" Target="../ctrlProps/ctrlProp666.xml"/><Relationship Id="rId11" Type="http://schemas.openxmlformats.org/officeDocument/2006/relationships/ctrlProp" Target="../ctrlProps/ctrlProp671.xml"/><Relationship Id="rId24" Type="http://schemas.openxmlformats.org/officeDocument/2006/relationships/ctrlProp" Target="../ctrlProps/ctrlProp684.xml"/><Relationship Id="rId32" Type="http://schemas.openxmlformats.org/officeDocument/2006/relationships/ctrlProp" Target="../ctrlProps/ctrlProp692.xml"/><Relationship Id="rId5" Type="http://schemas.openxmlformats.org/officeDocument/2006/relationships/ctrlProp" Target="../ctrlProps/ctrlProp665.xml"/><Relationship Id="rId15" Type="http://schemas.openxmlformats.org/officeDocument/2006/relationships/ctrlProp" Target="../ctrlProps/ctrlProp675.xml"/><Relationship Id="rId23" Type="http://schemas.openxmlformats.org/officeDocument/2006/relationships/ctrlProp" Target="../ctrlProps/ctrlProp683.xml"/><Relationship Id="rId28" Type="http://schemas.openxmlformats.org/officeDocument/2006/relationships/ctrlProp" Target="../ctrlProps/ctrlProp688.xml"/><Relationship Id="rId10" Type="http://schemas.openxmlformats.org/officeDocument/2006/relationships/ctrlProp" Target="../ctrlProps/ctrlProp670.xml"/><Relationship Id="rId19" Type="http://schemas.openxmlformats.org/officeDocument/2006/relationships/ctrlProp" Target="../ctrlProps/ctrlProp679.xml"/><Relationship Id="rId31" Type="http://schemas.openxmlformats.org/officeDocument/2006/relationships/ctrlProp" Target="../ctrlProps/ctrlProp691.xml"/><Relationship Id="rId4" Type="http://schemas.openxmlformats.org/officeDocument/2006/relationships/ctrlProp" Target="../ctrlProps/ctrlProp664.xml"/><Relationship Id="rId9" Type="http://schemas.openxmlformats.org/officeDocument/2006/relationships/ctrlProp" Target="../ctrlProps/ctrlProp669.xml"/><Relationship Id="rId14" Type="http://schemas.openxmlformats.org/officeDocument/2006/relationships/ctrlProp" Target="../ctrlProps/ctrlProp674.xml"/><Relationship Id="rId22" Type="http://schemas.openxmlformats.org/officeDocument/2006/relationships/ctrlProp" Target="../ctrlProps/ctrlProp682.xml"/><Relationship Id="rId27" Type="http://schemas.openxmlformats.org/officeDocument/2006/relationships/ctrlProp" Target="../ctrlProps/ctrlProp687.xml"/><Relationship Id="rId30" Type="http://schemas.openxmlformats.org/officeDocument/2006/relationships/ctrlProp" Target="../ctrlProps/ctrlProp690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97.xml"/><Relationship Id="rId13" Type="http://schemas.openxmlformats.org/officeDocument/2006/relationships/ctrlProp" Target="../ctrlProps/ctrlProp702.xml"/><Relationship Id="rId18" Type="http://schemas.openxmlformats.org/officeDocument/2006/relationships/ctrlProp" Target="../ctrlProps/ctrlProp707.xml"/><Relationship Id="rId26" Type="http://schemas.openxmlformats.org/officeDocument/2006/relationships/ctrlProp" Target="../ctrlProps/ctrlProp715.xml"/><Relationship Id="rId3" Type="http://schemas.openxmlformats.org/officeDocument/2006/relationships/vmlDrawing" Target="../drawings/vmlDrawing46.vml"/><Relationship Id="rId21" Type="http://schemas.openxmlformats.org/officeDocument/2006/relationships/ctrlProp" Target="../ctrlProps/ctrlProp710.xml"/><Relationship Id="rId7" Type="http://schemas.openxmlformats.org/officeDocument/2006/relationships/ctrlProp" Target="../ctrlProps/ctrlProp696.xml"/><Relationship Id="rId12" Type="http://schemas.openxmlformats.org/officeDocument/2006/relationships/ctrlProp" Target="../ctrlProps/ctrlProp701.xml"/><Relationship Id="rId17" Type="http://schemas.openxmlformats.org/officeDocument/2006/relationships/ctrlProp" Target="../ctrlProps/ctrlProp706.xml"/><Relationship Id="rId25" Type="http://schemas.openxmlformats.org/officeDocument/2006/relationships/ctrlProp" Target="../ctrlProps/ctrlProp714.xml"/><Relationship Id="rId33" Type="http://schemas.openxmlformats.org/officeDocument/2006/relationships/comments" Target="../comments36.xml"/><Relationship Id="rId2" Type="http://schemas.openxmlformats.org/officeDocument/2006/relationships/drawing" Target="../drawings/drawing82.xml"/><Relationship Id="rId16" Type="http://schemas.openxmlformats.org/officeDocument/2006/relationships/ctrlProp" Target="../ctrlProps/ctrlProp705.xml"/><Relationship Id="rId20" Type="http://schemas.openxmlformats.org/officeDocument/2006/relationships/ctrlProp" Target="../ctrlProps/ctrlProp709.xml"/><Relationship Id="rId29" Type="http://schemas.openxmlformats.org/officeDocument/2006/relationships/ctrlProp" Target="../ctrlProps/ctrlProp718.xml"/><Relationship Id="rId1" Type="http://schemas.openxmlformats.org/officeDocument/2006/relationships/printerSettings" Target="../printerSettings/printerSettings82.bin"/><Relationship Id="rId6" Type="http://schemas.openxmlformats.org/officeDocument/2006/relationships/ctrlProp" Target="../ctrlProps/ctrlProp695.xml"/><Relationship Id="rId11" Type="http://schemas.openxmlformats.org/officeDocument/2006/relationships/ctrlProp" Target="../ctrlProps/ctrlProp700.xml"/><Relationship Id="rId24" Type="http://schemas.openxmlformats.org/officeDocument/2006/relationships/ctrlProp" Target="../ctrlProps/ctrlProp713.xml"/><Relationship Id="rId32" Type="http://schemas.openxmlformats.org/officeDocument/2006/relationships/ctrlProp" Target="../ctrlProps/ctrlProp721.xml"/><Relationship Id="rId5" Type="http://schemas.openxmlformats.org/officeDocument/2006/relationships/ctrlProp" Target="../ctrlProps/ctrlProp694.xml"/><Relationship Id="rId15" Type="http://schemas.openxmlformats.org/officeDocument/2006/relationships/ctrlProp" Target="../ctrlProps/ctrlProp704.xml"/><Relationship Id="rId23" Type="http://schemas.openxmlformats.org/officeDocument/2006/relationships/ctrlProp" Target="../ctrlProps/ctrlProp712.xml"/><Relationship Id="rId28" Type="http://schemas.openxmlformats.org/officeDocument/2006/relationships/ctrlProp" Target="../ctrlProps/ctrlProp717.xml"/><Relationship Id="rId10" Type="http://schemas.openxmlformats.org/officeDocument/2006/relationships/ctrlProp" Target="../ctrlProps/ctrlProp699.xml"/><Relationship Id="rId19" Type="http://schemas.openxmlformats.org/officeDocument/2006/relationships/ctrlProp" Target="../ctrlProps/ctrlProp708.xml"/><Relationship Id="rId31" Type="http://schemas.openxmlformats.org/officeDocument/2006/relationships/ctrlProp" Target="../ctrlProps/ctrlProp720.xml"/><Relationship Id="rId4" Type="http://schemas.openxmlformats.org/officeDocument/2006/relationships/ctrlProp" Target="../ctrlProps/ctrlProp693.xml"/><Relationship Id="rId9" Type="http://schemas.openxmlformats.org/officeDocument/2006/relationships/ctrlProp" Target="../ctrlProps/ctrlProp698.xml"/><Relationship Id="rId14" Type="http://schemas.openxmlformats.org/officeDocument/2006/relationships/ctrlProp" Target="../ctrlProps/ctrlProp703.xml"/><Relationship Id="rId22" Type="http://schemas.openxmlformats.org/officeDocument/2006/relationships/ctrlProp" Target="../ctrlProps/ctrlProp711.xml"/><Relationship Id="rId27" Type="http://schemas.openxmlformats.org/officeDocument/2006/relationships/ctrlProp" Target="../ctrlProps/ctrlProp716.xml"/><Relationship Id="rId30" Type="http://schemas.openxmlformats.org/officeDocument/2006/relationships/ctrlProp" Target="../ctrlProps/ctrlProp719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26.xml"/><Relationship Id="rId13" Type="http://schemas.openxmlformats.org/officeDocument/2006/relationships/ctrlProp" Target="../ctrlProps/ctrlProp731.xml"/><Relationship Id="rId18" Type="http://schemas.openxmlformats.org/officeDocument/2006/relationships/ctrlProp" Target="../ctrlProps/ctrlProp736.xml"/><Relationship Id="rId26" Type="http://schemas.openxmlformats.org/officeDocument/2006/relationships/ctrlProp" Target="../ctrlProps/ctrlProp744.xml"/><Relationship Id="rId3" Type="http://schemas.openxmlformats.org/officeDocument/2006/relationships/vmlDrawing" Target="../drawings/vmlDrawing47.vml"/><Relationship Id="rId21" Type="http://schemas.openxmlformats.org/officeDocument/2006/relationships/ctrlProp" Target="../ctrlProps/ctrlProp739.xml"/><Relationship Id="rId7" Type="http://schemas.openxmlformats.org/officeDocument/2006/relationships/ctrlProp" Target="../ctrlProps/ctrlProp725.xml"/><Relationship Id="rId12" Type="http://schemas.openxmlformats.org/officeDocument/2006/relationships/ctrlProp" Target="../ctrlProps/ctrlProp730.xml"/><Relationship Id="rId17" Type="http://schemas.openxmlformats.org/officeDocument/2006/relationships/ctrlProp" Target="../ctrlProps/ctrlProp735.xml"/><Relationship Id="rId25" Type="http://schemas.openxmlformats.org/officeDocument/2006/relationships/ctrlProp" Target="../ctrlProps/ctrlProp743.xml"/><Relationship Id="rId2" Type="http://schemas.openxmlformats.org/officeDocument/2006/relationships/drawing" Target="../drawings/drawing84.xml"/><Relationship Id="rId16" Type="http://schemas.openxmlformats.org/officeDocument/2006/relationships/ctrlProp" Target="../ctrlProps/ctrlProp734.xml"/><Relationship Id="rId20" Type="http://schemas.openxmlformats.org/officeDocument/2006/relationships/ctrlProp" Target="../ctrlProps/ctrlProp738.xml"/><Relationship Id="rId29" Type="http://schemas.openxmlformats.org/officeDocument/2006/relationships/ctrlProp" Target="../ctrlProps/ctrlProp747.xml"/><Relationship Id="rId1" Type="http://schemas.openxmlformats.org/officeDocument/2006/relationships/printerSettings" Target="../printerSettings/printerSettings84.bin"/><Relationship Id="rId6" Type="http://schemas.openxmlformats.org/officeDocument/2006/relationships/ctrlProp" Target="../ctrlProps/ctrlProp724.xml"/><Relationship Id="rId11" Type="http://schemas.openxmlformats.org/officeDocument/2006/relationships/ctrlProp" Target="../ctrlProps/ctrlProp729.xml"/><Relationship Id="rId24" Type="http://schemas.openxmlformats.org/officeDocument/2006/relationships/ctrlProp" Target="../ctrlProps/ctrlProp742.xml"/><Relationship Id="rId32" Type="http://schemas.openxmlformats.org/officeDocument/2006/relationships/ctrlProp" Target="../ctrlProps/ctrlProp750.xml"/><Relationship Id="rId5" Type="http://schemas.openxmlformats.org/officeDocument/2006/relationships/ctrlProp" Target="../ctrlProps/ctrlProp723.xml"/><Relationship Id="rId15" Type="http://schemas.openxmlformats.org/officeDocument/2006/relationships/ctrlProp" Target="../ctrlProps/ctrlProp733.xml"/><Relationship Id="rId23" Type="http://schemas.openxmlformats.org/officeDocument/2006/relationships/ctrlProp" Target="../ctrlProps/ctrlProp741.xml"/><Relationship Id="rId28" Type="http://schemas.openxmlformats.org/officeDocument/2006/relationships/ctrlProp" Target="../ctrlProps/ctrlProp746.xml"/><Relationship Id="rId10" Type="http://schemas.openxmlformats.org/officeDocument/2006/relationships/ctrlProp" Target="../ctrlProps/ctrlProp728.xml"/><Relationship Id="rId19" Type="http://schemas.openxmlformats.org/officeDocument/2006/relationships/ctrlProp" Target="../ctrlProps/ctrlProp737.xml"/><Relationship Id="rId31" Type="http://schemas.openxmlformats.org/officeDocument/2006/relationships/ctrlProp" Target="../ctrlProps/ctrlProp749.xml"/><Relationship Id="rId4" Type="http://schemas.openxmlformats.org/officeDocument/2006/relationships/ctrlProp" Target="../ctrlProps/ctrlProp722.xml"/><Relationship Id="rId9" Type="http://schemas.openxmlformats.org/officeDocument/2006/relationships/ctrlProp" Target="../ctrlProps/ctrlProp727.xml"/><Relationship Id="rId14" Type="http://schemas.openxmlformats.org/officeDocument/2006/relationships/ctrlProp" Target="../ctrlProps/ctrlProp732.xml"/><Relationship Id="rId22" Type="http://schemas.openxmlformats.org/officeDocument/2006/relationships/ctrlProp" Target="../ctrlProps/ctrlProp740.xml"/><Relationship Id="rId27" Type="http://schemas.openxmlformats.org/officeDocument/2006/relationships/ctrlProp" Target="../ctrlProps/ctrlProp745.xml"/><Relationship Id="rId30" Type="http://schemas.openxmlformats.org/officeDocument/2006/relationships/ctrlProp" Target="../ctrlProps/ctrlProp74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55.xml"/><Relationship Id="rId13" Type="http://schemas.openxmlformats.org/officeDocument/2006/relationships/ctrlProp" Target="../ctrlProps/ctrlProp760.xml"/><Relationship Id="rId18" Type="http://schemas.openxmlformats.org/officeDocument/2006/relationships/ctrlProp" Target="../ctrlProps/ctrlProp765.xml"/><Relationship Id="rId3" Type="http://schemas.openxmlformats.org/officeDocument/2006/relationships/vmlDrawing" Target="../drawings/vmlDrawing48.vml"/><Relationship Id="rId21" Type="http://schemas.openxmlformats.org/officeDocument/2006/relationships/comments" Target="../comments37.xml"/><Relationship Id="rId7" Type="http://schemas.openxmlformats.org/officeDocument/2006/relationships/ctrlProp" Target="../ctrlProps/ctrlProp754.xml"/><Relationship Id="rId12" Type="http://schemas.openxmlformats.org/officeDocument/2006/relationships/ctrlProp" Target="../ctrlProps/ctrlProp759.xml"/><Relationship Id="rId17" Type="http://schemas.openxmlformats.org/officeDocument/2006/relationships/ctrlProp" Target="../ctrlProps/ctrlProp764.xml"/><Relationship Id="rId2" Type="http://schemas.openxmlformats.org/officeDocument/2006/relationships/drawing" Target="../drawings/drawing86.xml"/><Relationship Id="rId16" Type="http://schemas.openxmlformats.org/officeDocument/2006/relationships/ctrlProp" Target="../ctrlProps/ctrlProp763.xml"/><Relationship Id="rId20" Type="http://schemas.openxmlformats.org/officeDocument/2006/relationships/ctrlProp" Target="../ctrlProps/ctrlProp767.xml"/><Relationship Id="rId1" Type="http://schemas.openxmlformats.org/officeDocument/2006/relationships/printerSettings" Target="../printerSettings/printerSettings86.bin"/><Relationship Id="rId6" Type="http://schemas.openxmlformats.org/officeDocument/2006/relationships/ctrlProp" Target="../ctrlProps/ctrlProp753.xml"/><Relationship Id="rId11" Type="http://schemas.openxmlformats.org/officeDocument/2006/relationships/ctrlProp" Target="../ctrlProps/ctrlProp758.xml"/><Relationship Id="rId5" Type="http://schemas.openxmlformats.org/officeDocument/2006/relationships/ctrlProp" Target="../ctrlProps/ctrlProp752.xml"/><Relationship Id="rId15" Type="http://schemas.openxmlformats.org/officeDocument/2006/relationships/ctrlProp" Target="../ctrlProps/ctrlProp762.xml"/><Relationship Id="rId10" Type="http://schemas.openxmlformats.org/officeDocument/2006/relationships/ctrlProp" Target="../ctrlProps/ctrlProp757.xml"/><Relationship Id="rId19" Type="http://schemas.openxmlformats.org/officeDocument/2006/relationships/ctrlProp" Target="../ctrlProps/ctrlProp766.xml"/><Relationship Id="rId4" Type="http://schemas.openxmlformats.org/officeDocument/2006/relationships/ctrlProp" Target="../ctrlProps/ctrlProp751.xml"/><Relationship Id="rId9" Type="http://schemas.openxmlformats.org/officeDocument/2006/relationships/ctrlProp" Target="../ctrlProps/ctrlProp756.xml"/><Relationship Id="rId14" Type="http://schemas.openxmlformats.org/officeDocument/2006/relationships/ctrlProp" Target="../ctrlProps/ctrlProp761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2.xml"/><Relationship Id="rId13" Type="http://schemas.openxmlformats.org/officeDocument/2006/relationships/ctrlProp" Target="../ctrlProps/ctrlProp777.xml"/><Relationship Id="rId18" Type="http://schemas.openxmlformats.org/officeDocument/2006/relationships/ctrlProp" Target="../ctrlProps/ctrlProp782.xml"/><Relationship Id="rId3" Type="http://schemas.openxmlformats.org/officeDocument/2006/relationships/vmlDrawing" Target="../drawings/vmlDrawing49.vml"/><Relationship Id="rId21" Type="http://schemas.openxmlformats.org/officeDocument/2006/relationships/comments" Target="../comments38.xml"/><Relationship Id="rId7" Type="http://schemas.openxmlformats.org/officeDocument/2006/relationships/ctrlProp" Target="../ctrlProps/ctrlProp771.xml"/><Relationship Id="rId12" Type="http://schemas.openxmlformats.org/officeDocument/2006/relationships/ctrlProp" Target="../ctrlProps/ctrlProp776.xml"/><Relationship Id="rId17" Type="http://schemas.openxmlformats.org/officeDocument/2006/relationships/ctrlProp" Target="../ctrlProps/ctrlProp781.xml"/><Relationship Id="rId2" Type="http://schemas.openxmlformats.org/officeDocument/2006/relationships/drawing" Target="../drawings/drawing88.xml"/><Relationship Id="rId16" Type="http://schemas.openxmlformats.org/officeDocument/2006/relationships/ctrlProp" Target="../ctrlProps/ctrlProp780.xml"/><Relationship Id="rId20" Type="http://schemas.openxmlformats.org/officeDocument/2006/relationships/ctrlProp" Target="../ctrlProps/ctrlProp784.xml"/><Relationship Id="rId1" Type="http://schemas.openxmlformats.org/officeDocument/2006/relationships/printerSettings" Target="../printerSettings/printerSettings88.bin"/><Relationship Id="rId6" Type="http://schemas.openxmlformats.org/officeDocument/2006/relationships/ctrlProp" Target="../ctrlProps/ctrlProp770.xml"/><Relationship Id="rId11" Type="http://schemas.openxmlformats.org/officeDocument/2006/relationships/ctrlProp" Target="../ctrlProps/ctrlProp775.xml"/><Relationship Id="rId5" Type="http://schemas.openxmlformats.org/officeDocument/2006/relationships/ctrlProp" Target="../ctrlProps/ctrlProp769.xml"/><Relationship Id="rId15" Type="http://schemas.openxmlformats.org/officeDocument/2006/relationships/ctrlProp" Target="../ctrlProps/ctrlProp779.xml"/><Relationship Id="rId10" Type="http://schemas.openxmlformats.org/officeDocument/2006/relationships/ctrlProp" Target="../ctrlProps/ctrlProp774.xml"/><Relationship Id="rId19" Type="http://schemas.openxmlformats.org/officeDocument/2006/relationships/ctrlProp" Target="../ctrlProps/ctrlProp783.xml"/><Relationship Id="rId4" Type="http://schemas.openxmlformats.org/officeDocument/2006/relationships/ctrlProp" Target="../ctrlProps/ctrlProp768.xml"/><Relationship Id="rId9" Type="http://schemas.openxmlformats.org/officeDocument/2006/relationships/ctrlProp" Target="../ctrlProps/ctrlProp773.xml"/><Relationship Id="rId14" Type="http://schemas.openxmlformats.org/officeDocument/2006/relationships/ctrlProp" Target="../ctrlProps/ctrlProp778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bauernverband.de/praemienschaetzer" TargetMode="External"/><Relationship Id="rId1" Type="http://schemas.openxmlformats.org/officeDocument/2006/relationships/hyperlink" Target="http://www.landwirtschaft-bw.info/pb/MLR.Foerderung,Lde/Startseite/Foerderwegweiser" TargetMode="External"/><Relationship Id="rId4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89.xml"/><Relationship Id="rId13" Type="http://schemas.openxmlformats.org/officeDocument/2006/relationships/ctrlProp" Target="../ctrlProps/ctrlProp794.xml"/><Relationship Id="rId18" Type="http://schemas.openxmlformats.org/officeDocument/2006/relationships/ctrlProp" Target="../ctrlProps/ctrlProp799.xml"/><Relationship Id="rId3" Type="http://schemas.openxmlformats.org/officeDocument/2006/relationships/vmlDrawing" Target="../drawings/vmlDrawing50.vml"/><Relationship Id="rId21" Type="http://schemas.openxmlformats.org/officeDocument/2006/relationships/comments" Target="../comments39.xml"/><Relationship Id="rId7" Type="http://schemas.openxmlformats.org/officeDocument/2006/relationships/ctrlProp" Target="../ctrlProps/ctrlProp788.xml"/><Relationship Id="rId12" Type="http://schemas.openxmlformats.org/officeDocument/2006/relationships/ctrlProp" Target="../ctrlProps/ctrlProp793.xml"/><Relationship Id="rId17" Type="http://schemas.openxmlformats.org/officeDocument/2006/relationships/ctrlProp" Target="../ctrlProps/ctrlProp798.xml"/><Relationship Id="rId2" Type="http://schemas.openxmlformats.org/officeDocument/2006/relationships/drawing" Target="../drawings/drawing90.xml"/><Relationship Id="rId16" Type="http://schemas.openxmlformats.org/officeDocument/2006/relationships/ctrlProp" Target="../ctrlProps/ctrlProp797.xml"/><Relationship Id="rId20" Type="http://schemas.openxmlformats.org/officeDocument/2006/relationships/ctrlProp" Target="../ctrlProps/ctrlProp801.xml"/><Relationship Id="rId1" Type="http://schemas.openxmlformats.org/officeDocument/2006/relationships/printerSettings" Target="../printerSettings/printerSettings90.bin"/><Relationship Id="rId6" Type="http://schemas.openxmlformats.org/officeDocument/2006/relationships/ctrlProp" Target="../ctrlProps/ctrlProp787.xml"/><Relationship Id="rId11" Type="http://schemas.openxmlformats.org/officeDocument/2006/relationships/ctrlProp" Target="../ctrlProps/ctrlProp792.xml"/><Relationship Id="rId5" Type="http://schemas.openxmlformats.org/officeDocument/2006/relationships/ctrlProp" Target="../ctrlProps/ctrlProp786.xml"/><Relationship Id="rId15" Type="http://schemas.openxmlformats.org/officeDocument/2006/relationships/ctrlProp" Target="../ctrlProps/ctrlProp796.xml"/><Relationship Id="rId10" Type="http://schemas.openxmlformats.org/officeDocument/2006/relationships/ctrlProp" Target="../ctrlProps/ctrlProp791.xml"/><Relationship Id="rId19" Type="http://schemas.openxmlformats.org/officeDocument/2006/relationships/ctrlProp" Target="../ctrlProps/ctrlProp800.xml"/><Relationship Id="rId4" Type="http://schemas.openxmlformats.org/officeDocument/2006/relationships/ctrlProp" Target="../ctrlProps/ctrlProp785.xml"/><Relationship Id="rId9" Type="http://schemas.openxmlformats.org/officeDocument/2006/relationships/ctrlProp" Target="../ctrlProps/ctrlProp790.xml"/><Relationship Id="rId14" Type="http://schemas.openxmlformats.org/officeDocument/2006/relationships/ctrlProp" Target="../ctrlProps/ctrlProp79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06.xml"/><Relationship Id="rId13" Type="http://schemas.openxmlformats.org/officeDocument/2006/relationships/ctrlProp" Target="../ctrlProps/ctrlProp811.xml"/><Relationship Id="rId18" Type="http://schemas.openxmlformats.org/officeDocument/2006/relationships/ctrlProp" Target="../ctrlProps/ctrlProp816.xml"/><Relationship Id="rId3" Type="http://schemas.openxmlformats.org/officeDocument/2006/relationships/vmlDrawing" Target="../drawings/vmlDrawing51.vml"/><Relationship Id="rId21" Type="http://schemas.openxmlformats.org/officeDocument/2006/relationships/comments" Target="../comments40.xml"/><Relationship Id="rId7" Type="http://schemas.openxmlformats.org/officeDocument/2006/relationships/ctrlProp" Target="../ctrlProps/ctrlProp805.xml"/><Relationship Id="rId12" Type="http://schemas.openxmlformats.org/officeDocument/2006/relationships/ctrlProp" Target="../ctrlProps/ctrlProp810.xml"/><Relationship Id="rId17" Type="http://schemas.openxmlformats.org/officeDocument/2006/relationships/ctrlProp" Target="../ctrlProps/ctrlProp815.xml"/><Relationship Id="rId2" Type="http://schemas.openxmlformats.org/officeDocument/2006/relationships/drawing" Target="../drawings/drawing92.xml"/><Relationship Id="rId16" Type="http://schemas.openxmlformats.org/officeDocument/2006/relationships/ctrlProp" Target="../ctrlProps/ctrlProp814.xml"/><Relationship Id="rId20" Type="http://schemas.openxmlformats.org/officeDocument/2006/relationships/ctrlProp" Target="../ctrlProps/ctrlProp818.xml"/><Relationship Id="rId1" Type="http://schemas.openxmlformats.org/officeDocument/2006/relationships/printerSettings" Target="../printerSettings/printerSettings92.bin"/><Relationship Id="rId6" Type="http://schemas.openxmlformats.org/officeDocument/2006/relationships/ctrlProp" Target="../ctrlProps/ctrlProp804.xml"/><Relationship Id="rId11" Type="http://schemas.openxmlformats.org/officeDocument/2006/relationships/ctrlProp" Target="../ctrlProps/ctrlProp809.xml"/><Relationship Id="rId5" Type="http://schemas.openxmlformats.org/officeDocument/2006/relationships/ctrlProp" Target="../ctrlProps/ctrlProp803.xml"/><Relationship Id="rId15" Type="http://schemas.openxmlformats.org/officeDocument/2006/relationships/ctrlProp" Target="../ctrlProps/ctrlProp813.xml"/><Relationship Id="rId10" Type="http://schemas.openxmlformats.org/officeDocument/2006/relationships/ctrlProp" Target="../ctrlProps/ctrlProp808.xml"/><Relationship Id="rId19" Type="http://schemas.openxmlformats.org/officeDocument/2006/relationships/ctrlProp" Target="../ctrlProps/ctrlProp817.xml"/><Relationship Id="rId4" Type="http://schemas.openxmlformats.org/officeDocument/2006/relationships/ctrlProp" Target="../ctrlProps/ctrlProp802.xml"/><Relationship Id="rId9" Type="http://schemas.openxmlformats.org/officeDocument/2006/relationships/ctrlProp" Target="../ctrlProps/ctrlProp807.xml"/><Relationship Id="rId14" Type="http://schemas.openxmlformats.org/officeDocument/2006/relationships/ctrlProp" Target="../ctrlProps/ctrlProp812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23.xml"/><Relationship Id="rId13" Type="http://schemas.openxmlformats.org/officeDocument/2006/relationships/ctrlProp" Target="../ctrlProps/ctrlProp828.xml"/><Relationship Id="rId18" Type="http://schemas.openxmlformats.org/officeDocument/2006/relationships/ctrlProp" Target="../ctrlProps/ctrlProp833.xml"/><Relationship Id="rId26" Type="http://schemas.openxmlformats.org/officeDocument/2006/relationships/ctrlProp" Target="../ctrlProps/ctrlProp841.xml"/><Relationship Id="rId3" Type="http://schemas.openxmlformats.org/officeDocument/2006/relationships/vmlDrawing" Target="../drawings/vmlDrawing52.vml"/><Relationship Id="rId21" Type="http://schemas.openxmlformats.org/officeDocument/2006/relationships/ctrlProp" Target="../ctrlProps/ctrlProp836.xml"/><Relationship Id="rId7" Type="http://schemas.openxmlformats.org/officeDocument/2006/relationships/ctrlProp" Target="../ctrlProps/ctrlProp822.xml"/><Relationship Id="rId12" Type="http://schemas.openxmlformats.org/officeDocument/2006/relationships/ctrlProp" Target="../ctrlProps/ctrlProp827.xml"/><Relationship Id="rId17" Type="http://schemas.openxmlformats.org/officeDocument/2006/relationships/ctrlProp" Target="../ctrlProps/ctrlProp832.xml"/><Relationship Id="rId25" Type="http://schemas.openxmlformats.org/officeDocument/2006/relationships/ctrlProp" Target="../ctrlProps/ctrlProp840.xml"/><Relationship Id="rId33" Type="http://schemas.openxmlformats.org/officeDocument/2006/relationships/comments" Target="../comments41.xml"/><Relationship Id="rId2" Type="http://schemas.openxmlformats.org/officeDocument/2006/relationships/drawing" Target="../drawings/drawing94.xml"/><Relationship Id="rId16" Type="http://schemas.openxmlformats.org/officeDocument/2006/relationships/ctrlProp" Target="../ctrlProps/ctrlProp831.xml"/><Relationship Id="rId20" Type="http://schemas.openxmlformats.org/officeDocument/2006/relationships/ctrlProp" Target="../ctrlProps/ctrlProp835.xml"/><Relationship Id="rId29" Type="http://schemas.openxmlformats.org/officeDocument/2006/relationships/ctrlProp" Target="../ctrlProps/ctrlProp844.xml"/><Relationship Id="rId1" Type="http://schemas.openxmlformats.org/officeDocument/2006/relationships/printerSettings" Target="../printerSettings/printerSettings94.bin"/><Relationship Id="rId6" Type="http://schemas.openxmlformats.org/officeDocument/2006/relationships/ctrlProp" Target="../ctrlProps/ctrlProp821.xml"/><Relationship Id="rId11" Type="http://schemas.openxmlformats.org/officeDocument/2006/relationships/ctrlProp" Target="../ctrlProps/ctrlProp826.xml"/><Relationship Id="rId24" Type="http://schemas.openxmlformats.org/officeDocument/2006/relationships/ctrlProp" Target="../ctrlProps/ctrlProp839.xml"/><Relationship Id="rId32" Type="http://schemas.openxmlformats.org/officeDocument/2006/relationships/ctrlProp" Target="../ctrlProps/ctrlProp847.xml"/><Relationship Id="rId5" Type="http://schemas.openxmlformats.org/officeDocument/2006/relationships/ctrlProp" Target="../ctrlProps/ctrlProp820.xml"/><Relationship Id="rId15" Type="http://schemas.openxmlformats.org/officeDocument/2006/relationships/ctrlProp" Target="../ctrlProps/ctrlProp830.xml"/><Relationship Id="rId23" Type="http://schemas.openxmlformats.org/officeDocument/2006/relationships/ctrlProp" Target="../ctrlProps/ctrlProp838.xml"/><Relationship Id="rId28" Type="http://schemas.openxmlformats.org/officeDocument/2006/relationships/ctrlProp" Target="../ctrlProps/ctrlProp843.xml"/><Relationship Id="rId10" Type="http://schemas.openxmlformats.org/officeDocument/2006/relationships/ctrlProp" Target="../ctrlProps/ctrlProp825.xml"/><Relationship Id="rId19" Type="http://schemas.openxmlformats.org/officeDocument/2006/relationships/ctrlProp" Target="../ctrlProps/ctrlProp834.xml"/><Relationship Id="rId31" Type="http://schemas.openxmlformats.org/officeDocument/2006/relationships/ctrlProp" Target="../ctrlProps/ctrlProp846.xml"/><Relationship Id="rId4" Type="http://schemas.openxmlformats.org/officeDocument/2006/relationships/ctrlProp" Target="../ctrlProps/ctrlProp819.xml"/><Relationship Id="rId9" Type="http://schemas.openxmlformats.org/officeDocument/2006/relationships/ctrlProp" Target="../ctrlProps/ctrlProp824.xml"/><Relationship Id="rId14" Type="http://schemas.openxmlformats.org/officeDocument/2006/relationships/ctrlProp" Target="../ctrlProps/ctrlProp829.xml"/><Relationship Id="rId22" Type="http://schemas.openxmlformats.org/officeDocument/2006/relationships/ctrlProp" Target="../ctrlProps/ctrlProp837.xml"/><Relationship Id="rId27" Type="http://schemas.openxmlformats.org/officeDocument/2006/relationships/ctrlProp" Target="../ctrlProps/ctrlProp842.xml"/><Relationship Id="rId30" Type="http://schemas.openxmlformats.org/officeDocument/2006/relationships/ctrlProp" Target="../ctrlProps/ctrlProp845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52.xml"/><Relationship Id="rId13" Type="http://schemas.openxmlformats.org/officeDocument/2006/relationships/ctrlProp" Target="../ctrlProps/ctrlProp857.xml"/><Relationship Id="rId18" Type="http://schemas.openxmlformats.org/officeDocument/2006/relationships/ctrlProp" Target="../ctrlProps/ctrlProp862.xml"/><Relationship Id="rId26" Type="http://schemas.openxmlformats.org/officeDocument/2006/relationships/ctrlProp" Target="../ctrlProps/ctrlProp870.xml"/><Relationship Id="rId3" Type="http://schemas.openxmlformats.org/officeDocument/2006/relationships/vmlDrawing" Target="../drawings/vmlDrawing53.vml"/><Relationship Id="rId21" Type="http://schemas.openxmlformats.org/officeDocument/2006/relationships/ctrlProp" Target="../ctrlProps/ctrlProp865.xml"/><Relationship Id="rId7" Type="http://schemas.openxmlformats.org/officeDocument/2006/relationships/ctrlProp" Target="../ctrlProps/ctrlProp851.xml"/><Relationship Id="rId12" Type="http://schemas.openxmlformats.org/officeDocument/2006/relationships/ctrlProp" Target="../ctrlProps/ctrlProp856.xml"/><Relationship Id="rId17" Type="http://schemas.openxmlformats.org/officeDocument/2006/relationships/ctrlProp" Target="../ctrlProps/ctrlProp861.xml"/><Relationship Id="rId25" Type="http://schemas.openxmlformats.org/officeDocument/2006/relationships/ctrlProp" Target="../ctrlProps/ctrlProp869.xml"/><Relationship Id="rId33" Type="http://schemas.openxmlformats.org/officeDocument/2006/relationships/comments" Target="../comments42.xml"/><Relationship Id="rId2" Type="http://schemas.openxmlformats.org/officeDocument/2006/relationships/drawing" Target="../drawings/drawing96.xml"/><Relationship Id="rId16" Type="http://schemas.openxmlformats.org/officeDocument/2006/relationships/ctrlProp" Target="../ctrlProps/ctrlProp860.xml"/><Relationship Id="rId20" Type="http://schemas.openxmlformats.org/officeDocument/2006/relationships/ctrlProp" Target="../ctrlProps/ctrlProp864.xml"/><Relationship Id="rId29" Type="http://schemas.openxmlformats.org/officeDocument/2006/relationships/ctrlProp" Target="../ctrlProps/ctrlProp873.xml"/><Relationship Id="rId1" Type="http://schemas.openxmlformats.org/officeDocument/2006/relationships/printerSettings" Target="../printerSettings/printerSettings96.bin"/><Relationship Id="rId6" Type="http://schemas.openxmlformats.org/officeDocument/2006/relationships/ctrlProp" Target="../ctrlProps/ctrlProp850.xml"/><Relationship Id="rId11" Type="http://schemas.openxmlformats.org/officeDocument/2006/relationships/ctrlProp" Target="../ctrlProps/ctrlProp855.xml"/><Relationship Id="rId24" Type="http://schemas.openxmlformats.org/officeDocument/2006/relationships/ctrlProp" Target="../ctrlProps/ctrlProp868.xml"/><Relationship Id="rId32" Type="http://schemas.openxmlformats.org/officeDocument/2006/relationships/ctrlProp" Target="../ctrlProps/ctrlProp876.xml"/><Relationship Id="rId5" Type="http://schemas.openxmlformats.org/officeDocument/2006/relationships/ctrlProp" Target="../ctrlProps/ctrlProp849.xml"/><Relationship Id="rId15" Type="http://schemas.openxmlformats.org/officeDocument/2006/relationships/ctrlProp" Target="../ctrlProps/ctrlProp859.xml"/><Relationship Id="rId23" Type="http://schemas.openxmlformats.org/officeDocument/2006/relationships/ctrlProp" Target="../ctrlProps/ctrlProp867.xml"/><Relationship Id="rId28" Type="http://schemas.openxmlformats.org/officeDocument/2006/relationships/ctrlProp" Target="../ctrlProps/ctrlProp872.xml"/><Relationship Id="rId10" Type="http://schemas.openxmlformats.org/officeDocument/2006/relationships/ctrlProp" Target="../ctrlProps/ctrlProp854.xml"/><Relationship Id="rId19" Type="http://schemas.openxmlformats.org/officeDocument/2006/relationships/ctrlProp" Target="../ctrlProps/ctrlProp863.xml"/><Relationship Id="rId31" Type="http://schemas.openxmlformats.org/officeDocument/2006/relationships/ctrlProp" Target="../ctrlProps/ctrlProp875.xml"/><Relationship Id="rId4" Type="http://schemas.openxmlformats.org/officeDocument/2006/relationships/ctrlProp" Target="../ctrlProps/ctrlProp848.xml"/><Relationship Id="rId9" Type="http://schemas.openxmlformats.org/officeDocument/2006/relationships/ctrlProp" Target="../ctrlProps/ctrlProp853.xml"/><Relationship Id="rId14" Type="http://schemas.openxmlformats.org/officeDocument/2006/relationships/ctrlProp" Target="../ctrlProps/ctrlProp858.xml"/><Relationship Id="rId22" Type="http://schemas.openxmlformats.org/officeDocument/2006/relationships/ctrlProp" Target="../ctrlProps/ctrlProp866.xml"/><Relationship Id="rId27" Type="http://schemas.openxmlformats.org/officeDocument/2006/relationships/ctrlProp" Target="../ctrlProps/ctrlProp871.xml"/><Relationship Id="rId30" Type="http://schemas.openxmlformats.org/officeDocument/2006/relationships/ctrlProp" Target="../ctrlProps/ctrlProp874.x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81.xml"/><Relationship Id="rId13" Type="http://schemas.openxmlformats.org/officeDocument/2006/relationships/ctrlProp" Target="../ctrlProps/ctrlProp886.xml"/><Relationship Id="rId18" Type="http://schemas.openxmlformats.org/officeDocument/2006/relationships/ctrlProp" Target="../ctrlProps/ctrlProp891.xml"/><Relationship Id="rId26" Type="http://schemas.openxmlformats.org/officeDocument/2006/relationships/ctrlProp" Target="../ctrlProps/ctrlProp899.xml"/><Relationship Id="rId3" Type="http://schemas.openxmlformats.org/officeDocument/2006/relationships/vmlDrawing" Target="../drawings/vmlDrawing54.vml"/><Relationship Id="rId21" Type="http://schemas.openxmlformats.org/officeDocument/2006/relationships/ctrlProp" Target="../ctrlProps/ctrlProp894.xml"/><Relationship Id="rId7" Type="http://schemas.openxmlformats.org/officeDocument/2006/relationships/ctrlProp" Target="../ctrlProps/ctrlProp880.xml"/><Relationship Id="rId12" Type="http://schemas.openxmlformats.org/officeDocument/2006/relationships/ctrlProp" Target="../ctrlProps/ctrlProp885.xml"/><Relationship Id="rId17" Type="http://schemas.openxmlformats.org/officeDocument/2006/relationships/ctrlProp" Target="../ctrlProps/ctrlProp890.xml"/><Relationship Id="rId25" Type="http://schemas.openxmlformats.org/officeDocument/2006/relationships/ctrlProp" Target="../ctrlProps/ctrlProp898.xml"/><Relationship Id="rId2" Type="http://schemas.openxmlformats.org/officeDocument/2006/relationships/drawing" Target="../drawings/drawing98.xml"/><Relationship Id="rId16" Type="http://schemas.openxmlformats.org/officeDocument/2006/relationships/ctrlProp" Target="../ctrlProps/ctrlProp889.xml"/><Relationship Id="rId20" Type="http://schemas.openxmlformats.org/officeDocument/2006/relationships/ctrlProp" Target="../ctrlProps/ctrlProp893.xml"/><Relationship Id="rId29" Type="http://schemas.openxmlformats.org/officeDocument/2006/relationships/ctrlProp" Target="../ctrlProps/ctrlProp902.xml"/><Relationship Id="rId1" Type="http://schemas.openxmlformats.org/officeDocument/2006/relationships/printerSettings" Target="../printerSettings/printerSettings98.bin"/><Relationship Id="rId6" Type="http://schemas.openxmlformats.org/officeDocument/2006/relationships/ctrlProp" Target="../ctrlProps/ctrlProp879.xml"/><Relationship Id="rId11" Type="http://schemas.openxmlformats.org/officeDocument/2006/relationships/ctrlProp" Target="../ctrlProps/ctrlProp884.xml"/><Relationship Id="rId24" Type="http://schemas.openxmlformats.org/officeDocument/2006/relationships/ctrlProp" Target="../ctrlProps/ctrlProp897.xml"/><Relationship Id="rId5" Type="http://schemas.openxmlformats.org/officeDocument/2006/relationships/ctrlProp" Target="../ctrlProps/ctrlProp878.xml"/><Relationship Id="rId15" Type="http://schemas.openxmlformats.org/officeDocument/2006/relationships/ctrlProp" Target="../ctrlProps/ctrlProp888.xml"/><Relationship Id="rId23" Type="http://schemas.openxmlformats.org/officeDocument/2006/relationships/ctrlProp" Target="../ctrlProps/ctrlProp896.xml"/><Relationship Id="rId28" Type="http://schemas.openxmlformats.org/officeDocument/2006/relationships/ctrlProp" Target="../ctrlProps/ctrlProp901.xml"/><Relationship Id="rId10" Type="http://schemas.openxmlformats.org/officeDocument/2006/relationships/ctrlProp" Target="../ctrlProps/ctrlProp883.xml"/><Relationship Id="rId19" Type="http://schemas.openxmlformats.org/officeDocument/2006/relationships/ctrlProp" Target="../ctrlProps/ctrlProp892.xml"/><Relationship Id="rId31" Type="http://schemas.openxmlformats.org/officeDocument/2006/relationships/comments" Target="../comments43.xml"/><Relationship Id="rId4" Type="http://schemas.openxmlformats.org/officeDocument/2006/relationships/ctrlProp" Target="../ctrlProps/ctrlProp877.xml"/><Relationship Id="rId9" Type="http://schemas.openxmlformats.org/officeDocument/2006/relationships/ctrlProp" Target="../ctrlProps/ctrlProp882.xml"/><Relationship Id="rId14" Type="http://schemas.openxmlformats.org/officeDocument/2006/relationships/ctrlProp" Target="../ctrlProps/ctrlProp887.xml"/><Relationship Id="rId22" Type="http://schemas.openxmlformats.org/officeDocument/2006/relationships/ctrlProp" Target="../ctrlProps/ctrlProp895.xml"/><Relationship Id="rId27" Type="http://schemas.openxmlformats.org/officeDocument/2006/relationships/ctrlProp" Target="../ctrlProps/ctrlProp900.xml"/><Relationship Id="rId30" Type="http://schemas.openxmlformats.org/officeDocument/2006/relationships/ctrlProp" Target="../ctrlProps/ctrlProp903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N65"/>
  <sheetViews>
    <sheetView showGridLines="0" tabSelected="1" zoomScale="70" zoomScaleNormal="70" workbookViewId="0"/>
  </sheetViews>
  <sheetFormatPr baseColWidth="10" defaultRowHeight="12.75" x14ac:dyDescent="0.2"/>
  <cols>
    <col min="1" max="1" width="2.5703125" customWidth="1"/>
    <col min="2" max="2" width="2.85546875" customWidth="1"/>
    <col min="3" max="3" width="10.85546875" customWidth="1"/>
    <col min="4" max="4" width="20.85546875" customWidth="1"/>
    <col min="8" max="8" width="14.42578125" customWidth="1"/>
    <col min="9" max="9" width="13.140625" customWidth="1"/>
    <col min="11" max="11" width="13.140625" customWidth="1"/>
    <col min="12" max="12" width="2.42578125" customWidth="1"/>
    <col min="13" max="20" width="0" hidden="1" customWidth="1"/>
  </cols>
  <sheetData>
    <row r="1" spans="1:12" ht="18" x14ac:dyDescent="0.25">
      <c r="J1" s="3758"/>
      <c r="K1" s="3758"/>
    </row>
    <row r="2" spans="1:12" ht="18" customHeight="1" x14ac:dyDescent="0.2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</row>
    <row r="3" spans="1:12" ht="34.5" customHeight="1" x14ac:dyDescent="0.2">
      <c r="A3" s="172"/>
      <c r="B3" s="3138"/>
      <c r="C3" s="3139"/>
      <c r="D3" s="3139"/>
      <c r="E3" s="3139"/>
      <c r="F3" s="3139"/>
      <c r="G3" s="3139"/>
      <c r="H3" s="3140"/>
      <c r="I3" s="3139"/>
      <c r="J3" s="3140"/>
      <c r="K3" s="3139"/>
      <c r="L3" s="3141"/>
    </row>
    <row r="4" spans="1:12" s="29" customFormat="1" ht="51.75" customHeight="1" x14ac:dyDescent="0.2">
      <c r="A4" s="33"/>
      <c r="B4" s="2957"/>
      <c r="C4" s="3142" t="s">
        <v>1860</v>
      </c>
      <c r="D4" s="2951"/>
      <c r="E4" s="2952"/>
      <c r="F4" s="2953"/>
      <c r="G4" s="2953"/>
      <c r="H4" s="2953"/>
      <c r="I4" s="2953"/>
      <c r="J4" s="2954"/>
      <c r="K4" s="2955"/>
      <c r="L4" s="3143"/>
    </row>
    <row r="5" spans="1:12" s="29" customFormat="1" ht="51.75" customHeight="1" x14ac:dyDescent="0.2">
      <c r="A5" s="33"/>
      <c r="B5" s="2957"/>
      <c r="C5" s="2956" t="s">
        <v>638</v>
      </c>
      <c r="D5" s="3145"/>
      <c r="E5" s="3145"/>
      <c r="F5" s="3146"/>
      <c r="G5" s="3146"/>
      <c r="H5" s="3146"/>
      <c r="I5" s="3146"/>
      <c r="J5" s="3147"/>
      <c r="K5" s="3148"/>
      <c r="L5" s="3143"/>
    </row>
    <row r="6" spans="1:12" s="29" customFormat="1" ht="44.45" customHeight="1" x14ac:dyDescent="0.2">
      <c r="A6" s="33"/>
      <c r="B6" s="2957"/>
      <c r="C6" s="3144"/>
      <c r="D6" s="2953"/>
      <c r="E6" s="2953"/>
      <c r="F6" s="4173">
        <v>2022</v>
      </c>
      <c r="G6" s="4173"/>
      <c r="H6" s="4173"/>
      <c r="I6" s="2953"/>
      <c r="J6" s="2954"/>
      <c r="K6" s="2955"/>
      <c r="L6" s="3143"/>
    </row>
    <row r="7" spans="1:12" s="29" customFormat="1" ht="15" customHeight="1" x14ac:dyDescent="0.2">
      <c r="A7" s="33"/>
      <c r="B7" s="2957"/>
      <c r="C7" s="3149"/>
      <c r="D7" s="2951"/>
      <c r="E7" s="2952"/>
      <c r="F7" s="2953"/>
      <c r="G7" s="2953"/>
      <c r="H7" s="2953"/>
      <c r="I7" s="2953"/>
      <c r="J7" s="2954"/>
      <c r="K7" s="2955"/>
      <c r="L7" s="3143"/>
    </row>
    <row r="8" spans="1:12" s="29" customFormat="1" ht="33.75" customHeight="1" x14ac:dyDescent="0.2">
      <c r="A8" s="33"/>
      <c r="B8" s="2958"/>
      <c r="C8" s="3150" t="s">
        <v>488</v>
      </c>
      <c r="D8" s="2959"/>
      <c r="E8" s="2960"/>
      <c r="F8" s="2961"/>
      <c r="G8" s="2961"/>
      <c r="H8" s="2961"/>
      <c r="I8" s="2961"/>
      <c r="J8" s="2962"/>
      <c r="K8" s="2963"/>
      <c r="L8" s="3151"/>
    </row>
    <row r="9" spans="1:12" s="2982" customFormat="1" ht="16.5" customHeight="1" x14ac:dyDescent="0.2">
      <c r="A9" s="2975"/>
      <c r="B9" s="2975"/>
      <c r="C9" s="2976"/>
      <c r="D9" s="2977"/>
      <c r="E9" s="2978"/>
      <c r="F9" s="2979"/>
      <c r="G9" s="2979"/>
      <c r="H9" s="2979"/>
      <c r="I9" s="2979"/>
      <c r="J9" s="2980"/>
      <c r="K9" s="2981"/>
      <c r="L9" s="2975"/>
    </row>
    <row r="10" spans="1:12" s="29" customFormat="1" ht="22.7" customHeight="1" x14ac:dyDescent="0.2">
      <c r="A10" s="33"/>
      <c r="B10" s="2964"/>
      <c r="C10" s="2965"/>
      <c r="D10" s="2966"/>
      <c r="E10" s="2967"/>
      <c r="F10" s="2968"/>
      <c r="G10" s="2968"/>
      <c r="H10" s="2968"/>
      <c r="I10" s="2968"/>
      <c r="J10" s="2969"/>
      <c r="K10" s="2970"/>
      <c r="L10" s="2971"/>
    </row>
    <row r="11" spans="1:12" s="29" customFormat="1" ht="255.2" customHeight="1" x14ac:dyDescent="0.2">
      <c r="A11" s="33"/>
      <c r="B11" s="2957"/>
      <c r="C11" s="2956"/>
      <c r="D11" s="2951"/>
      <c r="E11" s="2952"/>
      <c r="F11" s="2953"/>
      <c r="G11" s="2953"/>
      <c r="H11" s="2953"/>
      <c r="I11" s="2953"/>
      <c r="J11" s="2954"/>
      <c r="K11" s="2955"/>
      <c r="L11" s="2972"/>
    </row>
    <row r="12" spans="1:12" s="29" customFormat="1" ht="205.5" customHeight="1" x14ac:dyDescent="0.2">
      <c r="A12" s="33"/>
      <c r="B12" s="2958"/>
      <c r="C12" s="2973"/>
      <c r="D12" s="2959"/>
      <c r="E12" s="2960"/>
      <c r="F12" s="2961"/>
      <c r="G12" s="2961"/>
      <c r="H12" s="2961"/>
      <c r="I12" s="2961"/>
      <c r="J12" s="2962"/>
      <c r="K12" s="2963"/>
      <c r="L12" s="2974"/>
    </row>
    <row r="13" spans="1:12" s="29" customFormat="1" ht="56.25" customHeight="1" x14ac:dyDescent="0.35">
      <c r="A13" s="33"/>
      <c r="B13" s="33"/>
      <c r="C13" s="3152" t="s">
        <v>489</v>
      </c>
      <c r="D13" s="172"/>
      <c r="E13" s="211"/>
      <c r="F13" s="212"/>
      <c r="G13" s="212"/>
      <c r="H13" s="212"/>
      <c r="I13" s="212"/>
      <c r="J13" s="213"/>
      <c r="K13" s="214"/>
      <c r="L13" s="33"/>
    </row>
    <row r="14" spans="1:12" s="29" customFormat="1" ht="23.25" customHeight="1" x14ac:dyDescent="0.35">
      <c r="A14" s="33"/>
      <c r="B14" s="33"/>
      <c r="C14" s="3152"/>
      <c r="D14" s="172"/>
      <c r="E14" s="211"/>
      <c r="F14" s="212"/>
      <c r="G14" s="212"/>
      <c r="H14" s="212"/>
      <c r="I14" s="212"/>
      <c r="J14" s="213"/>
      <c r="K14" s="214"/>
      <c r="L14" s="33"/>
    </row>
    <row r="15" spans="1:12" s="29" customFormat="1" ht="22.7" customHeight="1" x14ac:dyDescent="0.2">
      <c r="A15" s="33"/>
      <c r="B15" s="33"/>
      <c r="C15" s="3153" t="s">
        <v>490</v>
      </c>
      <c r="D15" s="172"/>
      <c r="E15" s="211"/>
      <c r="F15" s="212"/>
      <c r="G15" s="212"/>
      <c r="H15" s="212"/>
      <c r="I15" s="212"/>
      <c r="J15" s="213"/>
      <c r="K15" s="214"/>
      <c r="L15" s="33"/>
    </row>
    <row r="16" spans="1:12" s="29" customFormat="1" ht="27" customHeight="1" x14ac:dyDescent="0.2">
      <c r="A16" s="33"/>
      <c r="B16" s="33"/>
      <c r="C16" s="3153" t="s">
        <v>942</v>
      </c>
      <c r="D16" s="172"/>
      <c r="E16" s="211"/>
      <c r="F16" s="212"/>
      <c r="G16" s="212"/>
      <c r="H16" s="212"/>
      <c r="I16" s="212"/>
      <c r="J16" s="213"/>
      <c r="K16" s="214"/>
      <c r="L16" s="33"/>
    </row>
    <row r="17" spans="1:14" s="916" customFormat="1" ht="37.5" customHeight="1" x14ac:dyDescent="0.2">
      <c r="A17" s="29"/>
      <c r="B17" s="33"/>
      <c r="C17" s="914" t="s">
        <v>943</v>
      </c>
      <c r="D17" s="172"/>
      <c r="E17" s="211"/>
      <c r="F17" s="212"/>
      <c r="G17" s="212"/>
      <c r="H17" s="212"/>
      <c r="I17" s="212"/>
      <c r="J17" s="213"/>
      <c r="K17" s="214"/>
      <c r="L17" s="33"/>
      <c r="M17" s="29"/>
    </row>
    <row r="18" spans="1:14" s="29" customFormat="1" ht="38.25" customHeight="1" x14ac:dyDescent="0.3">
      <c r="A18" s="1307"/>
      <c r="B18" s="1307"/>
      <c r="C18" s="914" t="s">
        <v>1867</v>
      </c>
      <c r="D18" s="1301"/>
      <c r="E18" s="211"/>
      <c r="F18" s="216"/>
      <c r="G18" s="216"/>
      <c r="H18" s="216"/>
      <c r="I18" s="216"/>
      <c r="J18" s="217"/>
      <c r="K18" s="915"/>
      <c r="L18" s="1307"/>
      <c r="M18" s="916"/>
    </row>
    <row r="19" spans="1:14" s="29" customFormat="1" ht="38.25" customHeight="1" x14ac:dyDescent="0.2">
      <c r="A19" s="1307"/>
      <c r="B19" s="1307"/>
      <c r="C19" s="4113" t="s">
        <v>1868</v>
      </c>
      <c r="D19" s="215"/>
      <c r="E19" s="211"/>
      <c r="F19" s="212"/>
      <c r="G19" s="212"/>
      <c r="H19" s="212"/>
      <c r="I19" s="212"/>
      <c r="J19" s="217"/>
      <c r="K19" s="915"/>
      <c r="L19" s="1307"/>
      <c r="M19" s="916"/>
    </row>
    <row r="20" spans="1:14" s="29" customFormat="1" ht="22.7" customHeight="1" x14ac:dyDescent="0.2">
      <c r="A20" s="33"/>
      <c r="B20" s="33"/>
      <c r="C20" s="3153" t="s">
        <v>944</v>
      </c>
      <c r="D20" s="172"/>
      <c r="E20" s="211"/>
      <c r="F20" s="212"/>
      <c r="G20" s="212"/>
      <c r="H20" s="212"/>
      <c r="I20" s="212"/>
      <c r="J20" s="213"/>
      <c r="K20" s="214"/>
      <c r="L20" s="33"/>
    </row>
    <row r="21" spans="1:14" s="29" customFormat="1" ht="27" customHeight="1" x14ac:dyDescent="0.2">
      <c r="A21" s="33"/>
      <c r="B21" s="33"/>
      <c r="C21" s="3153" t="s">
        <v>363</v>
      </c>
      <c r="D21" s="172"/>
      <c r="E21" s="211"/>
      <c r="F21" s="212"/>
      <c r="G21" s="212"/>
      <c r="H21" s="212"/>
      <c r="I21" s="212"/>
      <c r="J21" s="213"/>
      <c r="K21" s="214"/>
      <c r="L21" s="33"/>
    </row>
    <row r="22" spans="1:14" s="916" customFormat="1" ht="37.5" customHeight="1" x14ac:dyDescent="0.2">
      <c r="A22" s="29"/>
      <c r="B22" s="33"/>
      <c r="C22" s="914" t="s">
        <v>364</v>
      </c>
      <c r="D22" s="172"/>
      <c r="E22" s="211"/>
      <c r="F22" s="212"/>
      <c r="G22" s="212"/>
      <c r="H22" s="212"/>
      <c r="I22" s="212"/>
      <c r="J22" s="213"/>
      <c r="K22" s="214"/>
      <c r="L22" s="33"/>
      <c r="M22" s="29"/>
    </row>
    <row r="23" spans="1:14" s="29" customFormat="1" ht="38.25" customHeight="1" x14ac:dyDescent="0.3">
      <c r="A23" s="1307"/>
      <c r="B23" s="1307"/>
      <c r="C23" s="914" t="s">
        <v>391</v>
      </c>
      <c r="D23" s="1301"/>
      <c r="E23" s="211"/>
      <c r="F23" s="216"/>
      <c r="G23" s="216"/>
      <c r="H23" s="216"/>
      <c r="I23" s="216"/>
      <c r="J23" s="217"/>
      <c r="K23" s="915"/>
      <c r="L23" s="1307"/>
      <c r="M23" s="916"/>
    </row>
    <row r="24" spans="1:14" s="29" customFormat="1" ht="29.25" customHeight="1" x14ac:dyDescent="0.2">
      <c r="A24" s="4112"/>
      <c r="B24" s="33"/>
      <c r="J24" s="213"/>
      <c r="K24" s="214"/>
      <c r="L24" s="33"/>
    </row>
    <row r="25" spans="1:14" s="29" customFormat="1" ht="17.45" customHeight="1" x14ac:dyDescent="0.2">
      <c r="A25" s="33"/>
      <c r="B25" s="33"/>
      <c r="C25" s="210"/>
      <c r="D25" s="215"/>
      <c r="E25" s="211"/>
      <c r="F25" s="212"/>
      <c r="G25" s="212"/>
      <c r="H25" s="212"/>
      <c r="I25" s="212"/>
      <c r="J25" s="213"/>
      <c r="K25" s="214"/>
      <c r="L25" s="33"/>
    </row>
    <row r="26" spans="1:14" s="29" customFormat="1" ht="17.45" customHeight="1" x14ac:dyDescent="0.2">
      <c r="A26" s="33"/>
      <c r="B26" s="33"/>
      <c r="C26" s="210"/>
      <c r="D26" s="215"/>
      <c r="E26" s="211"/>
      <c r="F26" s="212"/>
      <c r="G26" s="212"/>
      <c r="H26" s="212"/>
      <c r="I26" s="212"/>
      <c r="J26" s="213"/>
      <c r="K26" s="214"/>
      <c r="L26" s="33"/>
    </row>
    <row r="27" spans="1:14" s="29" customFormat="1" ht="23.25" customHeight="1" x14ac:dyDescent="0.2">
      <c r="A27" s="1308"/>
      <c r="B27" s="1308"/>
      <c r="C27" s="224" t="s">
        <v>491</v>
      </c>
      <c r="D27" s="4084">
        <v>44635</v>
      </c>
      <c r="E27" s="4084"/>
      <c r="F27" s="220"/>
      <c r="G27" s="220"/>
      <c r="H27" s="220"/>
      <c r="I27" s="220"/>
      <c r="J27" s="221"/>
      <c r="K27" s="222"/>
      <c r="L27" s="1308"/>
      <c r="M27" s="758"/>
      <c r="N27" s="758"/>
    </row>
    <row r="28" spans="1:14" s="29" customFormat="1" ht="16.5" customHeight="1" x14ac:dyDescent="0.2">
      <c r="A28" s="33"/>
      <c r="B28" s="33"/>
      <c r="C28" s="1303"/>
      <c r="D28" s="211"/>
      <c r="E28" s="211"/>
      <c r="F28" s="216"/>
      <c r="G28" s="216"/>
      <c r="H28" s="216"/>
      <c r="I28" s="216"/>
      <c r="J28" s="217"/>
      <c r="K28" s="216"/>
      <c r="L28" s="33"/>
      <c r="M28" s="758"/>
      <c r="N28" s="758"/>
    </row>
    <row r="29" spans="1:14" s="29" customFormat="1" ht="15.75" customHeight="1" x14ac:dyDescent="0.2">
      <c r="B29" s="1309"/>
      <c r="C29" s="33"/>
      <c r="D29" s="1302"/>
      <c r="E29" s="218"/>
      <c r="F29" s="912"/>
      <c r="G29" s="912"/>
      <c r="H29" s="912"/>
      <c r="I29" s="912"/>
      <c r="J29" s="913"/>
      <c r="K29" s="912"/>
      <c r="L29" s="35"/>
      <c r="M29" s="758"/>
      <c r="N29" s="758"/>
    </row>
    <row r="30" spans="1:14" ht="15.75" customHeight="1" x14ac:dyDescent="0.2">
      <c r="B30" s="1309"/>
      <c r="C30" s="33"/>
      <c r="D30" s="1302"/>
      <c r="E30" s="218"/>
      <c r="F30" s="912"/>
      <c r="G30" s="912"/>
      <c r="H30" s="912"/>
      <c r="I30" s="912"/>
      <c r="J30" s="913"/>
      <c r="L30" s="1302"/>
      <c r="M30" s="907"/>
      <c r="N30" s="907"/>
    </row>
    <row r="31" spans="1:14" ht="16.5" customHeight="1" x14ac:dyDescent="0.2">
      <c r="B31" s="1309"/>
      <c r="C31" s="33"/>
      <c r="D31" s="215"/>
      <c r="E31" s="219"/>
      <c r="F31" s="917"/>
      <c r="G31" s="918"/>
      <c r="H31" s="918"/>
      <c r="I31" s="918"/>
      <c r="J31" s="913"/>
      <c r="L31" s="1302"/>
      <c r="M31" s="907"/>
      <c r="N31" s="907"/>
    </row>
    <row r="32" spans="1:14" ht="15" x14ac:dyDescent="0.2">
      <c r="B32" s="1309"/>
      <c r="C32" s="172"/>
      <c r="D32" s="1302"/>
      <c r="E32" s="1302"/>
      <c r="F32" s="1302"/>
      <c r="G32" s="1302"/>
      <c r="H32" s="1302"/>
      <c r="I32" s="1302"/>
      <c r="J32" s="1302"/>
    </row>
    <row r="33" spans="2:10" ht="15" x14ac:dyDescent="0.2">
      <c r="B33" s="1310"/>
      <c r="C33" s="172"/>
      <c r="D33" s="1302"/>
      <c r="E33" s="1302"/>
      <c r="F33" s="1302"/>
      <c r="G33" s="1302"/>
      <c r="H33" s="1302"/>
      <c r="I33" s="1302"/>
      <c r="J33" s="1302"/>
    </row>
    <row r="58" spans="11:11" ht="18" x14ac:dyDescent="0.2">
      <c r="K58" s="214"/>
    </row>
    <row r="59" spans="11:11" ht="20.25" x14ac:dyDescent="0.2">
      <c r="K59" s="222"/>
    </row>
    <row r="60" spans="11:11" ht="20.25" x14ac:dyDescent="0.2">
      <c r="K60" s="216"/>
    </row>
    <row r="61" spans="11:11" ht="15.75" x14ac:dyDescent="0.2">
      <c r="K61" s="912"/>
    </row>
    <row r="62" spans="11:11" ht="15.75" x14ac:dyDescent="0.2">
      <c r="K62" s="912"/>
    </row>
    <row r="63" spans="11:11" ht="15" x14ac:dyDescent="0.2">
      <c r="K63" s="918"/>
    </row>
    <row r="64" spans="11:11" ht="15" x14ac:dyDescent="0.2">
      <c r="K64" s="1302"/>
    </row>
    <row r="65" spans="11:11" ht="15" x14ac:dyDescent="0.2">
      <c r="K65" s="1302"/>
    </row>
  </sheetData>
  <sheetProtection sheet="1" objects="1" scenarios="1"/>
  <mergeCells count="1">
    <mergeCell ref="F6:H6"/>
  </mergeCells>
  <phoneticPr fontId="0" type="noConversion"/>
  <printOptions horizontalCentered="1"/>
  <pageMargins left="0.28999999999999998" right="0.27" top="0.59" bottom="0.5" header="0.51181102362204722" footer="0.31496062992125984"/>
  <pageSetup paperSize="9" scale="59" orientation="portrait" r:id="rId1"/>
  <headerFooter alignWithMargins="0">
    <oddFooter xml:space="preserve">&amp;C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rgb="FFFF0000"/>
  </sheetPr>
  <dimension ref="A1:AO206"/>
  <sheetViews>
    <sheetView showGridLines="0" showZeros="0" zoomScaleNormal="100" workbookViewId="0">
      <selection activeCell="N16" sqref="N16"/>
    </sheetView>
  </sheetViews>
  <sheetFormatPr baseColWidth="10" defaultRowHeight="12.75" x14ac:dyDescent="0.2"/>
  <cols>
    <col min="1" max="1" width="2" style="8" customWidth="1"/>
    <col min="2" max="2" width="3.5703125" style="7" customWidth="1"/>
    <col min="3" max="3" width="5.7109375" style="7" customWidth="1"/>
    <col min="4" max="4" width="13" style="7" customWidth="1"/>
    <col min="5" max="5" width="7" style="7" customWidth="1"/>
    <col min="6" max="6" width="8.7109375" style="7" customWidth="1"/>
    <col min="7" max="7" width="29.5703125" style="7" customWidth="1"/>
    <col min="8" max="8" width="14.5703125" style="41" customWidth="1"/>
    <col min="9" max="9" width="14.85546875" style="41" customWidth="1"/>
    <col min="10" max="12" width="14.7109375" style="41" customWidth="1"/>
    <col min="13" max="13" width="14.7109375" style="7" customWidth="1"/>
    <col min="14" max="14" width="14.7109375" customWidth="1"/>
    <col min="16" max="16" width="13.140625" customWidth="1"/>
    <col min="19" max="19" width="11.85546875" customWidth="1"/>
    <col min="21" max="21" width="15.85546875" customWidth="1"/>
  </cols>
  <sheetData>
    <row r="1" spans="1:41" s="3704" customFormat="1" ht="18" x14ac:dyDescent="0.2">
      <c r="A1" s="542"/>
      <c r="B1" s="4192"/>
      <c r="C1" s="4192"/>
      <c r="D1" s="4192"/>
      <c r="E1" s="3716"/>
      <c r="F1" s="3754"/>
      <c r="G1" s="3717"/>
      <c r="H1" s="3754" t="s">
        <v>1657</v>
      </c>
      <c r="I1" s="3717"/>
      <c r="J1" s="3717"/>
      <c r="K1" s="3717"/>
      <c r="L1" s="3717"/>
      <c r="M1" s="3717"/>
      <c r="N1" s="3717"/>
      <c r="O1" s="3761"/>
      <c r="P1" s="3761"/>
      <c r="Q1" s="3718"/>
    </row>
    <row r="2" spans="1:41" s="8" customFormat="1" ht="56.25" customHeight="1" x14ac:dyDescent="0.2">
      <c r="A2" s="3551"/>
      <c r="B2" s="3721"/>
      <c r="C2" s="3721"/>
      <c r="D2" s="3721"/>
      <c r="E2" s="3721"/>
      <c r="F2" s="3723"/>
      <c r="G2" s="3719"/>
      <c r="H2" s="3719"/>
      <c r="I2" s="3719"/>
      <c r="J2" s="3720"/>
      <c r="K2" s="3719"/>
      <c r="L2" s="3720"/>
      <c r="M2" s="3720"/>
      <c r="N2" s="3720"/>
      <c r="O2" s="3720"/>
      <c r="P2" s="3720"/>
      <c r="Q2" s="3720"/>
    </row>
    <row r="3" spans="1:41" s="8" customFormat="1" ht="27.95" customHeight="1" thickBot="1" x14ac:dyDescent="0.25">
      <c r="A3" s="42"/>
      <c r="B3" s="38" t="s">
        <v>605</v>
      </c>
      <c r="C3" s="29"/>
      <c r="D3" s="29"/>
      <c r="E3" s="29"/>
      <c r="F3" s="29"/>
      <c r="G3" s="29"/>
      <c r="H3" s="29"/>
      <c r="I3" s="29"/>
      <c r="J3" s="75" t="s">
        <v>517</v>
      </c>
      <c r="K3"/>
      <c r="L3"/>
      <c r="M3" s="29"/>
      <c r="N3" s="71" t="str">
        <f>Ausglleist!AA2</f>
        <v>Futterbau</v>
      </c>
      <c r="O3" s="7"/>
      <c r="P3" s="7"/>
    </row>
    <row r="4" spans="1:41" s="8" customFormat="1" ht="20.45" customHeight="1" thickBot="1" x14ac:dyDescent="0.25">
      <c r="A4" s="42"/>
      <c r="B4" s="204" t="s">
        <v>493</v>
      </c>
      <c r="C4" s="29"/>
      <c r="D4" s="205">
        <f>Deckbl!D27</f>
        <v>44635</v>
      </c>
      <c r="E4" s="35"/>
      <c r="F4" s="35"/>
      <c r="G4" s="35"/>
      <c r="H4" s="35"/>
      <c r="I4" s="35"/>
      <c r="J4" s="75" t="s">
        <v>606</v>
      </c>
      <c r="K4"/>
      <c r="L4"/>
      <c r="M4" s="39"/>
      <c r="N4" s="3542">
        <v>2022</v>
      </c>
      <c r="O4" s="7"/>
      <c r="P4" s="7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</row>
    <row r="5" spans="1:41" s="8" customFormat="1" ht="33.950000000000003" customHeight="1" x14ac:dyDescent="0.2">
      <c r="A5" s="42"/>
      <c r="B5" s="3204" t="s">
        <v>607</v>
      </c>
      <c r="J5" s="3540" t="s">
        <v>1471</v>
      </c>
      <c r="K5" s="3541"/>
      <c r="L5" s="3541"/>
      <c r="M5" s="3541"/>
      <c r="N5" s="3541"/>
      <c r="O5" s="7"/>
      <c r="P5" s="7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</row>
    <row r="6" spans="1:41" s="8" customFormat="1" ht="22.7" customHeight="1" x14ac:dyDescent="0.2">
      <c r="A6" s="42"/>
      <c r="B6" s="59"/>
      <c r="C6" s="60"/>
      <c r="D6" s="60"/>
      <c r="E6" s="60"/>
      <c r="F6" s="60"/>
      <c r="G6" s="60"/>
      <c r="H6" s="63" t="s">
        <v>554</v>
      </c>
      <c r="I6" s="3534"/>
      <c r="J6" s="766"/>
      <c r="K6" s="61"/>
      <c r="L6" s="61"/>
      <c r="M6" s="65"/>
      <c r="N6" s="3543" t="str">
        <f>IF(V8=1,"Aktuell","ohne MwSt.")</f>
        <v>Aktuell</v>
      </c>
      <c r="O6" s="7"/>
      <c r="P6" s="7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</row>
    <row r="7" spans="1:41" s="8" customFormat="1" ht="21.2" customHeight="1" x14ac:dyDescent="0.2">
      <c r="A7" s="42"/>
      <c r="B7" s="62"/>
      <c r="C7" s="7"/>
      <c r="D7" s="7"/>
      <c r="E7" s="7"/>
      <c r="F7" s="7"/>
      <c r="G7" s="7"/>
      <c r="H7" s="3991">
        <v>2018</v>
      </c>
      <c r="I7" s="64">
        <v>2019</v>
      </c>
      <c r="J7" s="64">
        <v>2020</v>
      </c>
      <c r="K7" s="64">
        <v>2021</v>
      </c>
      <c r="L7" s="559">
        <v>2022</v>
      </c>
      <c r="M7" s="573">
        <v>2023</v>
      </c>
      <c r="N7" s="573">
        <f>N4</f>
        <v>2022</v>
      </c>
      <c r="O7" s="7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</row>
    <row r="8" spans="1:41" s="44" customFormat="1" ht="18" customHeight="1" x14ac:dyDescent="0.2">
      <c r="B8" s="45"/>
      <c r="C8" s="57" t="s">
        <v>608</v>
      </c>
      <c r="D8" s="57"/>
      <c r="E8" s="57"/>
      <c r="F8" s="57"/>
      <c r="G8" s="46"/>
      <c r="H8" s="3992">
        <v>10.7</v>
      </c>
      <c r="I8" s="3975">
        <v>10.7</v>
      </c>
      <c r="J8" s="3975">
        <v>10.7</v>
      </c>
      <c r="K8" s="3975">
        <v>10.7</v>
      </c>
      <c r="L8" s="4014">
        <v>9.5</v>
      </c>
      <c r="M8" s="672"/>
      <c r="N8" s="673">
        <f>IF($V$8=2,0,HLOOKUP($N$7,$H$7:$M$11,2))</f>
        <v>9.5</v>
      </c>
      <c r="O8" s="7"/>
      <c r="P8" s="7"/>
      <c r="S8" s="1930" t="s">
        <v>1467</v>
      </c>
      <c r="T8" s="530"/>
      <c r="U8" s="3536" t="s">
        <v>1468</v>
      </c>
      <c r="V8" s="3537">
        <v>1</v>
      </c>
      <c r="W8" s="3538" t="str">
        <f>VLOOKUP(V8,S9:T10,2,FALSE)</f>
        <v>mit Mehrwertsteuer (Pauschalierung)</v>
      </c>
      <c r="X8" s="3538"/>
      <c r="Y8" s="3538"/>
      <c r="Z8" s="3538"/>
    </row>
    <row r="9" spans="1:41" s="44" customFormat="1" ht="18" customHeight="1" x14ac:dyDescent="0.2">
      <c r="B9" s="93"/>
      <c r="C9" s="3" t="s">
        <v>978</v>
      </c>
      <c r="D9" s="3"/>
      <c r="E9" s="3"/>
      <c r="F9" s="3"/>
      <c r="G9" s="55"/>
      <c r="H9" s="3993">
        <v>7</v>
      </c>
      <c r="I9" s="3976">
        <v>7</v>
      </c>
      <c r="J9" s="3976">
        <v>7</v>
      </c>
      <c r="K9" s="3976">
        <v>7</v>
      </c>
      <c r="L9" s="674">
        <v>7</v>
      </c>
      <c r="M9" s="674"/>
      <c r="N9" s="673">
        <f>IF($V$8=2,0,HLOOKUP($N$7,$H$7:$M$11,3))</f>
        <v>7</v>
      </c>
      <c r="O9" s="7"/>
      <c r="P9" s="7"/>
      <c r="S9" s="3539">
        <v>1</v>
      </c>
      <c r="T9" s="1930" t="s">
        <v>1469</v>
      </c>
      <c r="U9" s="952"/>
      <c r="V9" s="952"/>
      <c r="W9" s="952"/>
      <c r="X9" s="952"/>
      <c r="Y9" s="952"/>
      <c r="Z9" s="952"/>
    </row>
    <row r="10" spans="1:41" s="44" customFormat="1" ht="18" customHeight="1" x14ac:dyDescent="0.2">
      <c r="B10" s="93"/>
      <c r="C10" s="3" t="s">
        <v>590</v>
      </c>
      <c r="D10" s="3"/>
      <c r="E10" s="3"/>
      <c r="F10" s="3"/>
      <c r="G10" s="55"/>
      <c r="H10" s="3993">
        <v>19</v>
      </c>
      <c r="I10" s="3976">
        <v>19</v>
      </c>
      <c r="J10" s="3976">
        <v>19</v>
      </c>
      <c r="K10" s="3976">
        <v>19</v>
      </c>
      <c r="L10" s="674">
        <v>19</v>
      </c>
      <c r="M10" s="674"/>
      <c r="N10" s="673">
        <f>IF($V$8=2,0,HLOOKUP($N$7,$H$7:$M$11,4))</f>
        <v>19</v>
      </c>
      <c r="O10" s="7"/>
      <c r="P10" s="7"/>
      <c r="S10" s="3539">
        <v>2</v>
      </c>
      <c r="T10" s="1930" t="s">
        <v>1470</v>
      </c>
      <c r="U10" s="952"/>
      <c r="V10" s="952"/>
      <c r="W10" s="952"/>
      <c r="X10" s="952"/>
      <c r="Y10" s="952"/>
      <c r="Z10" s="952"/>
    </row>
    <row r="11" spans="1:41" s="44" customFormat="1" ht="18" customHeight="1" x14ac:dyDescent="0.2">
      <c r="B11" s="675"/>
      <c r="C11" s="58" t="s">
        <v>591</v>
      </c>
      <c r="D11" s="58"/>
      <c r="E11" s="58"/>
      <c r="F11" s="58"/>
      <c r="G11" s="37"/>
      <c r="H11" s="3994">
        <v>12</v>
      </c>
      <c r="I11" s="3977">
        <v>12</v>
      </c>
      <c r="J11" s="3977">
        <v>12</v>
      </c>
      <c r="K11" s="3977">
        <v>12</v>
      </c>
      <c r="L11" s="70">
        <v>12</v>
      </c>
      <c r="M11" s="70"/>
      <c r="N11" s="3930">
        <f>IF($V$8=2,0,HLOOKUP($N$7,$H$7:$M$11,5))</f>
        <v>12</v>
      </c>
      <c r="O11" s="7"/>
      <c r="P11" s="7"/>
    </row>
    <row r="12" spans="1:41" s="51" customFormat="1" ht="28.5" customHeight="1" x14ac:dyDescent="0.2">
      <c r="B12" s="50"/>
      <c r="C12" s="176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</row>
    <row r="13" spans="1:41" s="8" customFormat="1" ht="22.7" customHeight="1" x14ac:dyDescent="0.2">
      <c r="A13" s="42"/>
      <c r="B13" s="56" t="s">
        <v>592</v>
      </c>
      <c r="C13" s="1372"/>
      <c r="D13" s="29"/>
      <c r="E13" s="29"/>
      <c r="F13" s="29"/>
      <c r="G13" s="29"/>
      <c r="H13" s="29"/>
      <c r="I13" s="29"/>
      <c r="J13" s="29"/>
      <c r="K13" s="29"/>
      <c r="L13" s="29"/>
      <c r="M13" s="676" t="s">
        <v>593</v>
      </c>
      <c r="N13" s="857">
        <f>IF(V8=1,N10,0)</f>
        <v>19</v>
      </c>
      <c r="O13" s="7"/>
      <c r="P13" s="7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</row>
    <row r="14" spans="1:41" s="8" customFormat="1" ht="22.7" customHeight="1" x14ac:dyDescent="0.2">
      <c r="A14" s="42"/>
      <c r="B14" s="59"/>
      <c r="D14" s="60"/>
      <c r="E14" s="60"/>
      <c r="F14" s="60"/>
      <c r="G14" s="60"/>
      <c r="H14" s="63" t="s">
        <v>594</v>
      </c>
      <c r="I14" s="3534"/>
      <c r="J14" s="61"/>
      <c r="K14" s="61"/>
      <c r="L14" s="61"/>
      <c r="M14" s="4149" t="s">
        <v>1894</v>
      </c>
      <c r="N14" s="3543" t="str">
        <f>IF(V8=1,"m. MwSt.","ohneMwSt.")</f>
        <v>m. MwSt.</v>
      </c>
      <c r="O14" s="7"/>
      <c r="P14" s="7"/>
      <c r="Q14" s="43"/>
      <c r="R14" s="43"/>
      <c r="S14" s="4169">
        <v>2018</v>
      </c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</row>
    <row r="15" spans="1:41" s="8" customFormat="1" ht="22.7" customHeight="1" x14ac:dyDescent="0.2">
      <c r="A15" s="42"/>
      <c r="B15" s="62"/>
      <c r="C15" s="225" t="s">
        <v>1162</v>
      </c>
      <c r="D15" s="7"/>
      <c r="E15" s="7"/>
      <c r="F15" s="7"/>
      <c r="G15" s="7"/>
      <c r="H15" s="765" t="s">
        <v>554</v>
      </c>
      <c r="I15" s="3535"/>
      <c r="J15" s="766"/>
      <c r="K15" s="766"/>
      <c r="L15" s="766"/>
      <c r="M15" s="4150" t="s">
        <v>1895</v>
      </c>
      <c r="N15" s="767" t="s">
        <v>602</v>
      </c>
      <c r="O15" s="7"/>
      <c r="P15" s="7"/>
      <c r="Q15" s="43"/>
      <c r="R15" s="43"/>
      <c r="S15" s="4169">
        <v>2019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</row>
    <row r="16" spans="1:41" s="8" customFormat="1" ht="21.2" customHeight="1" x14ac:dyDescent="0.2">
      <c r="A16" s="42"/>
      <c r="B16" s="62"/>
      <c r="C16" s="7"/>
      <c r="D16" s="7"/>
      <c r="E16" s="7"/>
      <c r="F16" s="7"/>
      <c r="G16" s="7"/>
      <c r="H16" s="3991">
        <v>2018</v>
      </c>
      <c r="I16" s="64">
        <v>2019</v>
      </c>
      <c r="J16" s="64">
        <v>2020</v>
      </c>
      <c r="K16" s="64">
        <v>2021</v>
      </c>
      <c r="L16" s="559">
        <v>2022</v>
      </c>
      <c r="M16" s="1264" t="s">
        <v>1893</v>
      </c>
      <c r="N16" s="4161" t="s">
        <v>1893</v>
      </c>
      <c r="O16" s="7"/>
      <c r="P16" s="7"/>
      <c r="Q16" s="43"/>
      <c r="R16" s="43"/>
      <c r="S16" s="4169">
        <v>2020</v>
      </c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</row>
    <row r="17" spans="1:41" s="44" customFormat="1" ht="18" customHeight="1" x14ac:dyDescent="0.2">
      <c r="B17" s="45"/>
      <c r="C17" s="57" t="s">
        <v>1163</v>
      </c>
      <c r="D17" s="57"/>
      <c r="E17" s="1268"/>
      <c r="F17" s="57"/>
      <c r="G17" s="57" t="s">
        <v>356</v>
      </c>
      <c r="H17" s="3995">
        <v>1</v>
      </c>
      <c r="I17" s="3978">
        <v>1</v>
      </c>
      <c r="J17" s="3978">
        <v>0.9</v>
      </c>
      <c r="K17" s="4166">
        <v>1.1299999999999999</v>
      </c>
      <c r="L17" s="3981">
        <v>2.2999999999999998</v>
      </c>
      <c r="M17" s="4162">
        <f>AVERAGE(J17:L17)</f>
        <v>1.4433333333333334</v>
      </c>
      <c r="N17" s="1304">
        <f>HLOOKUP($N$16,$H$16:$M$20,2)*(100+$N$13)/100</f>
        <v>1.7175666666666667</v>
      </c>
      <c r="O17" s="7"/>
      <c r="P17" s="7"/>
      <c r="R17" s="43"/>
      <c r="S17" s="4169">
        <v>2021</v>
      </c>
    </row>
    <row r="18" spans="1:41" s="47" customFormat="1" ht="18" customHeight="1" x14ac:dyDescent="0.2">
      <c r="B18" s="48"/>
      <c r="C18" s="3" t="s">
        <v>567</v>
      </c>
      <c r="D18" s="3"/>
      <c r="E18" s="1269"/>
      <c r="F18" s="3"/>
      <c r="G18" s="3" t="s">
        <v>568</v>
      </c>
      <c r="H18" s="3996">
        <v>0.8</v>
      </c>
      <c r="I18" s="3979">
        <v>0.8</v>
      </c>
      <c r="J18" s="3979">
        <v>0.75</v>
      </c>
      <c r="K18" s="4167">
        <v>0.9</v>
      </c>
      <c r="L18" s="3982">
        <v>1.2</v>
      </c>
      <c r="M18" s="4163">
        <f t="shared" ref="M18:M20" si="0">AVERAGE(J18:L18)</f>
        <v>0.94999999999999984</v>
      </c>
      <c r="N18" s="1305">
        <f>HLOOKUP($N$16,$H$16:$M$20,3)*(100+$N$13)/100</f>
        <v>1.1304999999999998</v>
      </c>
      <c r="O18" s="50"/>
      <c r="P18" s="50"/>
      <c r="R18" s="44"/>
      <c r="S18" s="4170">
        <v>2022</v>
      </c>
    </row>
    <row r="19" spans="1:41" s="47" customFormat="1" ht="18" customHeight="1" x14ac:dyDescent="0.2">
      <c r="B19" s="48"/>
      <c r="C19" s="3" t="s">
        <v>569</v>
      </c>
      <c r="D19" s="3"/>
      <c r="E19" s="1269"/>
      <c r="F19" s="3"/>
      <c r="G19" s="3" t="s">
        <v>570</v>
      </c>
      <c r="H19" s="3996">
        <v>0.6</v>
      </c>
      <c r="I19" s="3979">
        <v>0.6</v>
      </c>
      <c r="J19" s="3979">
        <v>0.7</v>
      </c>
      <c r="K19" s="4167">
        <v>0.75</v>
      </c>
      <c r="L19" s="3982">
        <v>1.2</v>
      </c>
      <c r="M19" s="4163">
        <f t="shared" si="0"/>
        <v>0.8833333333333333</v>
      </c>
      <c r="N19" s="1305">
        <f>HLOOKUP($N$16,$H$16:$M$20,4)*(100+$N$13)/100</f>
        <v>1.0511666666666666</v>
      </c>
      <c r="O19" s="50"/>
      <c r="P19" s="50"/>
      <c r="Q19" s="4152"/>
      <c r="S19" s="4171" t="s">
        <v>1893</v>
      </c>
    </row>
    <row r="20" spans="1:41" s="51" customFormat="1" ht="18" customHeight="1" x14ac:dyDescent="0.2">
      <c r="B20" s="53"/>
      <c r="C20" s="58" t="s">
        <v>571</v>
      </c>
      <c r="D20" s="58"/>
      <c r="E20" s="54"/>
      <c r="F20" s="58"/>
      <c r="G20" s="58" t="s">
        <v>361</v>
      </c>
      <c r="H20" s="3997">
        <v>0.5</v>
      </c>
      <c r="I20" s="3980">
        <v>0.5</v>
      </c>
      <c r="J20" s="3980">
        <v>0.5</v>
      </c>
      <c r="K20" s="4168">
        <v>0.5</v>
      </c>
      <c r="L20" s="4164">
        <v>0.5</v>
      </c>
      <c r="M20" s="4165">
        <f t="shared" si="0"/>
        <v>0.5</v>
      </c>
      <c r="N20" s="4151">
        <f>HLOOKUP($N$16,$H$16:$M$20,5)*(100+$N$13)/100</f>
        <v>0.59499999999999997</v>
      </c>
      <c r="O20" s="50"/>
      <c r="P20" s="50"/>
      <c r="R20" s="47"/>
    </row>
    <row r="21" spans="1:41" s="51" customFormat="1" ht="18" customHeight="1" x14ac:dyDescent="0.2">
      <c r="B21" s="50"/>
      <c r="C21" s="176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</row>
    <row r="22" spans="1:41" s="51" customFormat="1" ht="28.5" customHeight="1" x14ac:dyDescent="0.2">
      <c r="B22" s="50"/>
      <c r="C22" s="176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</row>
    <row r="23" spans="1:41" s="8" customFormat="1" ht="22.7" customHeight="1" x14ac:dyDescent="0.2">
      <c r="A23" s="42"/>
      <c r="B23" s="56" t="s">
        <v>572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7"/>
      <c r="O23" s="7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1" s="8" customFormat="1" ht="22.7" customHeight="1" x14ac:dyDescent="0.2">
      <c r="A24" s="42"/>
      <c r="B24" s="59"/>
      <c r="C24" s="60"/>
      <c r="D24" s="60"/>
      <c r="E24" s="60"/>
      <c r="F24" s="60"/>
      <c r="G24" s="60"/>
      <c r="H24" s="63" t="s">
        <v>554</v>
      </c>
      <c r="I24" s="3534"/>
      <c r="J24" s="61"/>
      <c r="K24" s="61"/>
      <c r="L24" s="61"/>
      <c r="M24" s="65"/>
      <c r="N24" s="572" t="s">
        <v>602</v>
      </c>
      <c r="O24" s="7"/>
      <c r="P24" s="7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</row>
    <row r="25" spans="1:41" s="8" customFormat="1" ht="21.2" customHeight="1" x14ac:dyDescent="0.2">
      <c r="A25" s="42"/>
      <c r="B25" s="62"/>
      <c r="C25" s="7"/>
      <c r="D25" s="7"/>
      <c r="E25" s="7"/>
      <c r="F25" s="7"/>
      <c r="G25" s="7"/>
      <c r="H25" s="3991">
        <v>2018</v>
      </c>
      <c r="I25" s="64">
        <v>2019</v>
      </c>
      <c r="J25" s="64">
        <v>2020</v>
      </c>
      <c r="K25" s="64">
        <v>2021</v>
      </c>
      <c r="L25" s="559">
        <v>2022</v>
      </c>
      <c r="M25" s="3766">
        <v>2023</v>
      </c>
      <c r="N25" s="573">
        <f>N4</f>
        <v>2022</v>
      </c>
      <c r="O25" s="7"/>
      <c r="P25" s="7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</row>
    <row r="26" spans="1:41" s="44" customFormat="1" ht="18" customHeight="1" x14ac:dyDescent="0.2">
      <c r="B26" s="45"/>
      <c r="C26" s="57" t="s">
        <v>573</v>
      </c>
      <c r="D26" s="57"/>
      <c r="E26" s="57"/>
      <c r="F26" s="57"/>
      <c r="G26" s="46"/>
      <c r="H26" s="3998">
        <v>1.5</v>
      </c>
      <c r="I26" s="3978">
        <v>1.5</v>
      </c>
      <c r="J26" s="3981">
        <v>1.5</v>
      </c>
      <c r="K26" s="3981">
        <v>1.5</v>
      </c>
      <c r="L26" s="66">
        <v>1.5</v>
      </c>
      <c r="M26" s="66"/>
      <c r="N26" s="574">
        <f>HLOOKUP($N$25,$H$25:$M$30,2)</f>
        <v>1.5</v>
      </c>
      <c r="O26" s="7"/>
      <c r="P26" s="7"/>
    </row>
    <row r="27" spans="1:41" s="47" customFormat="1" ht="18" customHeight="1" x14ac:dyDescent="0.2">
      <c r="B27" s="48"/>
      <c r="C27" s="3" t="s">
        <v>574</v>
      </c>
      <c r="D27" s="3"/>
      <c r="E27" s="3"/>
      <c r="F27" s="3"/>
      <c r="G27" s="8"/>
      <c r="H27" s="3999">
        <v>1.5</v>
      </c>
      <c r="I27" s="3979">
        <v>1.5</v>
      </c>
      <c r="J27" s="3982">
        <v>1.5</v>
      </c>
      <c r="K27" s="3982">
        <v>1.5</v>
      </c>
      <c r="L27" s="68">
        <v>1.5</v>
      </c>
      <c r="M27" s="68"/>
      <c r="N27" s="575">
        <f>HLOOKUP($N$25,$H$25:$M$30,3)</f>
        <v>1.5</v>
      </c>
      <c r="O27" s="50"/>
      <c r="P27" s="50"/>
    </row>
    <row r="28" spans="1:41" s="47" customFormat="1" ht="18" customHeight="1" x14ac:dyDescent="0.2">
      <c r="B28" s="48"/>
      <c r="C28" s="3" t="s">
        <v>1464</v>
      </c>
      <c r="D28" s="3"/>
      <c r="E28" s="3"/>
      <c r="F28" s="3"/>
      <c r="G28" s="8"/>
      <c r="H28" s="3999">
        <v>2.5</v>
      </c>
      <c r="I28" s="3979">
        <v>2.5</v>
      </c>
      <c r="J28" s="3982">
        <v>2.5</v>
      </c>
      <c r="K28" s="3982">
        <v>2.5</v>
      </c>
      <c r="L28" s="68">
        <v>2.5</v>
      </c>
      <c r="M28" s="68"/>
      <c r="N28" s="575">
        <f>HLOOKUP($N$25,$H$25:$M$30,4)</f>
        <v>2.5</v>
      </c>
      <c r="O28" s="50"/>
      <c r="P28" s="50"/>
    </row>
    <row r="29" spans="1:41" s="47" customFormat="1" ht="18" customHeight="1" x14ac:dyDescent="0.2">
      <c r="B29" s="48"/>
      <c r="C29" s="73"/>
      <c r="D29" s="3986"/>
      <c r="E29" s="3987"/>
      <c r="F29" s="3987"/>
      <c r="G29" s="3988"/>
      <c r="H29" s="3999"/>
      <c r="I29" s="3979"/>
      <c r="J29" s="3982"/>
      <c r="K29" s="3982"/>
      <c r="L29" s="68"/>
      <c r="M29" s="4158"/>
      <c r="N29" s="575">
        <f>HLOOKUP($N$25,$H$25:$L$30,5)</f>
        <v>0</v>
      </c>
      <c r="O29" s="50"/>
      <c r="P29" s="50"/>
    </row>
    <row r="30" spans="1:41" s="47" customFormat="1" ht="18" customHeight="1" x14ac:dyDescent="0.2">
      <c r="B30" s="53"/>
      <c r="C30" s="3989"/>
      <c r="D30" s="3989"/>
      <c r="E30" s="3990"/>
      <c r="F30" s="3990"/>
      <c r="G30" s="3990"/>
      <c r="H30" s="4000"/>
      <c r="I30" s="3980"/>
      <c r="J30" s="3983"/>
      <c r="K30" s="3983"/>
      <c r="L30" s="4157"/>
      <c r="M30" s="4159"/>
      <c r="N30" s="576">
        <f>HLOOKUP($N$25,$H$25:$L$30,6)</f>
        <v>0</v>
      </c>
      <c r="O30" s="50"/>
      <c r="P30" s="50"/>
    </row>
    <row r="31" spans="1:41" s="51" customFormat="1" ht="28.5" customHeight="1" x14ac:dyDescent="0.2">
      <c r="B31" s="50"/>
      <c r="C31" s="176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41" s="8" customFormat="1" ht="22.7" customHeight="1" x14ac:dyDescent="0.2">
      <c r="A32" s="42"/>
      <c r="B32" s="56" t="s">
        <v>575</v>
      </c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7"/>
      <c r="O32" s="7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1" s="8" customFormat="1" ht="22.7" customHeight="1" x14ac:dyDescent="0.2">
      <c r="A33" s="42"/>
      <c r="B33" s="59"/>
      <c r="C33" s="60"/>
      <c r="D33" s="60"/>
      <c r="E33" s="60"/>
      <c r="F33" s="60"/>
      <c r="G33" s="60"/>
      <c r="H33" s="63" t="s">
        <v>554</v>
      </c>
      <c r="I33" s="3534"/>
      <c r="J33" s="61"/>
      <c r="K33" s="61"/>
      <c r="L33" s="61"/>
      <c r="M33" s="65"/>
      <c r="N33" s="572" t="s">
        <v>602</v>
      </c>
      <c r="O33" s="7"/>
      <c r="P33" s="7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s="8" customFormat="1" ht="21.2" customHeight="1" x14ac:dyDescent="0.2">
      <c r="A34" s="42"/>
      <c r="B34" s="62"/>
      <c r="C34" s="7"/>
      <c r="D34" s="7"/>
      <c r="E34" s="7"/>
      <c r="F34" s="7"/>
      <c r="G34" s="7"/>
      <c r="H34" s="3991">
        <v>2018</v>
      </c>
      <c r="I34" s="64">
        <v>2019</v>
      </c>
      <c r="J34" s="64">
        <v>2020</v>
      </c>
      <c r="K34" s="64">
        <v>2021</v>
      </c>
      <c r="L34" s="559">
        <v>2022</v>
      </c>
      <c r="M34" s="3766">
        <v>2023</v>
      </c>
      <c r="N34" s="573">
        <f>N4</f>
        <v>2022</v>
      </c>
      <c r="O34" s="7"/>
      <c r="P34" s="7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s="44" customFormat="1" ht="18" customHeight="1" x14ac:dyDescent="0.2">
      <c r="B35" s="760"/>
      <c r="C35" s="761" t="s">
        <v>576</v>
      </c>
      <c r="D35" s="761"/>
      <c r="E35" s="761"/>
      <c r="F35" s="761"/>
      <c r="G35" s="762"/>
      <c r="H35" s="4001">
        <v>16.5</v>
      </c>
      <c r="I35" s="3985">
        <v>16.5</v>
      </c>
      <c r="J35" s="3984">
        <v>16.5</v>
      </c>
      <c r="K35" s="3984">
        <v>17</v>
      </c>
      <c r="L35" s="763">
        <v>17.5</v>
      </c>
      <c r="M35" s="3768"/>
      <c r="N35" s="764">
        <f>HLOOKUP($N$34,$H$34:$M$35,2)</f>
        <v>17.5</v>
      </c>
      <c r="O35" s="7"/>
      <c r="P35" s="7"/>
    </row>
    <row r="36" spans="1:41" s="44" customFormat="1" ht="18" customHeight="1" x14ac:dyDescent="0.2">
      <c r="B36" s="55"/>
      <c r="C36" s="3"/>
      <c r="D36" s="3"/>
      <c r="E36" s="3"/>
      <c r="F36" s="55"/>
      <c r="G36" s="928"/>
      <c r="H36" s="928"/>
      <c r="I36" s="928"/>
      <c r="J36" s="928"/>
      <c r="K36" s="928"/>
      <c r="L36" s="928"/>
      <c r="M36" s="929"/>
      <c r="N36" s="7"/>
      <c r="O36" s="7"/>
    </row>
    <row r="37" spans="1:41" x14ac:dyDescent="0.2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41" ht="18" x14ac:dyDescent="0.2">
      <c r="A38"/>
      <c r="B38" s="56" t="s">
        <v>946</v>
      </c>
      <c r="C38"/>
      <c r="D38"/>
      <c r="E38"/>
      <c r="F38"/>
      <c r="G38"/>
      <c r="H38"/>
      <c r="I38"/>
      <c r="J38"/>
      <c r="K38"/>
      <c r="L38"/>
      <c r="M38"/>
    </row>
    <row r="39" spans="1:41" ht="15" x14ac:dyDescent="0.2">
      <c r="A39"/>
      <c r="B39" s="907" t="s">
        <v>889</v>
      </c>
      <c r="D39"/>
      <c r="E39"/>
      <c r="F39"/>
      <c r="G39"/>
      <c r="H39"/>
      <c r="I39"/>
      <c r="J39"/>
      <c r="K39"/>
      <c r="L39"/>
      <c r="M39"/>
    </row>
    <row r="40" spans="1:41" ht="15" x14ac:dyDescent="0.2">
      <c r="A40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676" t="s">
        <v>593</v>
      </c>
      <c r="N40" s="857">
        <f>IF(V8=1,N9,0)</f>
        <v>7</v>
      </c>
    </row>
    <row r="41" spans="1:41" ht="18" x14ac:dyDescent="0.2">
      <c r="A41"/>
      <c r="B41" s="59"/>
      <c r="C41" s="60"/>
      <c r="D41" s="60"/>
      <c r="E41" s="60"/>
      <c r="F41" s="60"/>
      <c r="G41" s="60"/>
      <c r="H41" s="63" t="s">
        <v>554</v>
      </c>
      <c r="I41" s="3534"/>
      <c r="J41" s="61"/>
      <c r="K41" s="61"/>
      <c r="L41" s="61"/>
      <c r="M41" s="65"/>
      <c r="N41" s="3543" t="str">
        <f>IF(V8=1,"Aktuell","ohne MwSt.")</f>
        <v>Aktuell</v>
      </c>
    </row>
    <row r="42" spans="1:41" ht="18" x14ac:dyDescent="0.2">
      <c r="A42"/>
      <c r="B42" s="62"/>
      <c r="H42" s="3991">
        <v>2018</v>
      </c>
      <c r="I42" s="64">
        <v>2019</v>
      </c>
      <c r="J42" s="64">
        <v>2020</v>
      </c>
      <c r="K42" s="64">
        <v>2021</v>
      </c>
      <c r="L42" s="559">
        <v>2022</v>
      </c>
      <c r="M42" s="3766">
        <v>2023</v>
      </c>
      <c r="N42" s="573">
        <f>N4</f>
        <v>2022</v>
      </c>
      <c r="Q42" s="3881" t="s">
        <v>1762</v>
      </c>
    </row>
    <row r="43" spans="1:41" ht="18" x14ac:dyDescent="0.2">
      <c r="A43"/>
      <c r="B43" s="62"/>
      <c r="H43" s="4002"/>
      <c r="I43" s="927"/>
      <c r="J43" s="780" t="s">
        <v>577</v>
      </c>
      <c r="K43" s="927"/>
      <c r="L43" s="901"/>
      <c r="M43" s="3766"/>
      <c r="N43" s="573"/>
    </row>
    <row r="44" spans="1:41" ht="15.75" x14ac:dyDescent="0.2">
      <c r="A44"/>
      <c r="B44" s="760"/>
      <c r="C44" s="761" t="s">
        <v>578</v>
      </c>
      <c r="D44" s="761"/>
      <c r="E44" s="761"/>
      <c r="F44" s="761"/>
      <c r="G44" s="762"/>
      <c r="H44" s="4003">
        <v>15</v>
      </c>
      <c r="I44" s="3985">
        <v>15</v>
      </c>
      <c r="J44" s="3985">
        <v>15</v>
      </c>
      <c r="K44" s="3985">
        <v>17.100000000000001</v>
      </c>
      <c r="L44" s="763">
        <v>17.100000000000001</v>
      </c>
      <c r="M44" s="3768"/>
      <c r="N44" s="764">
        <f>HLOOKUP($N$42,$H$42:$M$44,3)*(100+$N$40)/100</f>
        <v>18.297000000000001</v>
      </c>
      <c r="P44" s="3694" t="s">
        <v>1372</v>
      </c>
      <c r="Q44">
        <v>25.3</v>
      </c>
      <c r="R44" s="3881" t="s">
        <v>1761</v>
      </c>
    </row>
    <row r="45" spans="1:41" x14ac:dyDescent="0.2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41" x14ac:dyDescent="0.2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41" ht="18" x14ac:dyDescent="0.2">
      <c r="A47" s="42"/>
      <c r="B47" s="56" t="s">
        <v>0</v>
      </c>
      <c r="C47"/>
      <c r="D47"/>
      <c r="E47"/>
      <c r="F47"/>
      <c r="G47"/>
      <c r="H47"/>
      <c r="I47"/>
      <c r="J47"/>
      <c r="K47"/>
      <c r="L47"/>
      <c r="M47"/>
    </row>
    <row r="48" spans="1:41" ht="15" x14ac:dyDescent="0.2">
      <c r="A48" s="42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676" t="s">
        <v>593</v>
      </c>
      <c r="N48" s="857">
        <f>IF(V8=1,N10,0)</f>
        <v>19</v>
      </c>
    </row>
    <row r="49" spans="1:16" ht="18" x14ac:dyDescent="0.2">
      <c r="A49" s="42"/>
      <c r="B49" s="59"/>
      <c r="C49" s="60"/>
      <c r="D49" s="60"/>
      <c r="E49" s="60"/>
      <c r="F49" s="60"/>
      <c r="G49" s="60"/>
      <c r="H49" s="63" t="s">
        <v>554</v>
      </c>
      <c r="I49" s="3534"/>
      <c r="J49" s="781"/>
      <c r="K49" s="781"/>
      <c r="L49" s="61"/>
      <c r="M49" s="65"/>
      <c r="N49" s="3543" t="str">
        <f>IF(V8=1,"Aktuell","ohne MwSt.")</f>
        <v>Aktuell</v>
      </c>
    </row>
    <row r="50" spans="1:16" ht="18" x14ac:dyDescent="0.2">
      <c r="A50" s="44"/>
      <c r="B50" s="62"/>
      <c r="H50" s="3991">
        <v>2018</v>
      </c>
      <c r="I50" s="64">
        <v>2019</v>
      </c>
      <c r="J50" s="64">
        <v>2020</v>
      </c>
      <c r="K50" s="64">
        <v>2021</v>
      </c>
      <c r="L50" s="559">
        <v>2022</v>
      </c>
      <c r="M50" s="1264">
        <v>2023</v>
      </c>
      <c r="N50" s="779">
        <f>N4</f>
        <v>2022</v>
      </c>
    </row>
    <row r="51" spans="1:16" ht="18" x14ac:dyDescent="0.2">
      <c r="A51"/>
      <c r="B51" s="62"/>
      <c r="H51" s="4004"/>
      <c r="I51" s="1257"/>
      <c r="J51" s="1257" t="s">
        <v>1</v>
      </c>
      <c r="K51" s="1257"/>
      <c r="L51" s="1264"/>
      <c r="M51" s="1264"/>
      <c r="N51" s="574"/>
    </row>
    <row r="52" spans="1:16" ht="15.75" x14ac:dyDescent="0.2">
      <c r="A52"/>
      <c r="B52" s="1265">
        <v>1</v>
      </c>
      <c r="C52" s="57" t="s">
        <v>780</v>
      </c>
      <c r="D52" s="60"/>
      <c r="E52" s="60"/>
      <c r="F52" s="60"/>
      <c r="G52" s="60"/>
      <c r="H52" s="4005">
        <v>5.4</v>
      </c>
      <c r="I52" s="919">
        <v>5.4</v>
      </c>
      <c r="J52" s="919">
        <v>5.4</v>
      </c>
      <c r="K52" s="919">
        <v>5.4</v>
      </c>
      <c r="L52" s="67">
        <v>5.4</v>
      </c>
      <c r="M52" s="3769"/>
      <c r="N52" s="574">
        <f>HLOOKUP($N$50,$H$50:$M$54,3)*(100+$N$48)/100</f>
        <v>6.4260000000000002</v>
      </c>
      <c r="P52" s="1394" t="s">
        <v>1387</v>
      </c>
    </row>
    <row r="53" spans="1:16" ht="15.75" x14ac:dyDescent="0.2">
      <c r="A53" s="42"/>
      <c r="B53" s="1266">
        <v>2</v>
      </c>
      <c r="C53" s="3" t="s">
        <v>779</v>
      </c>
      <c r="H53" s="4006">
        <v>4</v>
      </c>
      <c r="I53" s="920">
        <v>4</v>
      </c>
      <c r="J53" s="920">
        <v>4</v>
      </c>
      <c r="K53" s="920">
        <v>4</v>
      </c>
      <c r="L53" s="69">
        <v>4</v>
      </c>
      <c r="M53" s="3767"/>
      <c r="N53" s="575">
        <f>HLOOKUP($N$50,$H$50:$M$54,4)*(100+$N$48)/100</f>
        <v>4.76</v>
      </c>
      <c r="P53" s="1394" t="s">
        <v>1387</v>
      </c>
    </row>
    <row r="54" spans="1:16" ht="15.75" x14ac:dyDescent="0.2">
      <c r="A54" s="42"/>
      <c r="B54" s="1267">
        <v>3</v>
      </c>
      <c r="C54" s="58" t="s">
        <v>2</v>
      </c>
      <c r="D54" s="58"/>
      <c r="E54" s="58"/>
      <c r="F54" s="58"/>
      <c r="G54" s="37"/>
      <c r="H54" s="4007">
        <v>1.95</v>
      </c>
      <c r="I54" s="70">
        <v>1.95</v>
      </c>
      <c r="J54" s="70">
        <v>1.95</v>
      </c>
      <c r="K54" s="70">
        <v>1.95</v>
      </c>
      <c r="L54" s="921">
        <v>1.95</v>
      </c>
      <c r="M54" s="3770"/>
      <c r="N54" s="576">
        <f>HLOOKUP($N$50,$H$50:$M$54,5)*(100+$N$48)/100</f>
        <v>2.3205</v>
      </c>
      <c r="P54" s="1394" t="s">
        <v>1387</v>
      </c>
    </row>
    <row r="55" spans="1:16" x14ac:dyDescent="0.2">
      <c r="A55" s="42"/>
      <c r="B55"/>
      <c r="C55"/>
      <c r="D55"/>
      <c r="E55"/>
      <c r="F55"/>
      <c r="G55"/>
      <c r="H55"/>
      <c r="I55"/>
      <c r="J55"/>
      <c r="K55"/>
      <c r="L55"/>
      <c r="M55"/>
    </row>
    <row r="56" spans="1:16" ht="18" x14ac:dyDescent="0.2">
      <c r="A56" s="42"/>
      <c r="B56" s="56" t="s">
        <v>3</v>
      </c>
      <c r="C56"/>
      <c r="D56"/>
      <c r="E56"/>
      <c r="F56"/>
      <c r="G56"/>
      <c r="H56"/>
      <c r="I56"/>
      <c r="J56"/>
      <c r="K56"/>
      <c r="L56"/>
      <c r="M56"/>
    </row>
    <row r="57" spans="1:16" ht="15" x14ac:dyDescent="0.2">
      <c r="A57" s="42"/>
      <c r="C57" s="29"/>
      <c r="D57" s="29"/>
      <c r="E57" s="29"/>
      <c r="F57" s="29"/>
      <c r="G57" s="29"/>
      <c r="H57" s="29"/>
      <c r="I57" s="29"/>
      <c r="J57" s="29"/>
      <c r="K57" s="29"/>
      <c r="M57" s="676" t="s">
        <v>593</v>
      </c>
      <c r="N57" s="857">
        <f>IF(V8=1,N10,0)</f>
        <v>19</v>
      </c>
    </row>
    <row r="58" spans="1:16" ht="18" x14ac:dyDescent="0.2">
      <c r="A58" s="42"/>
      <c r="B58" s="59"/>
      <c r="C58" s="60"/>
      <c r="D58" s="60"/>
      <c r="E58" s="60"/>
      <c r="F58" s="60"/>
      <c r="G58" s="60"/>
      <c r="H58" s="63" t="s">
        <v>554</v>
      </c>
      <c r="I58" s="3534"/>
      <c r="J58" s="61"/>
      <c r="K58" s="61"/>
      <c r="L58" s="61"/>
      <c r="M58" s="65"/>
      <c r="N58" s="3543" t="str">
        <f>IF(V8=1,"Aktuell","ohne MwSt.")</f>
        <v>Aktuell</v>
      </c>
    </row>
    <row r="59" spans="1:16" ht="18" x14ac:dyDescent="0.2">
      <c r="A59" s="44"/>
      <c r="B59" s="62"/>
      <c r="H59" s="3991">
        <v>2018</v>
      </c>
      <c r="I59" s="64">
        <v>2019</v>
      </c>
      <c r="J59" s="64">
        <v>2020</v>
      </c>
      <c r="K59" s="64">
        <v>2021</v>
      </c>
      <c r="L59" s="559">
        <v>2022</v>
      </c>
      <c r="M59" s="3766">
        <v>2023</v>
      </c>
      <c r="N59" s="573">
        <f>N4</f>
        <v>2022</v>
      </c>
    </row>
    <row r="60" spans="1:16" ht="18" x14ac:dyDescent="0.2">
      <c r="A60"/>
      <c r="B60" s="62"/>
      <c r="G60" s="225" t="s">
        <v>4</v>
      </c>
      <c r="H60" s="4004"/>
      <c r="I60" s="1493" t="s">
        <v>266</v>
      </c>
      <c r="J60" s="1494"/>
      <c r="K60" s="1495"/>
      <c r="L60" s="1258"/>
      <c r="M60" s="1264"/>
      <c r="N60" s="779"/>
    </row>
    <row r="61" spans="1:16" ht="15.75" x14ac:dyDescent="0.2">
      <c r="A61"/>
      <c r="B61" s="1259">
        <v>1</v>
      </c>
      <c r="C61" s="544" t="s">
        <v>1142</v>
      </c>
      <c r="D61" s="544"/>
      <c r="E61" s="544"/>
      <c r="F61" s="544"/>
      <c r="G61" s="1260" t="s">
        <v>266</v>
      </c>
      <c r="H61" s="4005">
        <v>70</v>
      </c>
      <c r="I61" s="919">
        <v>70</v>
      </c>
      <c r="J61" s="919">
        <v>70</v>
      </c>
      <c r="K61" s="919">
        <v>80</v>
      </c>
      <c r="L61" s="67">
        <v>80</v>
      </c>
      <c r="M61" s="67"/>
      <c r="N61" s="574">
        <f>HLOOKUP($N$59,$H$59:$M$66,3)*(100+$N$57)/100</f>
        <v>95.2</v>
      </c>
    </row>
    <row r="62" spans="1:16" ht="15.75" x14ac:dyDescent="0.2">
      <c r="A62"/>
      <c r="B62" s="1261">
        <v>2</v>
      </c>
      <c r="C62" s="79" t="s">
        <v>5</v>
      </c>
      <c r="D62" s="79"/>
      <c r="E62" s="79"/>
      <c r="F62" s="79"/>
      <c r="G62" s="557" t="s">
        <v>266</v>
      </c>
      <c r="H62" s="4006">
        <v>55</v>
      </c>
      <c r="I62" s="920">
        <v>55</v>
      </c>
      <c r="J62" s="920">
        <v>55</v>
      </c>
      <c r="K62" s="920">
        <v>60</v>
      </c>
      <c r="L62" s="69">
        <v>60</v>
      </c>
      <c r="M62" s="69"/>
      <c r="N62" s="575">
        <f>HLOOKUP($N$59,$H$59:$M$66,4)*(100+$N$57)/100</f>
        <v>71.400000000000006</v>
      </c>
    </row>
    <row r="63" spans="1:16" ht="15.75" customHeight="1" x14ac:dyDescent="0.2">
      <c r="A63"/>
      <c r="B63" s="1261">
        <v>3</v>
      </c>
      <c r="C63" s="79" t="s">
        <v>6</v>
      </c>
      <c r="D63" s="79"/>
      <c r="E63" s="79"/>
      <c r="F63" s="79"/>
      <c r="G63" s="557" t="s">
        <v>266</v>
      </c>
      <c r="H63" s="4006">
        <v>30</v>
      </c>
      <c r="I63" s="920">
        <v>30</v>
      </c>
      <c r="J63" s="920">
        <v>30</v>
      </c>
      <c r="K63" s="920">
        <v>35</v>
      </c>
      <c r="L63" s="69">
        <v>35</v>
      </c>
      <c r="M63" s="69"/>
      <c r="N63" s="575">
        <f>HLOOKUP($N$59,$H$59:$M$66,5)*(100+$N$57)/100</f>
        <v>41.65</v>
      </c>
    </row>
    <row r="64" spans="1:16" ht="16.5" customHeight="1" x14ac:dyDescent="0.2">
      <c r="A64"/>
      <c r="B64" s="1261">
        <v>4</v>
      </c>
      <c r="C64" s="79" t="s">
        <v>7</v>
      </c>
      <c r="D64" s="79"/>
      <c r="E64" s="79"/>
      <c r="F64" s="79"/>
      <c r="G64" s="557" t="s">
        <v>266</v>
      </c>
      <c r="H64" s="4006">
        <v>43</v>
      </c>
      <c r="I64" s="920">
        <v>43</v>
      </c>
      <c r="J64" s="920">
        <v>43</v>
      </c>
      <c r="K64" s="920">
        <v>50</v>
      </c>
      <c r="L64" s="69">
        <v>50</v>
      </c>
      <c r="M64" s="69"/>
      <c r="N64" s="575">
        <f>HLOOKUP($N$59,$H$59:$M$66,6)*(100+$N$57)/100</f>
        <v>59.5</v>
      </c>
    </row>
    <row r="65" spans="1:16" ht="16.5" customHeight="1" x14ac:dyDescent="0.2">
      <c r="A65"/>
      <c r="B65" s="1261">
        <v>5</v>
      </c>
      <c r="C65" s="4008" t="s">
        <v>168</v>
      </c>
      <c r="D65" s="3787"/>
      <c r="E65" s="3788"/>
      <c r="F65" s="3788"/>
      <c r="G65" s="557"/>
      <c r="H65" s="4006">
        <v>50</v>
      </c>
      <c r="I65" s="920">
        <v>50</v>
      </c>
      <c r="J65" s="920">
        <v>50</v>
      </c>
      <c r="K65" s="920">
        <v>60</v>
      </c>
      <c r="L65" s="69">
        <v>60</v>
      </c>
      <c r="M65" s="69"/>
      <c r="N65" s="575">
        <f>HLOOKUP($N$59,$H$59:$M$66,7)*(100+$N$57)/100</f>
        <v>71.400000000000006</v>
      </c>
      <c r="P65" s="3778" t="s">
        <v>1753</v>
      </c>
    </row>
    <row r="66" spans="1:16" ht="15.75" customHeight="1" x14ac:dyDescent="0.2">
      <c r="A66"/>
      <c r="B66" s="3879">
        <v>6</v>
      </c>
      <c r="C66" s="1306"/>
      <c r="D66" s="4009"/>
      <c r="E66" s="4010"/>
      <c r="F66" s="4011"/>
      <c r="G66" s="558" t="s">
        <v>191</v>
      </c>
      <c r="H66" s="4007"/>
      <c r="I66" s="70"/>
      <c r="J66" s="70"/>
      <c r="K66" s="70"/>
      <c r="L66" s="921"/>
      <c r="M66" s="921"/>
      <c r="N66" s="576">
        <f>HLOOKUP($N$59,$H$59:$L$66,8)*(100+$N$57)/100</f>
        <v>0</v>
      </c>
    </row>
    <row r="67" spans="1:16" s="3779" customFormat="1" ht="15.75" customHeight="1" x14ac:dyDescent="0.2">
      <c r="B67" s="3786"/>
      <c r="C67" s="3787"/>
      <c r="D67" s="3787"/>
      <c r="E67" s="3788"/>
      <c r="F67" s="3789"/>
      <c r="G67" s="3790"/>
      <c r="H67" s="3787"/>
      <c r="I67" s="3787"/>
      <c r="J67" s="3787"/>
      <c r="K67" s="3787"/>
      <c r="L67" s="3787"/>
      <c r="M67" s="3787"/>
      <c r="N67" s="3791"/>
      <c r="O67" s="3792"/>
    </row>
    <row r="68" spans="1:16" ht="20.25" x14ac:dyDescent="0.2">
      <c r="A68"/>
      <c r="B68" s="1879" t="s">
        <v>721</v>
      </c>
      <c r="C68" s="1880"/>
      <c r="D68" s="400"/>
      <c r="E68" s="400"/>
      <c r="F68" s="400"/>
      <c r="G68" s="400"/>
      <c r="H68" s="400"/>
      <c r="I68" s="400"/>
      <c r="J68" s="1887" t="s">
        <v>517</v>
      </c>
      <c r="K68" s="400"/>
      <c r="L68" s="400"/>
      <c r="M68" s="1399"/>
      <c r="N68" s="1888" t="str">
        <f>Ausglleist!AA2</f>
        <v>Futterbau</v>
      </c>
    </row>
    <row r="69" spans="1:16" ht="18" x14ac:dyDescent="0.2">
      <c r="A69"/>
      <c r="B69" s="1889" t="s">
        <v>493</v>
      </c>
      <c r="C69" s="33"/>
      <c r="D69" s="1358">
        <f>Deckbl!D27</f>
        <v>44635</v>
      </c>
      <c r="E69" s="35"/>
      <c r="F69" s="35"/>
      <c r="G69" s="35"/>
      <c r="H69" s="35"/>
      <c r="I69" s="35"/>
      <c r="J69" s="75" t="s">
        <v>606</v>
      </c>
      <c r="K69" s="172"/>
      <c r="L69" s="172"/>
      <c r="M69" s="39"/>
      <c r="N69" s="1890">
        <f>Ausglleist!AA3</f>
        <v>2022</v>
      </c>
    </row>
    <row r="70" spans="1:16" ht="5.25" customHeight="1" x14ac:dyDescent="0.2">
      <c r="A70" s="172"/>
      <c r="B70" s="174"/>
      <c r="N70" s="614"/>
    </row>
    <row r="71" spans="1:16" ht="13.7" customHeight="1" x14ac:dyDescent="0.2">
      <c r="A71" s="172"/>
      <c r="B71" s="1891" t="s">
        <v>543</v>
      </c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614"/>
    </row>
    <row r="72" spans="1:16" ht="14.25" x14ac:dyDescent="0.2">
      <c r="A72" s="172"/>
      <c r="B72" s="1891" t="s">
        <v>354</v>
      </c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614"/>
    </row>
    <row r="73" spans="1:16" ht="15" x14ac:dyDescent="0.25">
      <c r="A73" s="172"/>
      <c r="B73" s="1892" t="s">
        <v>544</v>
      </c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614"/>
    </row>
    <row r="74" spans="1:16" ht="15" x14ac:dyDescent="0.25">
      <c r="A74" s="172"/>
      <c r="B74" s="1892" t="s">
        <v>285</v>
      </c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614"/>
    </row>
    <row r="75" spans="1:16" ht="27.75" customHeight="1" x14ac:dyDescent="0.2">
      <c r="A75"/>
      <c r="B75" s="3165" t="s">
        <v>416</v>
      </c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89"/>
    </row>
    <row r="76" spans="1:16" ht="15.75" x14ac:dyDescent="0.25">
      <c r="A76"/>
      <c r="B76" s="1261" t="s">
        <v>736</v>
      </c>
      <c r="C76" s="1302"/>
      <c r="D76" s="1302"/>
      <c r="E76" s="1302"/>
      <c r="F76" s="1302"/>
      <c r="G76" s="1302"/>
      <c r="H76" s="4203" t="s">
        <v>38</v>
      </c>
      <c r="I76" s="3531"/>
      <c r="J76" s="4221" t="s">
        <v>728</v>
      </c>
      <c r="K76" s="4221"/>
      <c r="L76" s="4221"/>
      <c r="M76" s="4222" t="s">
        <v>742</v>
      </c>
      <c r="N76" s="4217" t="s">
        <v>879</v>
      </c>
    </row>
    <row r="77" spans="1:16" ht="15.75" x14ac:dyDescent="0.25">
      <c r="A77" s="1878"/>
      <c r="B77" s="1881" t="s">
        <v>722</v>
      </c>
      <c r="C77" s="1882"/>
      <c r="D77" s="1882"/>
      <c r="E77" s="1882"/>
      <c r="F77" s="1882"/>
      <c r="G77" s="1882"/>
      <c r="H77" s="4203"/>
      <c r="I77" s="3532"/>
      <c r="J77" s="4220" t="s">
        <v>444</v>
      </c>
      <c r="K77" s="4220"/>
      <c r="L77" s="4220"/>
      <c r="M77" s="4223"/>
      <c r="N77" s="4218"/>
    </row>
    <row r="78" spans="1:16" ht="16.5" customHeight="1" x14ac:dyDescent="0.25">
      <c r="A78"/>
      <c r="B78" s="1883"/>
      <c r="C78" s="1884"/>
      <c r="D78" s="1884"/>
      <c r="E78" s="1884"/>
      <c r="F78" s="1884"/>
      <c r="G78" s="1884"/>
      <c r="H78" s="4203"/>
      <c r="I78" s="3533"/>
      <c r="J78" s="1885" t="s">
        <v>723</v>
      </c>
      <c r="K78" s="1885" t="s">
        <v>724</v>
      </c>
      <c r="L78" s="1885" t="s">
        <v>725</v>
      </c>
      <c r="M78" s="4224"/>
      <c r="N78" s="4219"/>
    </row>
    <row r="79" spans="1:16" ht="16.5" customHeight="1" x14ac:dyDescent="0.2">
      <c r="A79"/>
      <c r="B79" s="4212" t="s">
        <v>1555</v>
      </c>
      <c r="C79" s="4213"/>
      <c r="D79" s="4213"/>
      <c r="E79" s="4213"/>
      <c r="F79" s="4213"/>
      <c r="G79" s="4213"/>
      <c r="H79" s="4213"/>
      <c r="I79" s="4213"/>
      <c r="J79" s="4213"/>
      <c r="K79" s="4213"/>
      <c r="L79" s="4213"/>
      <c r="M79" s="4213"/>
      <c r="N79" s="4214"/>
    </row>
    <row r="80" spans="1:16" ht="15" x14ac:dyDescent="0.25">
      <c r="A80"/>
      <c r="B80" s="3777" t="s">
        <v>1716</v>
      </c>
      <c r="C80" s="3590"/>
      <c r="D80" s="3590"/>
      <c r="E80" s="3590"/>
      <c r="F80" s="3590"/>
      <c r="G80" s="3590"/>
      <c r="H80" s="3778" t="s">
        <v>1717</v>
      </c>
      <c r="I80" s="3588"/>
      <c r="J80" s="3588"/>
      <c r="K80" s="3588"/>
      <c r="L80" s="3588"/>
      <c r="M80" s="3588"/>
      <c r="N80" s="3591">
        <v>65</v>
      </c>
    </row>
    <row r="81" spans="1:26" ht="15" x14ac:dyDescent="0.25">
      <c r="A81"/>
      <c r="B81" s="3880" t="s">
        <v>727</v>
      </c>
      <c r="C81" s="3593"/>
      <c r="D81" s="3593"/>
      <c r="E81" s="3593"/>
      <c r="F81" s="3593"/>
      <c r="G81" s="3593"/>
      <c r="H81" s="3594"/>
      <c r="I81" s="3595"/>
      <c r="J81" s="3595"/>
      <c r="K81" s="3595"/>
      <c r="L81" s="3595"/>
      <c r="M81" s="3595"/>
      <c r="N81" s="3596"/>
    </row>
    <row r="82" spans="1:26" ht="20.25" customHeight="1" x14ac:dyDescent="0.25">
      <c r="A82"/>
      <c r="B82" s="3880" t="s">
        <v>1504</v>
      </c>
      <c r="C82" s="3593"/>
      <c r="D82" s="3593"/>
      <c r="E82" s="3593"/>
      <c r="F82" s="3593"/>
      <c r="G82" s="3593"/>
      <c r="H82" s="1891" t="s">
        <v>1495</v>
      </c>
      <c r="I82" s="3597"/>
      <c r="J82" s="3597">
        <v>0.2</v>
      </c>
      <c r="K82" s="3597">
        <v>0.25</v>
      </c>
      <c r="L82" s="3597">
        <v>0.3</v>
      </c>
      <c r="M82" s="3598" t="s">
        <v>335</v>
      </c>
      <c r="N82" s="3599">
        <v>35</v>
      </c>
      <c r="T82" s="172"/>
      <c r="U82" s="172"/>
      <c r="V82" s="172"/>
      <c r="W82" s="172"/>
      <c r="X82" s="172"/>
      <c r="Y82" s="172"/>
      <c r="Z82" s="172"/>
    </row>
    <row r="83" spans="1:26" ht="22.7" customHeight="1" x14ac:dyDescent="0.25">
      <c r="A83"/>
      <c r="B83" s="3592" t="s">
        <v>729</v>
      </c>
      <c r="C83" s="3593"/>
      <c r="D83" s="3593"/>
      <c r="E83" s="3593"/>
      <c r="F83" s="3593"/>
      <c r="G83" s="3593"/>
      <c r="H83" s="1891" t="s">
        <v>1496</v>
      </c>
      <c r="I83" s="3597"/>
      <c r="J83" s="3597">
        <v>0.17</v>
      </c>
      <c r="K83" s="3597">
        <v>0.25</v>
      </c>
      <c r="L83" s="3597">
        <v>0.3</v>
      </c>
      <c r="M83" s="3598" t="s">
        <v>336</v>
      </c>
      <c r="N83" s="3599">
        <v>15</v>
      </c>
      <c r="T83" s="172"/>
      <c r="U83" s="172"/>
      <c r="V83" s="172"/>
      <c r="W83" s="172"/>
      <c r="X83" s="172"/>
      <c r="Y83" s="172"/>
      <c r="Z83" s="172"/>
    </row>
    <row r="84" spans="1:26" ht="15" x14ac:dyDescent="0.25">
      <c r="A84"/>
      <c r="B84" s="3592" t="s">
        <v>732</v>
      </c>
      <c r="C84" s="3593"/>
      <c r="D84" s="3593"/>
      <c r="E84" s="3593"/>
      <c r="F84" s="3593"/>
      <c r="G84" s="3593"/>
      <c r="H84" s="1891"/>
      <c r="I84" s="3597"/>
      <c r="J84" s="3597"/>
      <c r="K84" s="3597"/>
      <c r="L84" s="3597"/>
      <c r="M84" s="3598"/>
      <c r="N84" s="3599"/>
      <c r="T84" s="172"/>
      <c r="U84" s="172"/>
      <c r="V84" s="172"/>
      <c r="W84" s="172"/>
      <c r="X84" s="172"/>
      <c r="Y84" s="172"/>
      <c r="Z84" s="172"/>
    </row>
    <row r="85" spans="1:26" ht="15" x14ac:dyDescent="0.25">
      <c r="A85"/>
      <c r="B85" s="3592" t="s">
        <v>731</v>
      </c>
      <c r="C85" s="3593"/>
      <c r="D85" s="3593"/>
      <c r="E85" s="3593"/>
      <c r="F85" s="3593"/>
      <c r="G85" s="3593"/>
      <c r="H85" s="1891" t="s">
        <v>1497</v>
      </c>
      <c r="I85" s="3597"/>
      <c r="J85" s="3597">
        <v>0.25</v>
      </c>
      <c r="K85" s="3597">
        <v>0.3</v>
      </c>
      <c r="L85" s="3597">
        <v>0.35</v>
      </c>
      <c r="M85" s="3598" t="s">
        <v>337</v>
      </c>
      <c r="N85" s="3599">
        <v>20</v>
      </c>
      <c r="T85" s="172"/>
      <c r="U85" s="172"/>
      <c r="V85" s="172"/>
      <c r="W85" s="172"/>
      <c r="X85" s="172"/>
      <c r="Y85" s="172"/>
      <c r="Z85" s="172"/>
    </row>
    <row r="86" spans="1:26" ht="16.5" customHeight="1" x14ac:dyDescent="0.25">
      <c r="A86" s="51"/>
      <c r="B86" s="3600" t="s">
        <v>730</v>
      </c>
      <c r="C86" s="3601"/>
      <c r="D86" s="3601"/>
      <c r="E86" s="3601"/>
      <c r="F86" s="3601"/>
      <c r="G86" s="3601"/>
      <c r="H86" s="1891" t="s">
        <v>1498</v>
      </c>
      <c r="I86" s="3602"/>
      <c r="J86" s="3602">
        <v>0.14000000000000001</v>
      </c>
      <c r="K86" s="3602">
        <v>0.18</v>
      </c>
      <c r="L86" s="3602">
        <v>0.22</v>
      </c>
      <c r="M86" s="3603" t="s">
        <v>350</v>
      </c>
      <c r="N86" s="3604">
        <v>19</v>
      </c>
      <c r="T86" s="172"/>
      <c r="U86" s="172"/>
      <c r="V86" s="172"/>
      <c r="W86" s="172"/>
      <c r="X86" s="172"/>
      <c r="Y86" s="172"/>
      <c r="Z86" s="172"/>
    </row>
    <row r="87" spans="1:26" ht="15" x14ac:dyDescent="0.25">
      <c r="A87" s="51"/>
      <c r="B87" s="3592" t="s">
        <v>716</v>
      </c>
      <c r="C87" s="3593"/>
      <c r="D87" s="3593"/>
      <c r="E87" s="3593"/>
      <c r="F87" s="3593"/>
      <c r="G87" s="3593"/>
      <c r="H87" s="3605" t="s">
        <v>1499</v>
      </c>
      <c r="I87" s="3597"/>
      <c r="J87" s="3597">
        <v>0.33</v>
      </c>
      <c r="K87" s="3597">
        <v>0.38</v>
      </c>
      <c r="L87" s="3597">
        <v>0.42</v>
      </c>
      <c r="M87" s="3598" t="s">
        <v>341</v>
      </c>
      <c r="N87" s="3599">
        <v>60</v>
      </c>
      <c r="T87" s="172"/>
      <c r="U87" s="172"/>
      <c r="V87" s="172"/>
      <c r="W87" s="172"/>
      <c r="X87" s="172"/>
      <c r="Y87" s="172"/>
      <c r="Z87" s="172"/>
    </row>
    <row r="88" spans="1:26" ht="15" x14ac:dyDescent="0.25">
      <c r="A88" s="51"/>
      <c r="B88" s="3600"/>
      <c r="C88" s="3601" t="s">
        <v>533</v>
      </c>
      <c r="D88" s="3601"/>
      <c r="E88" s="3601"/>
      <c r="F88" s="3601"/>
      <c r="G88" s="3601"/>
      <c r="H88" s="3606" t="s">
        <v>1500</v>
      </c>
      <c r="I88" s="3602"/>
      <c r="J88" s="3602">
        <v>0.25</v>
      </c>
      <c r="K88" s="3602">
        <v>0.3</v>
      </c>
      <c r="L88" s="3602">
        <v>0.35</v>
      </c>
      <c r="M88" s="3603" t="s">
        <v>349</v>
      </c>
      <c r="N88" s="3604">
        <v>50</v>
      </c>
      <c r="T88" s="172"/>
      <c r="U88" s="172"/>
      <c r="V88" s="172"/>
      <c r="W88" s="172"/>
      <c r="X88" s="172"/>
      <c r="Y88" s="172"/>
      <c r="Z88" s="172"/>
    </row>
    <row r="89" spans="1:26" ht="15" x14ac:dyDescent="0.25">
      <c r="A89" s="51"/>
      <c r="B89" s="3592" t="s">
        <v>338</v>
      </c>
      <c r="C89" s="3593"/>
      <c r="D89" s="3593"/>
      <c r="E89" s="3593"/>
      <c r="F89" s="3593"/>
      <c r="G89" s="3593"/>
      <c r="H89" s="1891"/>
      <c r="I89" s="3607"/>
      <c r="J89" s="3607"/>
      <c r="K89" s="3607"/>
      <c r="L89" s="3607"/>
      <c r="M89" s="3598"/>
      <c r="N89" s="3608"/>
      <c r="T89" s="172"/>
      <c r="U89" s="172"/>
      <c r="V89" s="172"/>
      <c r="W89" s="172"/>
      <c r="X89" s="172"/>
      <c r="Y89" s="172"/>
      <c r="Z89" s="172"/>
    </row>
    <row r="90" spans="1:26" ht="15" x14ac:dyDescent="0.25">
      <c r="A90" s="51"/>
      <c r="B90" s="3592" t="s">
        <v>717</v>
      </c>
      <c r="C90" s="3593"/>
      <c r="D90" s="3593"/>
      <c r="E90" s="3593"/>
      <c r="F90" s="3593" t="s">
        <v>718</v>
      </c>
      <c r="G90" s="203"/>
      <c r="H90" s="1891" t="s">
        <v>1501</v>
      </c>
      <c r="I90" s="3597"/>
      <c r="J90" s="3597">
        <v>0.3</v>
      </c>
      <c r="K90" s="3597">
        <v>0.4</v>
      </c>
      <c r="L90" s="3597">
        <v>0.45</v>
      </c>
      <c r="M90" s="3598" t="s">
        <v>1493</v>
      </c>
      <c r="N90" s="3599">
        <v>40</v>
      </c>
      <c r="T90" s="172"/>
      <c r="U90" s="172"/>
      <c r="V90" s="172"/>
      <c r="W90" s="172"/>
      <c r="X90" s="172"/>
      <c r="Y90" s="172"/>
      <c r="Z90" s="172"/>
    </row>
    <row r="91" spans="1:26" ht="15" x14ac:dyDescent="0.25">
      <c r="A91" s="51"/>
      <c r="B91" s="3600"/>
      <c r="C91" s="3601"/>
      <c r="D91" s="3601"/>
      <c r="E91" s="3601"/>
      <c r="F91" s="3601" t="s">
        <v>533</v>
      </c>
      <c r="G91" s="3609"/>
      <c r="H91" s="3606"/>
      <c r="I91" s="3602"/>
      <c r="J91" s="3602">
        <v>0.25</v>
      </c>
      <c r="K91" s="3602">
        <v>0.3</v>
      </c>
      <c r="L91" s="3602">
        <v>0.4</v>
      </c>
      <c r="M91" s="3603" t="s">
        <v>1494</v>
      </c>
      <c r="N91" s="3604">
        <v>35</v>
      </c>
      <c r="T91" s="172"/>
      <c r="U91" s="172"/>
      <c r="V91" s="172"/>
      <c r="W91" s="172"/>
      <c r="X91" s="172"/>
      <c r="Y91" s="172"/>
      <c r="Z91" s="172"/>
    </row>
    <row r="92" spans="1:26" ht="15" x14ac:dyDescent="0.25">
      <c r="A92" s="51"/>
      <c r="B92" s="3592" t="s">
        <v>719</v>
      </c>
      <c r="C92" s="3593"/>
      <c r="D92" s="3593"/>
      <c r="E92" s="3593"/>
      <c r="F92" s="3593" t="s">
        <v>718</v>
      </c>
      <c r="G92" s="203"/>
      <c r="H92" s="1891" t="s">
        <v>1502</v>
      </c>
      <c r="I92" s="3597"/>
      <c r="J92" s="3597">
        <v>0.4</v>
      </c>
      <c r="K92" s="3597">
        <v>0.5</v>
      </c>
      <c r="L92" s="3597">
        <v>0.6</v>
      </c>
      <c r="M92" s="3598" t="s">
        <v>339</v>
      </c>
      <c r="N92" s="3599">
        <v>38</v>
      </c>
      <c r="T92" s="172"/>
      <c r="U92" s="172"/>
      <c r="V92" s="172"/>
      <c r="W92" s="172"/>
      <c r="X92" s="172"/>
      <c r="Y92" s="172"/>
      <c r="Z92" s="172"/>
    </row>
    <row r="93" spans="1:26" ht="15" x14ac:dyDescent="0.25">
      <c r="A93" s="51"/>
      <c r="B93" s="3592"/>
      <c r="C93" s="3593"/>
      <c r="D93" s="3593"/>
      <c r="E93" s="3593"/>
      <c r="F93" s="3593" t="s">
        <v>533</v>
      </c>
      <c r="G93" s="2722"/>
      <c r="H93" s="1891"/>
      <c r="I93" s="3597"/>
      <c r="J93" s="3597">
        <v>0.3</v>
      </c>
      <c r="K93" s="3597">
        <v>0.4</v>
      </c>
      <c r="L93" s="3597">
        <v>0.5</v>
      </c>
      <c r="M93" s="3598" t="s">
        <v>340</v>
      </c>
      <c r="N93" s="3599">
        <v>28</v>
      </c>
      <c r="T93" s="172"/>
      <c r="U93" s="172"/>
      <c r="V93" s="172"/>
      <c r="W93" s="172"/>
      <c r="X93" s="172"/>
      <c r="Y93" s="172"/>
      <c r="Z93" s="172"/>
    </row>
    <row r="94" spans="1:26" ht="15" x14ac:dyDescent="0.25">
      <c r="A94" s="51"/>
      <c r="B94" s="3600" t="s">
        <v>733</v>
      </c>
      <c r="C94" s="3601"/>
      <c r="D94" s="3601"/>
      <c r="E94" s="3601"/>
      <c r="F94" s="3601"/>
      <c r="G94" s="3601"/>
      <c r="H94" s="3606" t="s">
        <v>1503</v>
      </c>
      <c r="I94" s="3602"/>
      <c r="J94" s="3602"/>
      <c r="K94" s="3602">
        <v>0.5</v>
      </c>
      <c r="L94" s="3602"/>
      <c r="M94" s="3603"/>
      <c r="N94" s="3604">
        <v>8</v>
      </c>
      <c r="T94" s="172"/>
      <c r="U94" s="172"/>
      <c r="V94" s="172"/>
      <c r="W94" s="172"/>
      <c r="X94" s="172"/>
      <c r="Y94" s="172"/>
      <c r="Z94" s="172"/>
    </row>
    <row r="95" spans="1:26" ht="15" x14ac:dyDescent="0.25">
      <c r="A95" s="51"/>
      <c r="B95" s="3592" t="s">
        <v>344</v>
      </c>
      <c r="C95" s="3593"/>
      <c r="D95" s="3593"/>
      <c r="E95" s="3593"/>
      <c r="F95" s="3593"/>
      <c r="G95" s="3593"/>
      <c r="H95" s="1891" t="s">
        <v>1505</v>
      </c>
      <c r="I95" s="3597"/>
      <c r="J95" s="3597">
        <v>1.1000000000000001</v>
      </c>
      <c r="K95" s="3597">
        <v>1</v>
      </c>
      <c r="L95" s="3597">
        <v>0.9</v>
      </c>
      <c r="M95" s="3598" t="s">
        <v>343</v>
      </c>
      <c r="N95" s="3610" t="s">
        <v>342</v>
      </c>
      <c r="T95" s="172"/>
      <c r="U95" s="172"/>
      <c r="V95" s="172"/>
      <c r="W95" s="172"/>
      <c r="X95" s="172"/>
      <c r="Y95" s="172"/>
      <c r="Z95" s="172"/>
    </row>
    <row r="96" spans="1:26" ht="14.25" customHeight="1" x14ac:dyDescent="0.2">
      <c r="A96" s="51"/>
      <c r="B96" s="3611" t="s">
        <v>1559</v>
      </c>
      <c r="C96" s="3589"/>
      <c r="D96" s="3589"/>
      <c r="E96" s="3589"/>
      <c r="F96" s="3589"/>
      <c r="G96" s="3589"/>
      <c r="H96" s="3611"/>
      <c r="I96" s="3589"/>
      <c r="J96" s="3589"/>
      <c r="K96" s="3589"/>
      <c r="L96" s="3589"/>
      <c r="M96" s="3589"/>
      <c r="N96" s="614"/>
      <c r="T96" s="172"/>
      <c r="U96" s="172"/>
      <c r="V96" s="172"/>
      <c r="W96" s="172"/>
      <c r="X96" s="172"/>
      <c r="Y96" s="172"/>
      <c r="Z96" s="172"/>
    </row>
    <row r="97" spans="1:26" ht="24" customHeight="1" x14ac:dyDescent="0.25">
      <c r="A97" s="51"/>
      <c r="B97" s="3592" t="s">
        <v>1506</v>
      </c>
      <c r="C97" s="3593"/>
      <c r="D97" s="3593"/>
      <c r="E97" s="3593"/>
      <c r="F97" s="3593"/>
      <c r="G97" s="3593"/>
      <c r="H97" s="1891"/>
      <c r="I97" s="3597"/>
      <c r="J97" s="3597"/>
      <c r="K97" s="3597"/>
      <c r="L97" s="3597"/>
      <c r="M97" s="3598"/>
      <c r="N97" s="3599"/>
      <c r="T97" s="172"/>
      <c r="U97" s="172"/>
      <c r="V97" s="172"/>
      <c r="W97" s="172"/>
      <c r="X97" s="172"/>
      <c r="Y97" s="172"/>
      <c r="Z97" s="172"/>
    </row>
    <row r="98" spans="1:26" ht="17.649999999999999" customHeight="1" x14ac:dyDescent="0.25">
      <c r="A98" s="51"/>
      <c r="B98" s="3592"/>
      <c r="C98" s="3593"/>
      <c r="D98" s="3593"/>
      <c r="E98" s="3593"/>
      <c r="F98" s="3593" t="s">
        <v>1507</v>
      </c>
      <c r="G98" s="203"/>
      <c r="H98" s="1891"/>
      <c r="I98" s="3597"/>
      <c r="J98" s="3597"/>
      <c r="K98" s="3597"/>
      <c r="L98" s="3597"/>
      <c r="M98" s="3598"/>
      <c r="N98" s="3610" t="s">
        <v>1560</v>
      </c>
      <c r="T98" s="172"/>
      <c r="U98" s="172"/>
      <c r="V98" s="172"/>
      <c r="W98" s="172"/>
      <c r="X98" s="172"/>
      <c r="Y98" s="172"/>
      <c r="Z98" s="172"/>
    </row>
    <row r="99" spans="1:26" ht="18.75" customHeight="1" x14ac:dyDescent="0.25">
      <c r="A99" s="51"/>
      <c r="B99" s="3592"/>
      <c r="C99" s="3593"/>
      <c r="D99" s="3593"/>
      <c r="E99" s="3593"/>
      <c r="F99" s="3593" t="s">
        <v>1508</v>
      </c>
      <c r="G99" s="203"/>
      <c r="H99" s="1891"/>
      <c r="I99" s="3597"/>
      <c r="J99" s="3597"/>
      <c r="K99" s="3597"/>
      <c r="L99" s="3597"/>
      <c r="M99" s="3598"/>
      <c r="N99" s="3610" t="s">
        <v>1561</v>
      </c>
      <c r="T99" s="172"/>
      <c r="U99" s="172"/>
      <c r="V99" s="172"/>
      <c r="W99" s="172"/>
      <c r="X99" s="172"/>
      <c r="Y99" s="172"/>
      <c r="Z99" s="172"/>
    </row>
    <row r="100" spans="1:26" ht="18.75" customHeight="1" x14ac:dyDescent="0.25">
      <c r="A100" s="51"/>
      <c r="B100" s="1892" t="s">
        <v>1509</v>
      </c>
      <c r="C100" s="203"/>
      <c r="D100" s="203"/>
      <c r="E100" s="203"/>
      <c r="F100" s="203"/>
      <c r="G100" s="203"/>
      <c r="H100" s="1891"/>
      <c r="I100" s="203"/>
      <c r="J100" s="203"/>
      <c r="K100" s="1878" t="s">
        <v>951</v>
      </c>
      <c r="L100" s="203"/>
      <c r="M100" s="203"/>
      <c r="N100" s="1415"/>
      <c r="T100" s="172"/>
      <c r="U100" s="172"/>
      <c r="V100" s="172"/>
      <c r="W100" s="172"/>
      <c r="X100" s="172"/>
      <c r="Y100" s="172"/>
      <c r="Z100" s="172"/>
    </row>
    <row r="101" spans="1:26" ht="23.25" customHeight="1" x14ac:dyDescent="0.25">
      <c r="B101" s="3592" t="s">
        <v>1510</v>
      </c>
      <c r="C101" s="3593"/>
      <c r="D101" s="3593"/>
      <c r="E101" s="3593"/>
      <c r="F101" s="3593"/>
      <c r="G101" s="3593"/>
      <c r="H101" s="1891" t="s">
        <v>1414</v>
      </c>
      <c r="I101" s="3612"/>
      <c r="J101" s="3612">
        <v>80</v>
      </c>
      <c r="K101" s="3612">
        <v>100</v>
      </c>
      <c r="L101" s="3612">
        <v>120</v>
      </c>
      <c r="M101" s="3598" t="s">
        <v>1511</v>
      </c>
      <c r="N101" s="3610" t="s">
        <v>1512</v>
      </c>
      <c r="T101" s="172"/>
      <c r="U101" s="172"/>
      <c r="V101" s="172"/>
      <c r="W101" s="172"/>
      <c r="X101" s="172"/>
      <c r="Y101" s="172"/>
      <c r="Z101" s="172"/>
    </row>
    <row r="102" spans="1:26" ht="18.399999999999999" customHeight="1" x14ac:dyDescent="0.2">
      <c r="A102" s="51"/>
      <c r="B102" s="4215" t="s">
        <v>1556</v>
      </c>
      <c r="C102" s="4216"/>
      <c r="D102" s="4216"/>
      <c r="E102" s="4216"/>
      <c r="F102" s="4216"/>
      <c r="G102" s="4216"/>
      <c r="H102" s="4216"/>
      <c r="I102" s="4216"/>
      <c r="J102" s="4216"/>
      <c r="K102" s="4216"/>
      <c r="L102" s="4216"/>
      <c r="M102" s="4216"/>
      <c r="N102" s="4214"/>
      <c r="T102" s="172"/>
      <c r="U102" s="172"/>
      <c r="V102" s="172"/>
      <c r="W102" s="172"/>
      <c r="X102" s="172"/>
      <c r="Y102" s="172"/>
      <c r="Z102" s="172"/>
    </row>
    <row r="103" spans="1:26" ht="20.25" customHeight="1" x14ac:dyDescent="0.25">
      <c r="A103" s="51"/>
      <c r="B103" s="1891" t="s">
        <v>1415</v>
      </c>
      <c r="C103" s="3593"/>
      <c r="D103" s="3593"/>
      <c r="E103" s="3593"/>
      <c r="F103" s="3593"/>
      <c r="G103" s="3593"/>
      <c r="H103" s="3613"/>
      <c r="I103" s="3597"/>
      <c r="J103" s="3597">
        <v>0.4</v>
      </c>
      <c r="K103" s="3597">
        <v>0.5</v>
      </c>
      <c r="L103" s="3597">
        <v>1</v>
      </c>
      <c r="M103" s="3598"/>
      <c r="N103" s="3599">
        <v>60</v>
      </c>
      <c r="T103" s="172"/>
      <c r="U103" s="172"/>
      <c r="V103" s="172"/>
      <c r="W103" s="172"/>
      <c r="X103" s="172"/>
      <c r="Y103" s="172"/>
      <c r="Z103" s="172"/>
    </row>
    <row r="104" spans="1:26" ht="20.25" customHeight="1" x14ac:dyDescent="0.25">
      <c r="A104" s="51"/>
      <c r="B104" s="3592" t="s">
        <v>738</v>
      </c>
      <c r="C104" s="3593"/>
      <c r="D104" s="3593"/>
      <c r="E104" s="3593"/>
      <c r="F104" s="3593"/>
      <c r="G104" s="3593"/>
      <c r="H104" s="3613"/>
      <c r="I104" s="3597"/>
      <c r="J104" s="3597"/>
      <c r="K104" s="3597"/>
      <c r="L104" s="3597"/>
      <c r="M104" s="3614"/>
      <c r="N104" s="3610" t="s">
        <v>351</v>
      </c>
      <c r="T104" s="172"/>
      <c r="U104" s="172"/>
      <c r="V104" s="172"/>
      <c r="W104" s="172"/>
      <c r="X104" s="172"/>
      <c r="Y104" s="172"/>
      <c r="Z104" s="172"/>
    </row>
    <row r="105" spans="1:26" ht="20.25" customHeight="1" x14ac:dyDescent="0.25">
      <c r="A105" s="51"/>
      <c r="B105" s="3592" t="s">
        <v>86</v>
      </c>
      <c r="C105" s="3593"/>
      <c r="D105" s="3593"/>
      <c r="E105" s="3593"/>
      <c r="F105" s="3593"/>
      <c r="G105" s="3593"/>
      <c r="H105" s="3613"/>
      <c r="I105" s="3614"/>
      <c r="J105" s="3614"/>
      <c r="K105" s="3614"/>
      <c r="L105" s="3614"/>
      <c r="M105" s="3614"/>
      <c r="N105" s="3610" t="s">
        <v>353</v>
      </c>
      <c r="T105" s="172"/>
      <c r="U105" s="172"/>
      <c r="V105" s="172"/>
      <c r="W105" s="172"/>
      <c r="X105" s="172"/>
      <c r="Y105" s="172"/>
      <c r="Z105" s="172"/>
    </row>
    <row r="106" spans="1:26" ht="20.25" customHeight="1" x14ac:dyDescent="0.25">
      <c r="A106" s="51"/>
      <c r="B106" s="3592" t="s">
        <v>87</v>
      </c>
      <c r="C106" s="3593"/>
      <c r="D106" s="3593"/>
      <c r="E106" s="3593"/>
      <c r="F106" s="3593"/>
      <c r="G106" s="3593"/>
      <c r="H106" s="3613"/>
      <c r="I106" s="3597"/>
      <c r="J106" s="3597"/>
      <c r="K106" s="3597"/>
      <c r="L106" s="3597"/>
      <c r="M106" s="3614"/>
      <c r="N106" s="3610" t="s">
        <v>342</v>
      </c>
      <c r="T106" s="172"/>
      <c r="U106" s="172"/>
      <c r="V106" s="172"/>
      <c r="W106" s="172"/>
      <c r="X106" s="172"/>
      <c r="Y106" s="172"/>
      <c r="Z106" s="172"/>
    </row>
    <row r="107" spans="1:26" ht="20.25" customHeight="1" x14ac:dyDescent="0.25">
      <c r="A107" s="51"/>
      <c r="B107" s="3592" t="s">
        <v>91</v>
      </c>
      <c r="C107" s="3593"/>
      <c r="D107" s="3593"/>
      <c r="E107" s="3593"/>
      <c r="F107" s="3593"/>
      <c r="G107" s="3593"/>
      <c r="H107" s="3613"/>
      <c r="I107" s="3597"/>
      <c r="J107" s="3597">
        <v>1</v>
      </c>
      <c r="K107" s="3597">
        <v>1.2</v>
      </c>
      <c r="L107" s="3597">
        <v>1.4</v>
      </c>
      <c r="M107" s="3614" t="s">
        <v>1567</v>
      </c>
      <c r="N107" s="3610" t="s">
        <v>37</v>
      </c>
      <c r="T107" s="172"/>
      <c r="U107" s="172"/>
      <c r="V107" s="172"/>
      <c r="W107" s="172"/>
      <c r="X107" s="172"/>
      <c r="Y107" s="172"/>
      <c r="Z107" s="172"/>
    </row>
    <row r="108" spans="1:26" ht="20.25" customHeight="1" x14ac:dyDescent="0.25">
      <c r="A108" s="51"/>
      <c r="B108" s="3600"/>
      <c r="C108" s="3601"/>
      <c r="D108" s="3601"/>
      <c r="E108" s="3601"/>
      <c r="F108" s="3601"/>
      <c r="G108" s="3601"/>
      <c r="H108" s="3606"/>
      <c r="I108" s="3602"/>
      <c r="J108" s="3602"/>
      <c r="K108" s="3602"/>
      <c r="L108" s="3602"/>
      <c r="M108" s="3615"/>
      <c r="N108" s="3616"/>
      <c r="T108" s="172"/>
      <c r="U108" s="172"/>
      <c r="V108" s="172"/>
      <c r="W108" s="172"/>
      <c r="X108" s="172"/>
      <c r="Y108" s="172"/>
      <c r="Z108" s="172"/>
    </row>
    <row r="109" spans="1:26" ht="20.25" customHeight="1" x14ac:dyDescent="0.25">
      <c r="A109" s="51"/>
      <c r="B109" s="3619" t="s">
        <v>734</v>
      </c>
      <c r="C109" s="3620"/>
      <c r="D109" s="3620"/>
      <c r="E109" s="3620"/>
      <c r="F109" s="3620"/>
      <c r="G109" s="3620"/>
      <c r="H109" s="3605" t="s">
        <v>346</v>
      </c>
      <c r="I109" s="3621"/>
      <c r="J109" s="3621"/>
      <c r="K109" s="3621"/>
      <c r="L109" s="3621"/>
      <c r="M109" s="3622"/>
      <c r="N109" s="3623"/>
      <c r="T109" s="172"/>
      <c r="U109" s="172"/>
      <c r="V109" s="172"/>
      <c r="W109" s="172"/>
      <c r="X109" s="172"/>
      <c r="Y109" s="172"/>
      <c r="Z109" s="172"/>
    </row>
    <row r="110" spans="1:26" ht="18" customHeight="1" x14ac:dyDescent="0.25">
      <c r="A110" s="51"/>
      <c r="B110" s="3592"/>
      <c r="C110" s="3593"/>
      <c r="D110" s="3593"/>
      <c r="E110" s="3593"/>
      <c r="F110" s="3593"/>
      <c r="G110" s="3593"/>
      <c r="H110" s="3613" t="s">
        <v>1513</v>
      </c>
      <c r="I110" s="3597"/>
      <c r="J110" s="3597">
        <v>0.85</v>
      </c>
      <c r="K110" s="3597">
        <v>0.95</v>
      </c>
      <c r="L110" s="3597">
        <v>1.05</v>
      </c>
      <c r="M110" s="3598" t="s">
        <v>345</v>
      </c>
      <c r="N110" s="3599">
        <v>175</v>
      </c>
      <c r="T110" s="172"/>
      <c r="U110" s="172"/>
      <c r="V110" s="172"/>
      <c r="W110" s="172"/>
      <c r="X110" s="172"/>
      <c r="Y110" s="172"/>
      <c r="Z110" s="172"/>
    </row>
    <row r="111" spans="1:26" ht="18" customHeight="1" x14ac:dyDescent="0.25">
      <c r="A111" s="51"/>
      <c r="B111" s="3592" t="s">
        <v>735</v>
      </c>
      <c r="C111" s="3593"/>
      <c r="D111" s="3593"/>
      <c r="E111" s="3593"/>
      <c r="F111" s="3593"/>
      <c r="G111" s="3593"/>
      <c r="H111" s="3613" t="s">
        <v>346</v>
      </c>
      <c r="I111" s="3597"/>
      <c r="J111" s="3597">
        <v>0.75</v>
      </c>
      <c r="K111" s="3597">
        <v>0.85</v>
      </c>
      <c r="L111" s="3597">
        <v>0.95</v>
      </c>
      <c r="M111" s="3598" t="s">
        <v>347</v>
      </c>
      <c r="N111" s="3599">
        <v>155</v>
      </c>
      <c r="T111" s="172"/>
      <c r="U111" s="172"/>
      <c r="V111" s="172"/>
      <c r="W111" s="172"/>
      <c r="X111" s="172"/>
      <c r="Y111" s="172"/>
      <c r="Z111" s="172"/>
    </row>
    <row r="112" spans="1:26" ht="18" customHeight="1" x14ac:dyDescent="0.25">
      <c r="A112" s="51"/>
      <c r="B112" s="3600"/>
      <c r="C112" s="3601"/>
      <c r="D112" s="3601"/>
      <c r="E112" s="3601"/>
      <c r="F112" s="3601"/>
      <c r="G112" s="3601"/>
      <c r="H112" s="3606" t="s">
        <v>1514</v>
      </c>
      <c r="I112" s="3602"/>
      <c r="J112" s="3602"/>
      <c r="K112" s="3602"/>
      <c r="L112" s="3602"/>
      <c r="M112" s="3603"/>
      <c r="N112" s="3604"/>
      <c r="T112" s="172"/>
      <c r="U112" s="172"/>
      <c r="V112" s="172"/>
      <c r="W112" s="172"/>
      <c r="X112" s="172"/>
      <c r="Y112" s="172"/>
      <c r="Z112" s="172"/>
    </row>
    <row r="113" spans="1:26" ht="23.25" customHeight="1" x14ac:dyDescent="0.2">
      <c r="A113" s="51"/>
      <c r="B113" s="4228" t="s">
        <v>283</v>
      </c>
      <c r="C113" s="4229"/>
      <c r="D113" s="4229"/>
      <c r="E113" s="4229"/>
      <c r="F113" s="4229"/>
      <c r="G113" s="4229"/>
      <c r="H113" s="4229"/>
      <c r="I113" s="4229"/>
      <c r="J113" s="4229"/>
      <c r="K113" s="4229"/>
      <c r="L113" s="4229"/>
      <c r="M113" s="4229"/>
      <c r="N113" s="4230"/>
      <c r="T113" s="172"/>
      <c r="U113" s="172"/>
      <c r="V113" s="172"/>
      <c r="W113" s="172"/>
      <c r="X113" s="172"/>
      <c r="Y113" s="172"/>
      <c r="Z113" s="172"/>
    </row>
    <row r="114" spans="1:26" ht="25.5" customHeight="1" x14ac:dyDescent="0.25">
      <c r="A114" s="51"/>
      <c r="B114" s="3592" t="s">
        <v>284</v>
      </c>
      <c r="C114" s="3593"/>
      <c r="D114" s="3593"/>
      <c r="E114" s="3593"/>
      <c r="F114" s="3593"/>
      <c r="G114" s="3593"/>
      <c r="H114" s="3613" t="s">
        <v>352</v>
      </c>
      <c r="I114" s="3597"/>
      <c r="J114" s="3597"/>
      <c r="K114" s="3597"/>
      <c r="L114" s="3598"/>
      <c r="M114" s="3610"/>
      <c r="N114" s="3610" t="s">
        <v>348</v>
      </c>
      <c r="T114" s="172"/>
      <c r="U114" s="172"/>
      <c r="V114" s="172"/>
      <c r="W114" s="172"/>
      <c r="X114" s="172"/>
      <c r="Y114" s="172"/>
      <c r="Z114" s="172"/>
    </row>
    <row r="115" spans="1:26" ht="25.5" customHeight="1" x14ac:dyDescent="0.2">
      <c r="A115" s="51"/>
      <c r="B115" s="4225" t="s">
        <v>1557</v>
      </c>
      <c r="C115" s="4226"/>
      <c r="D115" s="4226"/>
      <c r="E115" s="4226"/>
      <c r="F115" s="4226"/>
      <c r="G115" s="4226"/>
      <c r="H115" s="4226"/>
      <c r="I115" s="4226"/>
      <c r="J115" s="4226" t="s">
        <v>1515</v>
      </c>
      <c r="K115" s="4226"/>
      <c r="L115" s="4226"/>
      <c r="M115" s="4226"/>
      <c r="N115" s="4227"/>
      <c r="T115" s="172"/>
      <c r="U115" s="172"/>
      <c r="V115" s="172"/>
      <c r="W115" s="172"/>
      <c r="X115" s="172"/>
      <c r="Y115" s="172"/>
      <c r="Z115" s="172"/>
    </row>
    <row r="116" spans="1:26" ht="18" customHeight="1" x14ac:dyDescent="0.25">
      <c r="A116" s="51"/>
      <c r="B116" s="3624"/>
      <c r="C116" s="3620"/>
      <c r="D116" s="3620"/>
      <c r="E116" s="3620"/>
      <c r="F116" s="3620"/>
      <c r="G116" s="3620"/>
      <c r="H116" s="3629"/>
      <c r="I116" s="400"/>
      <c r="J116" s="4237" t="s">
        <v>1515</v>
      </c>
      <c r="K116" s="4238"/>
      <c r="L116" s="4239"/>
      <c r="M116" s="4237" t="s">
        <v>1516</v>
      </c>
      <c r="N116" s="4239"/>
      <c r="P116" s="2595"/>
    </row>
    <row r="117" spans="1:26" ht="14.25" customHeight="1" x14ac:dyDescent="0.25">
      <c r="A117" s="51"/>
      <c r="B117" s="3617" t="s">
        <v>1517</v>
      </c>
      <c r="C117" s="3593"/>
      <c r="D117" s="3593"/>
      <c r="E117" s="3593"/>
      <c r="F117" s="3593"/>
      <c r="G117" s="3593"/>
      <c r="H117" s="3630" t="s">
        <v>1518</v>
      </c>
      <c r="I117" s="172"/>
      <c r="J117" s="3631" t="s">
        <v>723</v>
      </c>
      <c r="K117" s="3632" t="s">
        <v>724</v>
      </c>
      <c r="L117" s="3633" t="s">
        <v>725</v>
      </c>
      <c r="M117" s="4248" t="s">
        <v>266</v>
      </c>
      <c r="N117" s="4249"/>
    </row>
    <row r="118" spans="1:26" ht="20.25" customHeight="1" x14ac:dyDescent="0.25">
      <c r="A118" s="51"/>
      <c r="B118" s="3592"/>
      <c r="C118" s="3593" t="s">
        <v>1562</v>
      </c>
      <c r="D118" s="3593"/>
      <c r="E118" s="3593"/>
      <c r="F118" s="3593"/>
      <c r="G118" s="3593"/>
      <c r="H118" s="3628" t="s">
        <v>1519</v>
      </c>
      <c r="I118" s="3612"/>
      <c r="J118" s="3612">
        <v>11</v>
      </c>
      <c r="K118" s="3612">
        <v>13</v>
      </c>
      <c r="L118" s="3612">
        <v>19</v>
      </c>
      <c r="M118" s="3598" t="s">
        <v>1520</v>
      </c>
      <c r="N118" s="3610" t="s">
        <v>1521</v>
      </c>
    </row>
    <row r="119" spans="1:26" ht="15" x14ac:dyDescent="0.25">
      <c r="A119" s="51"/>
      <c r="B119" s="3592"/>
      <c r="C119" s="3593" t="s">
        <v>1522</v>
      </c>
      <c r="D119" s="3593"/>
      <c r="E119" s="3593"/>
      <c r="F119" s="3593"/>
      <c r="G119" s="3593"/>
      <c r="H119" s="3634" t="s">
        <v>1523</v>
      </c>
      <c r="I119" s="3612"/>
      <c r="J119" s="3612">
        <v>11</v>
      </c>
      <c r="K119" s="3612">
        <v>13</v>
      </c>
      <c r="L119" s="3612">
        <v>15</v>
      </c>
      <c r="M119" s="3598" t="s">
        <v>1524</v>
      </c>
      <c r="N119" s="3610" t="s">
        <v>1525</v>
      </c>
    </row>
    <row r="120" spans="1:26" ht="17.25" x14ac:dyDescent="0.25">
      <c r="A120" s="51"/>
      <c r="B120" s="3592"/>
      <c r="C120" s="3593" t="s">
        <v>1563</v>
      </c>
      <c r="D120" s="3593"/>
      <c r="E120" s="3593"/>
      <c r="F120" s="3593"/>
      <c r="G120" s="3593"/>
      <c r="H120" s="3634" t="s">
        <v>1526</v>
      </c>
      <c r="I120" s="3612"/>
      <c r="J120" s="3612">
        <v>13</v>
      </c>
      <c r="K120" s="3612">
        <v>16</v>
      </c>
      <c r="L120" s="3612">
        <v>18</v>
      </c>
      <c r="M120" s="3598" t="s">
        <v>1527</v>
      </c>
      <c r="N120" s="3610" t="s">
        <v>1528</v>
      </c>
    </row>
    <row r="121" spans="1:26" ht="17.45" customHeight="1" x14ac:dyDescent="0.25">
      <c r="A121" s="51"/>
      <c r="B121" s="3600"/>
      <c r="C121" s="3601" t="s">
        <v>1529</v>
      </c>
      <c r="D121" s="3601"/>
      <c r="E121" s="3601"/>
      <c r="F121" s="3601"/>
      <c r="G121" s="3601"/>
      <c r="H121" s="3627" t="s">
        <v>1530</v>
      </c>
      <c r="I121" s="3625"/>
      <c r="J121" s="3626">
        <v>13</v>
      </c>
      <c r="K121" s="3626">
        <v>16</v>
      </c>
      <c r="L121" s="3626">
        <v>18</v>
      </c>
      <c r="M121" s="3615" t="s">
        <v>1531</v>
      </c>
      <c r="N121" s="3616" t="s">
        <v>1532</v>
      </c>
    </row>
    <row r="122" spans="1:26" ht="19.5" customHeight="1" x14ac:dyDescent="0.25">
      <c r="A122" s="51"/>
      <c r="B122" s="3617" t="s">
        <v>1564</v>
      </c>
      <c r="C122" s="3593"/>
      <c r="D122" s="3593"/>
      <c r="E122" s="3593"/>
      <c r="F122" s="3593"/>
      <c r="G122" s="3593"/>
      <c r="H122" s="3634"/>
      <c r="I122" s="3612"/>
      <c r="J122" s="3612"/>
      <c r="K122" s="3612"/>
      <c r="L122" s="3612"/>
      <c r="M122" s="3598"/>
      <c r="N122" s="3610"/>
    </row>
    <row r="123" spans="1:26" ht="21.2" customHeight="1" x14ac:dyDescent="0.25">
      <c r="A123" s="51"/>
      <c r="B123" s="3592"/>
      <c r="C123" s="3593" t="s">
        <v>1565</v>
      </c>
      <c r="D123" s="3593"/>
      <c r="E123" s="3593"/>
      <c r="F123" s="3593"/>
      <c r="G123" s="3593"/>
      <c r="H123" s="3634" t="s">
        <v>1533</v>
      </c>
      <c r="I123" s="3612"/>
      <c r="J123" s="3612">
        <v>13</v>
      </c>
      <c r="K123" s="3612">
        <v>18</v>
      </c>
      <c r="L123" s="3612">
        <v>22</v>
      </c>
      <c r="M123" s="3598" t="s">
        <v>1534</v>
      </c>
      <c r="N123" s="3610" t="s">
        <v>1535</v>
      </c>
    </row>
    <row r="124" spans="1:26" ht="18" customHeight="1" x14ac:dyDescent="0.25">
      <c r="A124" s="51"/>
      <c r="B124" s="3592"/>
      <c r="C124" s="3593" t="s">
        <v>1566</v>
      </c>
      <c r="D124" s="3593"/>
      <c r="E124" s="3593"/>
      <c r="F124" s="3593"/>
      <c r="G124" s="3593"/>
      <c r="H124" s="3634" t="s">
        <v>1533</v>
      </c>
      <c r="I124" s="3612"/>
      <c r="J124" s="3612">
        <v>11</v>
      </c>
      <c r="K124" s="3612">
        <v>13</v>
      </c>
      <c r="L124" s="3612">
        <v>15</v>
      </c>
      <c r="M124" s="3598" t="s">
        <v>1536</v>
      </c>
      <c r="N124" s="3610" t="s">
        <v>351</v>
      </c>
    </row>
    <row r="125" spans="1:26" ht="20.25" customHeight="1" x14ac:dyDescent="0.25">
      <c r="A125" s="51"/>
      <c r="B125" s="3592"/>
      <c r="C125" s="3593" t="s">
        <v>1558</v>
      </c>
      <c r="D125" s="3593"/>
      <c r="E125" s="3593"/>
      <c r="F125" s="3593"/>
      <c r="G125" s="3593"/>
      <c r="H125" s="3634" t="s">
        <v>1537</v>
      </c>
      <c r="I125" s="3612"/>
      <c r="J125" s="3612">
        <v>10</v>
      </c>
      <c r="K125" s="3612">
        <v>12</v>
      </c>
      <c r="L125" s="3612">
        <v>18</v>
      </c>
      <c r="M125" s="3598" t="s">
        <v>1538</v>
      </c>
      <c r="N125" s="3610" t="s">
        <v>1539</v>
      </c>
    </row>
    <row r="126" spans="1:26" ht="25.5" customHeight="1" x14ac:dyDescent="0.25">
      <c r="A126" s="51"/>
      <c r="B126" s="3592"/>
      <c r="C126" s="3593" t="s">
        <v>1540</v>
      </c>
      <c r="D126" s="2722"/>
      <c r="E126" s="2722"/>
      <c r="F126" s="2722"/>
      <c r="G126" s="2722"/>
      <c r="H126" s="3627" t="s">
        <v>1541</v>
      </c>
      <c r="I126" s="3612"/>
      <c r="J126" s="3612">
        <v>10</v>
      </c>
      <c r="K126" s="3612">
        <v>12</v>
      </c>
      <c r="L126" s="3612">
        <v>18</v>
      </c>
      <c r="M126" s="3598" t="s">
        <v>1542</v>
      </c>
      <c r="N126" s="3610" t="s">
        <v>1543</v>
      </c>
    </row>
    <row r="127" spans="1:26" ht="17.649999999999999" customHeight="1" x14ac:dyDescent="0.2">
      <c r="A127" s="51"/>
      <c r="B127" s="4215" t="s">
        <v>1408</v>
      </c>
      <c r="C127" s="4216"/>
      <c r="D127" s="4216"/>
      <c r="E127" s="4216"/>
      <c r="F127" s="4216"/>
      <c r="G127" s="4216"/>
      <c r="H127" s="4216"/>
      <c r="I127" s="4216"/>
      <c r="J127" s="4216" t="s">
        <v>806</v>
      </c>
      <c r="K127" s="4216"/>
      <c r="L127" s="4216"/>
      <c r="M127" s="4216"/>
      <c r="N127" s="4214"/>
    </row>
    <row r="128" spans="1:26" ht="15" x14ac:dyDescent="0.2">
      <c r="A128" s="51"/>
      <c r="B128"/>
      <c r="C128" s="2764"/>
      <c r="D128" s="2764"/>
      <c r="E128" s="2764"/>
      <c r="F128" s="2764"/>
      <c r="G128" s="2764"/>
      <c r="H128" s="3636" t="s">
        <v>770</v>
      </c>
      <c r="I128" s="3642"/>
      <c r="J128" s="4229" t="s">
        <v>1589</v>
      </c>
      <c r="K128" s="4229"/>
      <c r="L128" s="3647"/>
      <c r="M128" s="4228" t="s">
        <v>1544</v>
      </c>
      <c r="N128" s="4230"/>
    </row>
    <row r="129" spans="1:14" ht="15.75" x14ac:dyDescent="0.25">
      <c r="A129" s="51"/>
      <c r="B129" s="3643" t="s">
        <v>1545</v>
      </c>
      <c r="C129" s="3640"/>
      <c r="D129" s="3640"/>
      <c r="E129" s="3640"/>
      <c r="F129" s="3640"/>
      <c r="G129" s="3640"/>
      <c r="H129" s="3644"/>
      <c r="I129" s="3637"/>
      <c r="J129" s="3648">
        <v>1.04</v>
      </c>
      <c r="K129" s="3648">
        <v>0.86</v>
      </c>
      <c r="L129" s="3649">
        <v>0.71</v>
      </c>
      <c r="M129" s="3653" t="s">
        <v>1546</v>
      </c>
      <c r="N129" s="3654">
        <v>45</v>
      </c>
    </row>
    <row r="130" spans="1:14" ht="15.75" x14ac:dyDescent="0.25">
      <c r="A130" s="51"/>
      <c r="B130" s="3639"/>
      <c r="C130" s="3590" t="s">
        <v>1547</v>
      </c>
      <c r="D130" s="3640"/>
      <c r="E130" s="3640"/>
      <c r="F130" s="3640"/>
      <c r="G130" s="3640"/>
      <c r="H130" s="3650" t="s">
        <v>1548</v>
      </c>
      <c r="I130" s="3637"/>
      <c r="J130" s="3648" t="s">
        <v>1549</v>
      </c>
      <c r="K130" s="3648" t="s">
        <v>1550</v>
      </c>
      <c r="L130" s="3649" t="s">
        <v>1551</v>
      </c>
      <c r="M130" s="3653" t="s">
        <v>1552</v>
      </c>
      <c r="N130" s="3641" t="s">
        <v>1553</v>
      </c>
    </row>
    <row r="131" spans="1:14" ht="15" x14ac:dyDescent="0.2">
      <c r="A131" s="51"/>
      <c r="B131" s="3645" t="s">
        <v>1554</v>
      </c>
      <c r="C131" s="2764"/>
      <c r="D131" s="2764"/>
      <c r="E131" s="2764"/>
      <c r="F131" s="2764"/>
      <c r="G131" s="2764"/>
      <c r="H131" s="3635"/>
      <c r="I131" s="400"/>
      <c r="J131" s="3638"/>
      <c r="K131" s="3646" t="s">
        <v>806</v>
      </c>
      <c r="L131" s="1548"/>
      <c r="M131" s="3651" t="s">
        <v>806</v>
      </c>
      <c r="N131" s="1400"/>
    </row>
    <row r="132" spans="1:14" ht="14.25" x14ac:dyDescent="0.2">
      <c r="A132" s="51"/>
      <c r="B132" s="173" t="s">
        <v>314</v>
      </c>
      <c r="C132" s="3601"/>
      <c r="D132" s="3601"/>
      <c r="E132" s="3601"/>
      <c r="F132" s="3601"/>
      <c r="G132" s="3601"/>
      <c r="H132" s="671"/>
      <c r="I132" s="36"/>
      <c r="J132" s="623"/>
      <c r="K132" s="623">
        <v>4.5</v>
      </c>
      <c r="L132" s="36"/>
      <c r="M132" s="3652">
        <v>4.5</v>
      </c>
      <c r="N132" s="89"/>
    </row>
    <row r="133" spans="1:14" ht="13.7" customHeight="1" x14ac:dyDescent="0.25">
      <c r="A133" s="51"/>
      <c r="B133" s="1886"/>
      <c r="C133" s="1886"/>
      <c r="D133" s="1886"/>
      <c r="E133" s="1886"/>
      <c r="F133" s="1886"/>
      <c r="G133" s="1886"/>
      <c r="H133" s="2592"/>
      <c r="I133" s="2592"/>
      <c r="J133" s="2593"/>
      <c r="K133" s="2593"/>
      <c r="L133" s="2593"/>
      <c r="M133" s="1886"/>
      <c r="N133" s="2594"/>
    </row>
    <row r="134" spans="1:14" ht="14.25" x14ac:dyDescent="0.2">
      <c r="A134" s="51"/>
      <c r="B134" s="51" t="s">
        <v>813</v>
      </c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</row>
    <row r="135" spans="1:14" ht="14.25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</row>
    <row r="136" spans="1:14" ht="14.25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</row>
    <row r="137" spans="1:14" ht="14.25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</row>
    <row r="138" spans="1:14" ht="14.25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</row>
    <row r="139" spans="1:14" ht="14.25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</row>
    <row r="140" spans="1:14" ht="23.25" x14ac:dyDescent="0.35">
      <c r="A140" s="51"/>
      <c r="B140" s="3367" t="s">
        <v>1237</v>
      </c>
      <c r="C140" s="3368"/>
      <c r="D140" s="3368"/>
      <c r="E140" s="3368"/>
      <c r="F140" s="3368"/>
      <c r="G140" s="3368"/>
      <c r="H140" s="3369"/>
      <c r="I140" s="3369"/>
      <c r="J140" s="3370"/>
      <c r="K140" s="3369"/>
      <c r="L140" s="3369"/>
      <c r="M140" s="51"/>
    </row>
    <row r="141" spans="1:14" ht="14.25" x14ac:dyDescent="0.2">
      <c r="A141" s="51"/>
      <c r="B141"/>
      <c r="C141"/>
      <c r="D141"/>
      <c r="E141"/>
      <c r="F141"/>
      <c r="G141"/>
      <c r="H141" s="3371"/>
      <c r="I141" s="3371"/>
      <c r="J141"/>
      <c r="K141"/>
      <c r="L141"/>
      <c r="M141" s="51"/>
    </row>
    <row r="142" spans="1:14" ht="14.25" x14ac:dyDescent="0.2">
      <c r="A142" s="51"/>
      <c r="B142" s="530"/>
      <c r="C142" s="530"/>
      <c r="D142" s="530"/>
      <c r="E142" s="530"/>
      <c r="F142" s="530"/>
      <c r="G142" s="530"/>
      <c r="H142" s="3372"/>
      <c r="I142" s="3372"/>
      <c r="J142" s="530"/>
      <c r="K142"/>
      <c r="L142"/>
      <c r="M142" s="51"/>
    </row>
    <row r="143" spans="1:14" ht="15.75" x14ac:dyDescent="0.2">
      <c r="A143" s="51"/>
      <c r="B143" s="530"/>
      <c r="C143" s="3373" t="s">
        <v>957</v>
      </c>
      <c r="D143" s="530"/>
      <c r="E143" s="530"/>
      <c r="F143" s="530"/>
      <c r="G143" s="530"/>
      <c r="H143" s="3372"/>
      <c r="I143" s="3372"/>
      <c r="J143" s="530"/>
      <c r="K143"/>
      <c r="L143"/>
      <c r="M143" s="51"/>
    </row>
    <row r="144" spans="1:14" ht="15" thickBot="1" x14ac:dyDescent="0.25">
      <c r="A144" s="51"/>
      <c r="B144" s="530"/>
      <c r="C144" s="3374"/>
      <c r="D144" s="3374"/>
      <c r="E144" s="3374"/>
      <c r="F144" s="3375"/>
      <c r="G144" s="3376"/>
      <c r="H144" s="3377"/>
      <c r="I144" s="3377"/>
      <c r="J144" s="530"/>
      <c r="K144"/>
      <c r="L144"/>
      <c r="M144" s="51"/>
    </row>
    <row r="145" spans="1:17" ht="20.25" customHeight="1" x14ac:dyDescent="0.2">
      <c r="A145" s="51"/>
      <c r="B145" s="530"/>
      <c r="C145" s="4250" t="s">
        <v>1238</v>
      </c>
      <c r="D145" s="4251"/>
      <c r="E145" s="3793"/>
      <c r="F145" s="3809" t="s">
        <v>1239</v>
      </c>
      <c r="G145" s="4240" t="s">
        <v>1240</v>
      </c>
      <c r="H145" s="4241"/>
      <c r="I145" s="3811"/>
      <c r="J145" s="3794"/>
      <c r="K145" s="907"/>
      <c r="L145" s="907"/>
      <c r="M145" s="51"/>
    </row>
    <row r="146" spans="1:17" ht="20.25" customHeight="1" thickBot="1" x14ac:dyDescent="0.25">
      <c r="A146" s="51"/>
      <c r="B146" s="530"/>
      <c r="C146" s="3795"/>
      <c r="D146" s="1170"/>
      <c r="E146" s="1170"/>
      <c r="F146" s="3810" t="s">
        <v>1241</v>
      </c>
      <c r="G146" s="4242" t="s">
        <v>1242</v>
      </c>
      <c r="H146" s="4243"/>
      <c r="I146" s="3816"/>
      <c r="J146" s="3794"/>
      <c r="K146" s="907"/>
      <c r="L146" s="907"/>
      <c r="M146" s="51"/>
    </row>
    <row r="147" spans="1:17" s="3779" customFormat="1" ht="20.25" customHeight="1" x14ac:dyDescent="0.2">
      <c r="A147" s="51"/>
      <c r="B147" s="530"/>
      <c r="C147" s="1019"/>
      <c r="D147" s="1170"/>
      <c r="E147" s="1170"/>
      <c r="F147" s="3796"/>
      <c r="G147" s="3797">
        <v>2018</v>
      </c>
      <c r="H147" s="3797">
        <v>2020</v>
      </c>
      <c r="I147" s="3817">
        <v>2021</v>
      </c>
      <c r="J147" s="3794"/>
      <c r="K147" s="907"/>
      <c r="L147" s="907"/>
      <c r="M147" s="51"/>
    </row>
    <row r="148" spans="1:17" ht="20.25" customHeight="1" x14ac:dyDescent="0.2">
      <c r="A148" s="51"/>
      <c r="B148" s="3379"/>
      <c r="C148" s="3798" t="s">
        <v>1243</v>
      </c>
      <c r="D148" s="3799"/>
      <c r="E148" s="3800" t="s">
        <v>1244</v>
      </c>
      <c r="F148" s="3801" t="s">
        <v>1245</v>
      </c>
      <c r="G148" s="3802">
        <v>66.5</v>
      </c>
      <c r="H148" s="3812">
        <v>69</v>
      </c>
      <c r="I148" s="3818">
        <v>69</v>
      </c>
      <c r="J148" s="527"/>
      <c r="K148" s="907"/>
      <c r="L148" s="907"/>
      <c r="M148" s="51"/>
      <c r="N148" s="3928" t="s">
        <v>1753</v>
      </c>
    </row>
    <row r="149" spans="1:17" ht="20.25" customHeight="1" x14ac:dyDescent="0.2">
      <c r="A149" s="51"/>
      <c r="B149" s="3379"/>
      <c r="C149" s="3798" t="s">
        <v>1246</v>
      </c>
      <c r="D149" s="3799"/>
      <c r="E149" s="3800"/>
      <c r="F149" s="3801" t="s">
        <v>1245</v>
      </c>
      <c r="G149" s="3802">
        <v>56</v>
      </c>
      <c r="H149" s="3813">
        <v>59</v>
      </c>
      <c r="I149" s="3818">
        <v>59</v>
      </c>
      <c r="J149" s="527"/>
      <c r="K149" s="907"/>
      <c r="L149" s="907"/>
      <c r="M149" s="51"/>
      <c r="N149" s="3927" t="s">
        <v>1821</v>
      </c>
    </row>
    <row r="150" spans="1:17" ht="20.25" customHeight="1" x14ac:dyDescent="0.2">
      <c r="A150" s="51"/>
      <c r="B150" s="3379"/>
      <c r="C150" s="3798" t="s">
        <v>1247</v>
      </c>
      <c r="D150" s="3799"/>
      <c r="E150" s="3800"/>
      <c r="F150" s="3801" t="s">
        <v>1245</v>
      </c>
      <c r="G150" s="3802">
        <v>54</v>
      </c>
      <c r="H150" s="3813">
        <v>60</v>
      </c>
      <c r="I150" s="3818">
        <v>60</v>
      </c>
      <c r="J150" s="527"/>
      <c r="K150" s="907"/>
      <c r="L150" s="907"/>
      <c r="M150" s="51"/>
      <c r="N150" s="3928" t="s">
        <v>1821</v>
      </c>
    </row>
    <row r="151" spans="1:17" ht="20.25" customHeight="1" x14ac:dyDescent="0.2">
      <c r="A151" s="51"/>
      <c r="B151" s="3379"/>
      <c r="C151" s="3798" t="s">
        <v>1248</v>
      </c>
      <c r="D151" s="3799"/>
      <c r="E151" s="3800"/>
      <c r="F151" s="3801" t="s">
        <v>1245</v>
      </c>
      <c r="G151" s="3802">
        <v>52</v>
      </c>
      <c r="H151" s="3813"/>
      <c r="I151" s="3818">
        <v>60</v>
      </c>
      <c r="J151" s="527"/>
      <c r="K151" s="907"/>
      <c r="L151" s="907"/>
      <c r="M151" s="51"/>
      <c r="N151" s="3928" t="s">
        <v>1825</v>
      </c>
    </row>
    <row r="152" spans="1:17" ht="20.25" customHeight="1" x14ac:dyDescent="0.2">
      <c r="A152" s="51"/>
      <c r="B152" s="3379"/>
      <c r="C152" s="3798" t="s">
        <v>1249</v>
      </c>
      <c r="D152" s="3799"/>
      <c r="E152" s="3800"/>
      <c r="F152" s="3801" t="s">
        <v>1245</v>
      </c>
      <c r="G152" s="3802">
        <v>55</v>
      </c>
      <c r="H152" s="3813"/>
      <c r="I152" s="3818">
        <v>60</v>
      </c>
      <c r="J152" s="527"/>
      <c r="K152" s="907"/>
      <c r="L152" s="907"/>
      <c r="M152" s="51"/>
      <c r="N152" s="3928" t="s">
        <v>1825</v>
      </c>
    </row>
    <row r="153" spans="1:17" ht="20.25" customHeight="1" x14ac:dyDescent="0.2">
      <c r="A153" s="51"/>
      <c r="B153" s="3379"/>
      <c r="C153" s="3798" t="s">
        <v>1250</v>
      </c>
      <c r="D153" s="3799"/>
      <c r="E153" s="3800"/>
      <c r="F153" s="3801" t="s">
        <v>1245</v>
      </c>
      <c r="G153" s="3802">
        <v>55</v>
      </c>
      <c r="H153" s="3813">
        <v>62</v>
      </c>
      <c r="I153" s="3818">
        <v>62</v>
      </c>
      <c r="J153" s="527"/>
      <c r="K153" s="907"/>
      <c r="L153" s="907"/>
      <c r="M153" s="51"/>
      <c r="N153" s="3928" t="s">
        <v>1824</v>
      </c>
    </row>
    <row r="154" spans="1:17" ht="20.25" customHeight="1" x14ac:dyDescent="0.2">
      <c r="A154" s="51"/>
      <c r="B154" s="3379"/>
      <c r="C154" s="3798" t="s">
        <v>433</v>
      </c>
      <c r="D154" s="3799"/>
      <c r="E154" s="3800"/>
      <c r="F154" s="3801" t="s">
        <v>4</v>
      </c>
      <c r="G154" s="3802">
        <v>79.5</v>
      </c>
      <c r="H154" s="3884">
        <v>88</v>
      </c>
      <c r="I154" s="3818">
        <v>100</v>
      </c>
      <c r="J154" s="527"/>
      <c r="K154" s="907"/>
      <c r="L154" s="907"/>
      <c r="M154" s="51"/>
      <c r="N154" s="3928" t="s">
        <v>1823</v>
      </c>
    </row>
    <row r="155" spans="1:17" ht="20.25" customHeight="1" x14ac:dyDescent="0.2">
      <c r="A155" s="51"/>
      <c r="B155" s="3379"/>
      <c r="C155" s="3798" t="s">
        <v>1087</v>
      </c>
      <c r="D155" s="3799"/>
      <c r="E155" s="3800"/>
      <c r="F155" s="3801" t="s">
        <v>1245</v>
      </c>
      <c r="G155" s="3802">
        <v>230</v>
      </c>
      <c r="H155" s="3813"/>
      <c r="I155" s="3818">
        <v>385</v>
      </c>
      <c r="J155" s="527"/>
      <c r="K155" s="907"/>
      <c r="L155" s="907"/>
      <c r="M155" s="51"/>
      <c r="N155" s="3928" t="s">
        <v>1822</v>
      </c>
    </row>
    <row r="156" spans="1:17" ht="20.25" customHeight="1" x14ac:dyDescent="0.2">
      <c r="A156" s="51"/>
      <c r="B156" s="3379"/>
      <c r="C156" s="3798" t="s">
        <v>1251</v>
      </c>
      <c r="D156" s="3799"/>
      <c r="E156" s="3800"/>
      <c r="F156" s="3801" t="s">
        <v>1245</v>
      </c>
      <c r="G156" s="3802">
        <v>235</v>
      </c>
      <c r="H156" s="3813"/>
      <c r="I156" s="3818">
        <v>440</v>
      </c>
      <c r="J156" s="527"/>
      <c r="K156" s="907"/>
      <c r="L156" s="907"/>
      <c r="M156" s="51"/>
      <c r="N156" s="3928" t="s">
        <v>1822</v>
      </c>
      <c r="Q156" s="3928" t="s">
        <v>1832</v>
      </c>
    </row>
    <row r="157" spans="1:17" ht="20.25" customHeight="1" x14ac:dyDescent="0.2">
      <c r="A157" s="51"/>
      <c r="B157" s="3379"/>
      <c r="C157" s="3798" t="s">
        <v>1252</v>
      </c>
      <c r="D157" s="3799"/>
      <c r="E157" s="3800"/>
      <c r="F157" s="3801" t="s">
        <v>4</v>
      </c>
      <c r="G157" s="3802">
        <v>170</v>
      </c>
      <c r="H157" s="3813">
        <v>170</v>
      </c>
      <c r="I157" s="3818">
        <v>150</v>
      </c>
      <c r="J157" s="527" t="s">
        <v>1253</v>
      </c>
      <c r="K157" s="907"/>
      <c r="L157" s="907"/>
      <c r="M157" s="51"/>
      <c r="N157" s="3928" t="s">
        <v>1821</v>
      </c>
    </row>
    <row r="158" spans="1:17" ht="20.25" customHeight="1" x14ac:dyDescent="0.2">
      <c r="A158" s="51"/>
      <c r="B158" s="3379"/>
      <c r="C158" s="3798" t="s">
        <v>1254</v>
      </c>
      <c r="D158" s="3799"/>
      <c r="E158" s="3800"/>
      <c r="F158" s="3801" t="s">
        <v>4</v>
      </c>
      <c r="G158" s="3802" t="s">
        <v>1255</v>
      </c>
      <c r="H158" s="3814" t="s">
        <v>1256</v>
      </c>
      <c r="I158" s="3819" t="s">
        <v>1763</v>
      </c>
      <c r="J158" s="527" t="s">
        <v>1253</v>
      </c>
      <c r="K158" s="907"/>
      <c r="L158" s="907"/>
      <c r="M158" s="51"/>
      <c r="N158" s="3928" t="s">
        <v>1826</v>
      </c>
    </row>
    <row r="159" spans="1:17" ht="20.25" customHeight="1" x14ac:dyDescent="0.2">
      <c r="A159" s="51"/>
      <c r="B159" s="3379"/>
      <c r="C159" s="3798" t="s">
        <v>1257</v>
      </c>
      <c r="D159" s="3799"/>
      <c r="E159" s="3800"/>
      <c r="F159" s="3801" t="s">
        <v>4</v>
      </c>
      <c r="G159" s="3802">
        <v>190</v>
      </c>
      <c r="H159" s="3814">
        <v>220</v>
      </c>
      <c r="I159" s="3819">
        <v>220</v>
      </c>
      <c r="J159" s="527" t="s">
        <v>1258</v>
      </c>
      <c r="K159" s="907"/>
      <c r="L159" s="907"/>
      <c r="M159" s="51"/>
      <c r="N159" s="3928" t="s">
        <v>1821</v>
      </c>
    </row>
    <row r="160" spans="1:17" ht="20.25" customHeight="1" x14ac:dyDescent="0.2">
      <c r="A160" s="51"/>
      <c r="B160" s="3379"/>
      <c r="C160" s="3798" t="s">
        <v>1259</v>
      </c>
      <c r="D160" s="3799"/>
      <c r="E160" s="3799"/>
      <c r="F160" s="3801" t="s">
        <v>1245</v>
      </c>
      <c r="G160" s="3802">
        <v>100</v>
      </c>
      <c r="H160" s="3813">
        <v>100</v>
      </c>
      <c r="I160" s="3818">
        <v>100</v>
      </c>
      <c r="J160" s="527" t="s">
        <v>1260</v>
      </c>
      <c r="K160" s="907"/>
      <c r="L160" s="907"/>
      <c r="M160" s="51"/>
      <c r="N160" s="3928" t="s">
        <v>1828</v>
      </c>
    </row>
    <row r="161" spans="1:16" ht="20.25" customHeight="1" x14ac:dyDescent="0.2">
      <c r="A161" s="51"/>
      <c r="B161" s="3379"/>
      <c r="C161" s="3798" t="s">
        <v>1059</v>
      </c>
      <c r="D161" s="3799"/>
      <c r="E161" s="3800"/>
      <c r="F161" s="3801" t="s">
        <v>4</v>
      </c>
      <c r="G161" s="3802">
        <v>400</v>
      </c>
      <c r="H161" s="3813">
        <v>400</v>
      </c>
      <c r="I161" s="3818">
        <v>400</v>
      </c>
      <c r="J161" s="527" t="s">
        <v>1253</v>
      </c>
      <c r="K161" s="907"/>
      <c r="L161" s="907"/>
      <c r="M161" s="51"/>
      <c r="N161" s="3928" t="s">
        <v>1821</v>
      </c>
    </row>
    <row r="162" spans="1:16" ht="20.25" customHeight="1" x14ac:dyDescent="0.2">
      <c r="A162" s="51"/>
      <c r="B162" s="3379"/>
      <c r="C162" s="3798" t="s">
        <v>1261</v>
      </c>
      <c r="D162" s="3799"/>
      <c r="E162" s="3800"/>
      <c r="F162" s="3801" t="s">
        <v>4</v>
      </c>
      <c r="G162" s="3802" t="s">
        <v>1866</v>
      </c>
      <c r="H162" s="3813">
        <v>0.17</v>
      </c>
      <c r="I162" s="3818">
        <v>450</v>
      </c>
      <c r="J162" s="3803"/>
      <c r="K162" s="907"/>
      <c r="L162" s="907"/>
      <c r="M162" s="51"/>
      <c r="N162" s="3928" t="s">
        <v>1820</v>
      </c>
    </row>
    <row r="163" spans="1:16" ht="20.25" customHeight="1" x14ac:dyDescent="0.2">
      <c r="A163" s="51"/>
      <c r="B163" s="3379"/>
      <c r="C163" s="3798" t="s">
        <v>1263</v>
      </c>
      <c r="D163" s="3799"/>
      <c r="E163" s="3800"/>
      <c r="F163" s="3801" t="s">
        <v>1245</v>
      </c>
      <c r="G163" s="3802">
        <v>3500</v>
      </c>
      <c r="H163" s="3813"/>
      <c r="I163" s="3818">
        <v>500</v>
      </c>
      <c r="J163" s="527"/>
      <c r="K163" s="907"/>
      <c r="L163" s="907"/>
      <c r="M163" s="51"/>
      <c r="N163" s="3928" t="s">
        <v>1829</v>
      </c>
    </row>
    <row r="164" spans="1:16" ht="20.25" customHeight="1" x14ac:dyDescent="0.2">
      <c r="A164" s="51"/>
      <c r="B164" s="3379"/>
      <c r="C164" s="3798" t="s">
        <v>1264</v>
      </c>
      <c r="D164" s="3799"/>
      <c r="E164" s="3800"/>
      <c r="F164" s="3801" t="s">
        <v>1262</v>
      </c>
      <c r="G164" s="3802">
        <v>0.17</v>
      </c>
      <c r="H164" s="3813">
        <v>0.17</v>
      </c>
      <c r="I164" s="3818">
        <v>1350</v>
      </c>
      <c r="J164" s="527"/>
      <c r="K164" s="907"/>
      <c r="L164" s="907"/>
      <c r="N164" s="4012" t="s">
        <v>1855</v>
      </c>
    </row>
    <row r="165" spans="1:16" ht="20.25" customHeight="1" x14ac:dyDescent="0.2">
      <c r="A165" s="51"/>
      <c r="B165" s="3379"/>
      <c r="C165" s="3798" t="s">
        <v>1265</v>
      </c>
      <c r="D165" s="3799"/>
      <c r="E165" s="3800"/>
      <c r="F165" s="3801" t="s">
        <v>1245</v>
      </c>
      <c r="G165" s="3802">
        <v>1600</v>
      </c>
      <c r="H165" s="3813">
        <v>1800</v>
      </c>
      <c r="I165" s="3818">
        <v>1800</v>
      </c>
      <c r="J165" s="527"/>
      <c r="K165" s="907"/>
      <c r="L165" s="907"/>
      <c r="N165" s="3927" t="s">
        <v>1826</v>
      </c>
    </row>
    <row r="166" spans="1:16" ht="20.25" customHeight="1" x14ac:dyDescent="0.2">
      <c r="A166" s="51"/>
      <c r="B166" s="3379"/>
      <c r="C166" s="3798" t="s">
        <v>1266</v>
      </c>
      <c r="D166" s="3799"/>
      <c r="E166" s="3800"/>
      <c r="F166" s="3801" t="s">
        <v>1267</v>
      </c>
      <c r="G166" s="3802">
        <v>0.2</v>
      </c>
      <c r="H166" s="3813"/>
      <c r="I166" s="3818">
        <v>0.2</v>
      </c>
      <c r="J166" s="527"/>
      <c r="K166" s="907"/>
      <c r="L166" s="907"/>
      <c r="N166" s="3927" t="s">
        <v>1826</v>
      </c>
    </row>
    <row r="167" spans="1:16" ht="20.25" customHeight="1" thickBot="1" x14ac:dyDescent="0.25">
      <c r="A167" s="51"/>
      <c r="B167" s="3379"/>
      <c r="C167" s="3804"/>
      <c r="D167" s="3805"/>
      <c r="E167" s="3805"/>
      <c r="F167" s="3806"/>
      <c r="G167" s="3807"/>
      <c r="H167" s="3815"/>
      <c r="I167" s="3818"/>
      <c r="J167" s="3808"/>
      <c r="K167" s="907"/>
      <c r="L167" s="907"/>
    </row>
    <row r="168" spans="1:16" ht="20.25" customHeight="1" x14ac:dyDescent="0.2">
      <c r="A168" s="51"/>
      <c r="B168" s="530"/>
      <c r="C168" s="907" t="s">
        <v>1268</v>
      </c>
      <c r="D168" s="907"/>
      <c r="E168" s="907"/>
      <c r="F168" s="907"/>
      <c r="G168" s="907"/>
      <c r="H168" s="907"/>
      <c r="I168" s="907"/>
      <c r="J168" s="907"/>
      <c r="K168" s="907"/>
      <c r="L168" s="907"/>
    </row>
    <row r="173" spans="1:16" ht="23.25" x14ac:dyDescent="0.35">
      <c r="C173" s="3367" t="s">
        <v>1269</v>
      </c>
      <c r="D173" s="3368"/>
      <c r="E173" s="3368"/>
      <c r="F173" s="3368"/>
      <c r="G173" s="3368"/>
      <c r="H173" s="3368"/>
      <c r="I173" s="3368"/>
      <c r="J173" s="3368"/>
      <c r="K173" s="4244" t="s">
        <v>1870</v>
      </c>
      <c r="L173" s="4244"/>
      <c r="M173" s="4244"/>
      <c r="N173" s="3368"/>
      <c r="O173" s="3368"/>
      <c r="P173" s="3368"/>
    </row>
    <row r="174" spans="1:16" x14ac:dyDescent="0.2">
      <c r="C174"/>
      <c r="D174"/>
      <c r="E174"/>
      <c r="F174"/>
      <c r="G174"/>
      <c r="H174"/>
      <c r="I174"/>
      <c r="J174"/>
      <c r="K174"/>
      <c r="L174"/>
      <c r="M174"/>
    </row>
    <row r="175" spans="1:16" ht="18.75" customHeight="1" x14ac:dyDescent="0.2">
      <c r="C175" s="3380" t="s">
        <v>1270</v>
      </c>
      <c r="D175" s="3381"/>
      <c r="E175" s="3381"/>
      <c r="F175" s="3381"/>
      <c r="G175" s="3381"/>
      <c r="H175" s="3381"/>
      <c r="I175" s="3381"/>
      <c r="J175" s="3381"/>
      <c r="K175" s="3381"/>
      <c r="L175" s="530"/>
      <c r="M175" s="530"/>
      <c r="N175" s="530"/>
    </row>
    <row r="176" spans="1:16" ht="18.75" customHeight="1" thickBot="1" x14ac:dyDescent="0.25">
      <c r="C176" s="3382"/>
      <c r="D176" s="3383"/>
      <c r="E176" s="3381"/>
      <c r="F176" s="3381"/>
      <c r="G176" s="3381"/>
      <c r="H176" s="3381"/>
      <c r="I176" s="3381"/>
      <c r="J176" s="3381"/>
      <c r="K176" s="3381"/>
      <c r="L176" s="530"/>
      <c r="M176" s="530"/>
      <c r="N176" s="3376">
        <v>2013</v>
      </c>
      <c r="O176" s="3384">
        <v>2020</v>
      </c>
    </row>
    <row r="177" spans="3:16" ht="18.75" customHeight="1" x14ac:dyDescent="0.2">
      <c r="C177" s="3385" t="s">
        <v>1271</v>
      </c>
      <c r="D177" s="3386"/>
      <c r="E177" s="3386"/>
      <c r="F177" s="3386"/>
      <c r="G177" s="3386"/>
      <c r="H177" s="3386"/>
      <c r="I177" s="3386"/>
      <c r="J177" s="4231" t="s">
        <v>1272</v>
      </c>
      <c r="K177" s="4245"/>
      <c r="L177" s="4231" t="s">
        <v>1273</v>
      </c>
      <c r="M177" s="4245"/>
      <c r="N177" s="4231" t="s">
        <v>1274</v>
      </c>
      <c r="O177" s="4232"/>
    </row>
    <row r="178" spans="3:16" ht="18.75" customHeight="1" x14ac:dyDescent="0.2">
      <c r="C178" s="3387"/>
      <c r="D178" s="542"/>
      <c r="E178" s="542"/>
      <c r="F178" s="542"/>
      <c r="G178" s="542"/>
      <c r="H178" s="542"/>
      <c r="I178" s="542"/>
      <c r="J178" s="4233" t="s">
        <v>254</v>
      </c>
      <c r="K178" s="4234"/>
      <c r="L178" s="4233" t="s">
        <v>1275</v>
      </c>
      <c r="M178" s="4234"/>
      <c r="N178" s="4235" t="s">
        <v>1276</v>
      </c>
      <c r="O178" s="4236"/>
    </row>
    <row r="179" spans="3:16" ht="18.75" customHeight="1" x14ac:dyDescent="0.2">
      <c r="C179" s="3388" t="s">
        <v>1277</v>
      </c>
      <c r="D179" s="3389"/>
      <c r="E179" s="3389" t="s">
        <v>1278</v>
      </c>
      <c r="F179" s="3389"/>
      <c r="G179" s="3389"/>
      <c r="H179" s="3389"/>
      <c r="I179" s="3389"/>
      <c r="J179" s="3390" t="s">
        <v>1279</v>
      </c>
      <c r="K179" s="3391"/>
      <c r="L179" s="4246" t="s">
        <v>1280</v>
      </c>
      <c r="M179" s="4247"/>
      <c r="N179" s="3392">
        <v>150</v>
      </c>
      <c r="O179" s="3393">
        <v>150</v>
      </c>
      <c r="P179" s="3885" t="s">
        <v>1777</v>
      </c>
    </row>
    <row r="180" spans="3:16" ht="18.75" customHeight="1" x14ac:dyDescent="0.2">
      <c r="C180" s="3394"/>
      <c r="D180" s="3378"/>
      <c r="E180" s="3378" t="s">
        <v>1281</v>
      </c>
      <c r="F180" s="3378"/>
      <c r="G180" s="3378"/>
      <c r="H180" s="3378"/>
      <c r="I180" s="3378"/>
      <c r="J180" s="3395" t="s">
        <v>1282</v>
      </c>
      <c r="K180" s="3396"/>
      <c r="L180" s="4252" t="s">
        <v>1283</v>
      </c>
      <c r="M180" s="4253"/>
      <c r="N180" s="3397">
        <v>170</v>
      </c>
      <c r="O180" s="3393">
        <v>170</v>
      </c>
    </row>
    <row r="181" spans="3:16" ht="18.75" customHeight="1" x14ac:dyDescent="0.2">
      <c r="C181" s="3394"/>
      <c r="D181" s="3378"/>
      <c r="E181" s="3378" t="s">
        <v>1284</v>
      </c>
      <c r="F181" s="3378"/>
      <c r="G181" s="3378"/>
      <c r="H181" s="3378"/>
      <c r="I181" s="3378"/>
      <c r="J181" s="3395" t="s">
        <v>1285</v>
      </c>
      <c r="K181" s="3396"/>
      <c r="L181" s="4252" t="s">
        <v>1280</v>
      </c>
      <c r="M181" s="4253"/>
      <c r="N181" s="3397">
        <v>150</v>
      </c>
      <c r="O181" s="3393">
        <v>150</v>
      </c>
    </row>
    <row r="182" spans="3:16" ht="18.75" customHeight="1" x14ac:dyDescent="0.2">
      <c r="C182" s="3394"/>
      <c r="D182" s="3378"/>
      <c r="E182" s="3378" t="s">
        <v>1286</v>
      </c>
      <c r="F182" s="3378"/>
      <c r="G182" s="3378"/>
      <c r="H182" s="3378"/>
      <c r="I182" s="3378"/>
      <c r="J182" s="3395">
        <v>70</v>
      </c>
      <c r="K182" s="3396"/>
      <c r="L182" s="4252" t="s">
        <v>1287</v>
      </c>
      <c r="M182" s="4253"/>
      <c r="N182" s="3397">
        <v>230</v>
      </c>
      <c r="O182" s="3393">
        <v>230</v>
      </c>
    </row>
    <row r="183" spans="3:16" ht="18.75" customHeight="1" x14ac:dyDescent="0.2">
      <c r="C183" s="3394"/>
      <c r="D183" s="3378"/>
      <c r="E183" s="3378" t="s">
        <v>1288</v>
      </c>
      <c r="F183" s="3378"/>
      <c r="G183" s="3378"/>
      <c r="H183" s="3378"/>
      <c r="I183" s="3378"/>
      <c r="J183" s="3395" t="s">
        <v>1289</v>
      </c>
      <c r="K183" s="3396"/>
      <c r="L183" s="4252" t="s">
        <v>1280</v>
      </c>
      <c r="M183" s="4253"/>
      <c r="N183" s="3397" t="s">
        <v>1764</v>
      </c>
      <c r="O183" s="3882" t="s">
        <v>1764</v>
      </c>
    </row>
    <row r="184" spans="3:16" ht="18.75" customHeight="1" x14ac:dyDescent="0.2">
      <c r="C184" s="3394"/>
      <c r="D184" s="3378"/>
      <c r="E184" s="3378" t="s">
        <v>1290</v>
      </c>
      <c r="F184" s="3378"/>
      <c r="G184" s="3378"/>
      <c r="H184" s="3378"/>
      <c r="I184" s="3378"/>
      <c r="J184" s="3395">
        <v>150</v>
      </c>
      <c r="K184" s="3396"/>
      <c r="L184" s="4254" t="s">
        <v>1283</v>
      </c>
      <c r="M184" s="4255"/>
      <c r="N184" s="3397">
        <v>230</v>
      </c>
      <c r="O184" s="3393">
        <v>230</v>
      </c>
    </row>
    <row r="185" spans="3:16" ht="18.75" customHeight="1" x14ac:dyDescent="0.2">
      <c r="C185" s="3398" t="s">
        <v>1291</v>
      </c>
      <c r="D185" s="3399"/>
      <c r="E185" s="3399" t="s">
        <v>1292</v>
      </c>
      <c r="F185" s="3399"/>
      <c r="G185" s="3399"/>
      <c r="H185" s="3399"/>
      <c r="I185" s="3399"/>
      <c r="J185" s="3400" t="s">
        <v>1293</v>
      </c>
      <c r="K185" s="3401"/>
      <c r="L185" s="4256" t="s">
        <v>1283</v>
      </c>
      <c r="M185" s="4257"/>
      <c r="N185" s="3402" t="s">
        <v>1765</v>
      </c>
      <c r="O185" s="3882" t="s">
        <v>1765</v>
      </c>
    </row>
    <row r="186" spans="3:16" ht="18.75" customHeight="1" x14ac:dyDescent="0.2">
      <c r="C186" s="3394"/>
      <c r="D186" s="3378"/>
      <c r="E186" s="3378" t="s">
        <v>1294</v>
      </c>
      <c r="F186" s="3378"/>
      <c r="G186" s="3378"/>
      <c r="H186" s="3378"/>
      <c r="I186" s="3378"/>
      <c r="J186" s="3395" t="s">
        <v>1293</v>
      </c>
      <c r="K186" s="3396"/>
      <c r="L186" s="4254" t="s">
        <v>1287</v>
      </c>
      <c r="M186" s="4255"/>
      <c r="N186" s="3397" t="s">
        <v>1331</v>
      </c>
      <c r="O186" s="3882" t="s">
        <v>1331</v>
      </c>
    </row>
    <row r="187" spans="3:16" ht="18.75" customHeight="1" x14ac:dyDescent="0.2">
      <c r="C187" s="3398" t="s">
        <v>1295</v>
      </c>
      <c r="D187" s="3399"/>
      <c r="E187" s="3399" t="s">
        <v>1296</v>
      </c>
      <c r="F187" s="3399"/>
      <c r="G187" s="3399"/>
      <c r="H187" s="3399"/>
      <c r="I187" s="3399"/>
      <c r="J187" s="3400">
        <v>20</v>
      </c>
      <c r="K187" s="3401"/>
      <c r="L187" s="4256" t="s">
        <v>1283</v>
      </c>
      <c r="M187" s="4257"/>
      <c r="N187" s="3402">
        <v>90</v>
      </c>
      <c r="O187" s="3393">
        <v>90</v>
      </c>
    </row>
    <row r="188" spans="3:16" ht="18.75" customHeight="1" x14ac:dyDescent="0.2">
      <c r="C188" s="3394"/>
      <c r="D188" s="3378"/>
      <c r="E188" s="3378" t="s">
        <v>1297</v>
      </c>
      <c r="F188" s="3378"/>
      <c r="G188" s="3378"/>
      <c r="H188" s="3378"/>
      <c r="I188" s="3378"/>
      <c r="J188" s="3395">
        <v>35</v>
      </c>
      <c r="K188" s="3396"/>
      <c r="L188" s="4252" t="s">
        <v>1283</v>
      </c>
      <c r="M188" s="4253"/>
      <c r="N188" s="3397">
        <v>125</v>
      </c>
      <c r="O188" s="3882">
        <v>125</v>
      </c>
    </row>
    <row r="189" spans="3:16" ht="18.75" customHeight="1" x14ac:dyDescent="0.2">
      <c r="C189" s="3394"/>
      <c r="D189" s="3378"/>
      <c r="E189" s="3378" t="s">
        <v>1298</v>
      </c>
      <c r="F189" s="3378"/>
      <c r="G189" s="3378"/>
      <c r="H189" s="3378"/>
      <c r="I189" s="3378"/>
      <c r="J189" s="3395">
        <v>30</v>
      </c>
      <c r="K189" s="3396"/>
      <c r="L189" s="4254" t="s">
        <v>1287</v>
      </c>
      <c r="M189" s="4255"/>
      <c r="N189" s="3397">
        <v>90</v>
      </c>
      <c r="O189" s="3882">
        <v>90</v>
      </c>
    </row>
    <row r="190" spans="3:16" ht="18.75" customHeight="1" x14ac:dyDescent="0.2">
      <c r="C190" s="3398" t="s">
        <v>1299</v>
      </c>
      <c r="D190" s="3399"/>
      <c r="E190" s="3399" t="s">
        <v>1300</v>
      </c>
      <c r="F190" s="3399"/>
      <c r="G190" s="3399"/>
      <c r="H190" s="3399"/>
      <c r="I190" s="3399"/>
      <c r="J190" s="3400" t="s">
        <v>1301</v>
      </c>
      <c r="K190" s="3401"/>
      <c r="L190" s="4256" t="s">
        <v>1283</v>
      </c>
      <c r="M190" s="4257"/>
      <c r="N190" s="3402" t="s">
        <v>1766</v>
      </c>
      <c r="O190" s="3882" t="s">
        <v>1766</v>
      </c>
    </row>
    <row r="191" spans="3:16" ht="18.75" customHeight="1" x14ac:dyDescent="0.2">
      <c r="C191" s="3394"/>
      <c r="D191" s="3378"/>
      <c r="E191" s="3378" t="s">
        <v>1302</v>
      </c>
      <c r="F191" s="3378"/>
      <c r="G191" s="3378"/>
      <c r="H191" s="3378"/>
      <c r="I191" s="3378"/>
      <c r="J191" s="3395" t="s">
        <v>1301</v>
      </c>
      <c r="K191" s="3396"/>
      <c r="L191" s="4252" t="s">
        <v>1283</v>
      </c>
      <c r="M191" s="4253"/>
      <c r="N191" s="3397" t="s">
        <v>1766</v>
      </c>
      <c r="O191" s="3882" t="s">
        <v>1766</v>
      </c>
    </row>
    <row r="192" spans="3:16" ht="18.75" customHeight="1" x14ac:dyDescent="0.2">
      <c r="C192" s="3394"/>
      <c r="D192" s="3378"/>
      <c r="E192" s="3378" t="s">
        <v>1303</v>
      </c>
      <c r="F192" s="3378"/>
      <c r="G192" s="3378"/>
      <c r="H192" s="3378"/>
      <c r="I192" s="3378"/>
      <c r="J192" s="3395" t="s">
        <v>1304</v>
      </c>
      <c r="K192" s="3396"/>
      <c r="L192" s="4252" t="s">
        <v>1305</v>
      </c>
      <c r="M192" s="4253"/>
      <c r="N192" s="3397" t="s">
        <v>1767</v>
      </c>
      <c r="O192" s="3882" t="s">
        <v>1767</v>
      </c>
    </row>
    <row r="193" spans="3:16" ht="18.75" customHeight="1" x14ac:dyDescent="0.2">
      <c r="C193" s="3394"/>
      <c r="D193" s="3378"/>
      <c r="E193" s="3378" t="s">
        <v>1306</v>
      </c>
      <c r="F193" s="3378"/>
      <c r="G193" s="3378"/>
      <c r="H193" s="3378"/>
      <c r="I193" s="3378"/>
      <c r="J193" s="3395" t="s">
        <v>1307</v>
      </c>
      <c r="K193" s="3396"/>
      <c r="L193" s="4252" t="s">
        <v>1280</v>
      </c>
      <c r="M193" s="4253"/>
      <c r="N193" s="3397"/>
      <c r="O193" s="3393"/>
      <c r="P193" s="474" t="s">
        <v>1308</v>
      </c>
    </row>
    <row r="194" spans="3:16" ht="18.75" customHeight="1" x14ac:dyDescent="0.2">
      <c r="C194" s="3394"/>
      <c r="D194" s="3378"/>
      <c r="E194" s="3378" t="s">
        <v>1309</v>
      </c>
      <c r="F194" s="3378"/>
      <c r="G194" s="3378"/>
      <c r="H194" s="3378"/>
      <c r="I194" s="3378"/>
      <c r="J194" s="3395" t="s">
        <v>1310</v>
      </c>
      <c r="K194" s="3396"/>
      <c r="L194" s="4252" t="s">
        <v>1283</v>
      </c>
      <c r="M194" s="4253"/>
      <c r="N194" s="3397" t="s">
        <v>1768</v>
      </c>
      <c r="O194" s="3882" t="s">
        <v>1768</v>
      </c>
    </row>
    <row r="195" spans="3:16" ht="18.75" customHeight="1" x14ac:dyDescent="0.2">
      <c r="C195" s="3394"/>
      <c r="D195" s="3378"/>
      <c r="E195" s="3378" t="s">
        <v>1311</v>
      </c>
      <c r="F195" s="3378"/>
      <c r="G195" s="3378"/>
      <c r="H195" s="3378"/>
      <c r="I195" s="3378"/>
      <c r="J195" s="3395" t="s">
        <v>1310</v>
      </c>
      <c r="K195" s="3396"/>
      <c r="L195" s="4252" t="s">
        <v>1283</v>
      </c>
      <c r="M195" s="4253"/>
      <c r="N195" s="3397" t="s">
        <v>1769</v>
      </c>
      <c r="O195" s="3882" t="s">
        <v>1769</v>
      </c>
    </row>
    <row r="196" spans="3:16" ht="18.75" customHeight="1" x14ac:dyDescent="0.2">
      <c r="C196" s="3394"/>
      <c r="D196" s="3378"/>
      <c r="E196" s="3378" t="s">
        <v>1312</v>
      </c>
      <c r="F196" s="3378"/>
      <c r="G196" s="3378"/>
      <c r="H196" s="3378"/>
      <c r="I196" s="3378"/>
      <c r="J196" s="3395" t="s">
        <v>1310</v>
      </c>
      <c r="K196" s="3396"/>
      <c r="L196" s="4252" t="s">
        <v>1283</v>
      </c>
      <c r="M196" s="4253"/>
      <c r="N196" s="3397" t="s">
        <v>1770</v>
      </c>
      <c r="O196" s="3882" t="s">
        <v>1770</v>
      </c>
    </row>
    <row r="197" spans="3:16" ht="18.75" customHeight="1" x14ac:dyDescent="0.2">
      <c r="C197" s="3394"/>
      <c r="D197" s="3378"/>
      <c r="E197" s="3378" t="s">
        <v>1313</v>
      </c>
      <c r="F197" s="3378"/>
      <c r="G197" s="3378"/>
      <c r="H197" s="3378"/>
      <c r="I197" s="3378"/>
      <c r="J197" s="3395" t="s">
        <v>1310</v>
      </c>
      <c r="K197" s="3396"/>
      <c r="L197" s="4254" t="s">
        <v>1283</v>
      </c>
      <c r="M197" s="4255"/>
      <c r="N197" s="3397" t="s">
        <v>1771</v>
      </c>
      <c r="O197" s="3882" t="s">
        <v>1771</v>
      </c>
    </row>
    <row r="198" spans="3:16" ht="18.75" customHeight="1" x14ac:dyDescent="0.2">
      <c r="C198" s="3398" t="s">
        <v>1314</v>
      </c>
      <c r="D198" s="3399"/>
      <c r="E198" s="3399" t="s">
        <v>1315</v>
      </c>
      <c r="F198" s="3399"/>
      <c r="G198" s="3399"/>
      <c r="H198" s="3399"/>
      <c r="I198" s="3399"/>
      <c r="J198" s="3400" t="s">
        <v>1285</v>
      </c>
      <c r="K198" s="3401"/>
      <c r="L198" s="4256" t="s">
        <v>1287</v>
      </c>
      <c r="M198" s="4257"/>
      <c r="N198" s="3402" t="s">
        <v>1772</v>
      </c>
      <c r="O198" s="3882" t="s">
        <v>1772</v>
      </c>
    </row>
    <row r="199" spans="3:16" ht="18.75" customHeight="1" x14ac:dyDescent="0.2">
      <c r="C199" s="3394"/>
      <c r="D199" s="3378"/>
      <c r="E199" s="3378" t="s">
        <v>1316</v>
      </c>
      <c r="F199" s="3378"/>
      <c r="G199" s="3378"/>
      <c r="H199" s="3378"/>
      <c r="I199" s="3378"/>
      <c r="J199" s="3395" t="s">
        <v>1317</v>
      </c>
      <c r="K199" s="3396"/>
      <c r="L199" s="4254" t="s">
        <v>1318</v>
      </c>
      <c r="M199" s="4255"/>
      <c r="N199" s="3397">
        <v>107</v>
      </c>
      <c r="O199" s="3393">
        <v>107</v>
      </c>
    </row>
    <row r="200" spans="3:16" ht="18.75" customHeight="1" x14ac:dyDescent="0.2">
      <c r="C200" s="3398" t="s">
        <v>1319</v>
      </c>
      <c r="D200" s="3399"/>
      <c r="E200" s="3399" t="s">
        <v>1320</v>
      </c>
      <c r="F200" s="3399"/>
      <c r="G200" s="3399"/>
      <c r="H200" s="3399"/>
      <c r="I200" s="3399"/>
      <c r="J200" s="3403" t="s">
        <v>1321</v>
      </c>
      <c r="K200" s="3404"/>
      <c r="L200" s="4256" t="s">
        <v>1280</v>
      </c>
      <c r="M200" s="4257"/>
      <c r="N200" s="3402" t="s">
        <v>1773</v>
      </c>
      <c r="O200" s="3882" t="s">
        <v>1773</v>
      </c>
    </row>
    <row r="201" spans="3:16" ht="18.75" customHeight="1" x14ac:dyDescent="0.2">
      <c r="C201" s="3394"/>
      <c r="D201" s="3378"/>
      <c r="E201" s="3378" t="s">
        <v>1322</v>
      </c>
      <c r="F201" s="3378"/>
      <c r="G201" s="3378"/>
      <c r="H201" s="3378"/>
      <c r="I201" s="3378"/>
      <c r="J201" s="3405" t="s">
        <v>1323</v>
      </c>
      <c r="K201" s="3406"/>
      <c r="L201" s="4252" t="s">
        <v>1283</v>
      </c>
      <c r="M201" s="4253"/>
      <c r="N201" s="3407"/>
      <c r="O201" s="3929" t="s">
        <v>1827</v>
      </c>
    </row>
    <row r="202" spans="3:16" ht="18.75" customHeight="1" x14ac:dyDescent="0.2">
      <c r="C202" s="3394"/>
      <c r="D202" s="3378"/>
      <c r="E202" s="3378" t="s">
        <v>1324</v>
      </c>
      <c r="F202" s="3378"/>
      <c r="G202" s="3378"/>
      <c r="H202" s="3378"/>
      <c r="I202" s="3378"/>
      <c r="J202" s="3405" t="s">
        <v>1325</v>
      </c>
      <c r="K202" s="3406"/>
      <c r="L202" s="4252" t="s">
        <v>1280</v>
      </c>
      <c r="M202" s="4253"/>
      <c r="N202" s="3397" t="s">
        <v>1774</v>
      </c>
      <c r="O202" s="3882" t="s">
        <v>1774</v>
      </c>
    </row>
    <row r="203" spans="3:16" ht="18.75" customHeight="1" x14ac:dyDescent="0.2">
      <c r="C203" s="3394"/>
      <c r="D203" s="3378"/>
      <c r="E203" s="3378" t="s">
        <v>1326</v>
      </c>
      <c r="F203" s="3378"/>
      <c r="G203" s="3378"/>
      <c r="H203" s="3378"/>
      <c r="I203" s="3378"/>
      <c r="J203" s="3405" t="s">
        <v>1327</v>
      </c>
      <c r="K203" s="3406"/>
      <c r="L203" s="4252" t="s">
        <v>1287</v>
      </c>
      <c r="M203" s="4253"/>
      <c r="N203" s="3397" t="s">
        <v>1775</v>
      </c>
      <c r="O203" s="3882" t="s">
        <v>1775</v>
      </c>
    </row>
    <row r="204" spans="3:16" ht="18.75" customHeight="1" x14ac:dyDescent="0.2">
      <c r="C204" s="3394"/>
      <c r="D204" s="3378"/>
      <c r="E204" s="3378" t="s">
        <v>1328</v>
      </c>
      <c r="F204" s="3378"/>
      <c r="G204" s="3378"/>
      <c r="H204" s="3378"/>
      <c r="I204" s="3378"/>
      <c r="J204" s="3405" t="s">
        <v>1329</v>
      </c>
      <c r="K204" s="3406"/>
      <c r="L204" s="4252" t="s">
        <v>1287</v>
      </c>
      <c r="M204" s="4253"/>
      <c r="N204" s="3397">
        <v>77</v>
      </c>
      <c r="O204" s="3393">
        <v>77</v>
      </c>
    </row>
    <row r="205" spans="3:16" ht="18.75" customHeight="1" thickBot="1" x14ac:dyDescent="0.25">
      <c r="C205" s="3408"/>
      <c r="D205" s="3409"/>
      <c r="E205" s="3409" t="s">
        <v>1330</v>
      </c>
      <c r="F205" s="3409"/>
      <c r="G205" s="3409"/>
      <c r="H205" s="3409"/>
      <c r="I205" s="3409"/>
      <c r="J205" s="3410" t="s">
        <v>1331</v>
      </c>
      <c r="K205" s="3411"/>
      <c r="L205" s="4258" t="s">
        <v>1318</v>
      </c>
      <c r="M205" s="4259"/>
      <c r="N205" s="3412" t="s">
        <v>1776</v>
      </c>
      <c r="O205" s="3883" t="s">
        <v>1776</v>
      </c>
    </row>
    <row r="206" spans="3:16" ht="18.75" customHeight="1" x14ac:dyDescent="0.2">
      <c r="C206" t="s">
        <v>1332</v>
      </c>
      <c r="D206"/>
      <c r="E206"/>
      <c r="F206"/>
      <c r="G206"/>
      <c r="H206"/>
      <c r="I206"/>
      <c r="J206"/>
      <c r="K206"/>
      <c r="L206"/>
      <c r="M206"/>
    </row>
  </sheetData>
  <mergeCells count="53">
    <mergeCell ref="L205:M205"/>
    <mergeCell ref="L199:M199"/>
    <mergeCell ref="L200:M200"/>
    <mergeCell ref="L201:M201"/>
    <mergeCell ref="L202:M202"/>
    <mergeCell ref="L203:M203"/>
    <mergeCell ref="L204:M204"/>
    <mergeCell ref="L185:M185"/>
    <mergeCell ref="L197:M197"/>
    <mergeCell ref="L198:M198"/>
    <mergeCell ref="L193:M193"/>
    <mergeCell ref="L194:M194"/>
    <mergeCell ref="L186:M186"/>
    <mergeCell ref="L187:M187"/>
    <mergeCell ref="L188:M188"/>
    <mergeCell ref="L189:M189"/>
    <mergeCell ref="L190:M190"/>
    <mergeCell ref="L191:M191"/>
    <mergeCell ref="L192:M192"/>
    <mergeCell ref="L195:M195"/>
    <mergeCell ref="L196:M196"/>
    <mergeCell ref="L180:M180"/>
    <mergeCell ref="L181:M181"/>
    <mergeCell ref="L182:M182"/>
    <mergeCell ref="L183:M183"/>
    <mergeCell ref="L184:M184"/>
    <mergeCell ref="L179:M179"/>
    <mergeCell ref="M128:N128"/>
    <mergeCell ref="J128:K128"/>
    <mergeCell ref="M117:N117"/>
    <mergeCell ref="C145:D145"/>
    <mergeCell ref="B115:N115"/>
    <mergeCell ref="B127:N127"/>
    <mergeCell ref="B113:N113"/>
    <mergeCell ref="N177:O177"/>
    <mergeCell ref="J178:K178"/>
    <mergeCell ref="L178:M178"/>
    <mergeCell ref="N178:O178"/>
    <mergeCell ref="J116:L116"/>
    <mergeCell ref="M116:N116"/>
    <mergeCell ref="G145:H145"/>
    <mergeCell ref="G146:H146"/>
    <mergeCell ref="K173:M173"/>
    <mergeCell ref="J177:K177"/>
    <mergeCell ref="L177:M177"/>
    <mergeCell ref="B1:D1"/>
    <mergeCell ref="B79:N79"/>
    <mergeCell ref="B102:N102"/>
    <mergeCell ref="H76:H78"/>
    <mergeCell ref="N76:N78"/>
    <mergeCell ref="J77:L77"/>
    <mergeCell ref="J76:L76"/>
    <mergeCell ref="M76:M78"/>
  </mergeCells>
  <phoneticPr fontId="0" type="noConversion"/>
  <dataValidations count="2">
    <dataValidation type="list" allowBlank="1" showInputMessage="1" showErrorMessage="1" sqref="N16">
      <formula1>$S$14:$S$19</formula1>
    </dataValidation>
    <dataValidation type="list" allowBlank="1" showInputMessage="1" showErrorMessage="1" sqref="N4">
      <formula1>$S$14:$S$18</formula1>
    </dataValidation>
  </dataValidations>
  <hyperlinks>
    <hyperlink ref="P44" location="'13)Grascobs 5Nutz.(a)'!A1" display="zu Cops"/>
  </hyperlinks>
  <printOptions horizontalCentered="1"/>
  <pageMargins left="0.5" right="0.28000000000000003" top="0.54" bottom="0.5" header="0.51181102362204722" footer="0.31496062992125984"/>
  <pageSetup paperSize="9" scale="62" firstPageNumber="15" fitToHeight="0" orientation="portrait" useFirstPageNumber="1" r:id="rId1"/>
  <headerFooter alignWithMargins="0">
    <oddFooter>&amp;L&amp;12LEL Schwäbisch Gmünd (Abtlg. II)
LAZBW Aulendorf&amp;C&amp;12 &amp;P&amp;R&amp;12&amp;F
&amp;A</oddFooter>
  </headerFooter>
  <rowBreaks count="1" manualBreakCount="1">
    <brk id="67" min="1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4150" r:id="rId4" name="Drop Down 22">
              <controlPr defaultSize="0" autoLine="0" autoPict="0">
                <anchor moveWithCells="1">
                  <from>
                    <xdr:col>10</xdr:col>
                    <xdr:colOff>38100</xdr:colOff>
                    <xdr:row>4</xdr:row>
                    <xdr:rowOff>57150</xdr:rowOff>
                  </from>
                  <to>
                    <xdr:col>12</xdr:col>
                    <xdr:colOff>676275</xdr:colOff>
                    <xdr:row>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1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693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3.950000000000003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694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393.73355466666663</v>
      </c>
      <c r="M17" s="2600">
        <f>K17</f>
        <v>1</v>
      </c>
      <c r="N17" s="2591">
        <f>M17*(N33*(1-$AC$14)+N34*(1-$AC$15)+N35*(1-$AC$16)+N36*(1-$AC$17))</f>
        <v>511.85362106666662</v>
      </c>
      <c r="O17" s="2601">
        <f>K17</f>
        <v>1</v>
      </c>
      <c r="P17" s="2590">
        <f>O17*(P33*(1-$AC$14)+P34*(1-$AC$15)+P35*(1-$AC$16)+P36*(1-$AC$17))</f>
        <v>629.97368746666666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85.6</v>
      </c>
      <c r="M27" s="804"/>
      <c r="N27" s="786">
        <f>SUM(N29:N30)</f>
        <v>85.6</v>
      </c>
      <c r="O27" s="330"/>
      <c r="P27" s="325">
        <f>SUM(P29:P30)</f>
        <v>85.6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80</v>
      </c>
      <c r="I29" s="711">
        <f>H29*($H$27+100)/100</f>
        <v>85.6</v>
      </c>
      <c r="J29" s="91"/>
      <c r="K29" s="440">
        <v>1</v>
      </c>
      <c r="L29" s="337">
        <f>$I29*K29</f>
        <v>85.6</v>
      </c>
      <c r="M29" s="440">
        <v>1</v>
      </c>
      <c r="N29" s="791">
        <f>$I29*M29</f>
        <v>85.6</v>
      </c>
      <c r="O29" s="440">
        <v>1</v>
      </c>
      <c r="P29" s="337">
        <f>$I29*O29</f>
        <v>85.6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446.60025666666667</v>
      </c>
      <c r="M31" s="819"/>
      <c r="N31" s="786">
        <f>SUM(N33:N36)</f>
        <v>580.58033366666666</v>
      </c>
      <c r="O31" s="334"/>
      <c r="P31" s="325">
        <f>SUM(P33:P36)</f>
        <v>714.56041066666671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1.08</v>
      </c>
      <c r="H33" s="386">
        <v>0</v>
      </c>
      <c r="I33"/>
      <c r="J33" s="172"/>
      <c r="K33" s="336">
        <f>G33*$K$9+H33</f>
        <v>102.60000000000001</v>
      </c>
      <c r="L33" s="337">
        <f>K33*$E33</f>
        <v>176.22234</v>
      </c>
      <c r="M33" s="820">
        <f>G33*$M$9+H33</f>
        <v>133.38</v>
      </c>
      <c r="N33" s="791">
        <f>M33*$E33</f>
        <v>229.08904200000001</v>
      </c>
      <c r="O33" s="336">
        <f>G33*$O$9+H33</f>
        <v>164.16000000000003</v>
      </c>
      <c r="P33" s="337">
        <f>O33*$E33</f>
        <v>281.95574400000004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0.92</v>
      </c>
      <c r="H34" s="386"/>
      <c r="I34"/>
      <c r="J34" s="172"/>
      <c r="K34" s="336">
        <f>G34*$K$9+H34</f>
        <v>87.4</v>
      </c>
      <c r="L34" s="337">
        <f>K34*$E34</f>
        <v>98.805699999999987</v>
      </c>
      <c r="M34" s="820">
        <f>G34*$M$9+H34</f>
        <v>113.62</v>
      </c>
      <c r="N34" s="791">
        <f>M34*$E34</f>
        <v>128.44740999999999</v>
      </c>
      <c r="O34" s="336">
        <f>G34*$O$9+H34</f>
        <v>139.84</v>
      </c>
      <c r="P34" s="337">
        <f>O34*$E34</f>
        <v>158.08911999999998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1.52</v>
      </c>
      <c r="H35" s="386"/>
      <c r="I35"/>
      <c r="J35" s="172"/>
      <c r="K35" s="336">
        <f>G35*$K$9+H35</f>
        <v>144.4</v>
      </c>
      <c r="L35" s="337">
        <f>K35*$E35</f>
        <v>151.78846666666666</v>
      </c>
      <c r="M35" s="820">
        <f>G35*$M$9+H35</f>
        <v>187.72</v>
      </c>
      <c r="N35" s="791">
        <f>M35*$E35</f>
        <v>197.32500666666664</v>
      </c>
      <c r="O35" s="336">
        <f>G35*$O$9+H35</f>
        <v>231.04</v>
      </c>
      <c r="P35" s="337">
        <f>O35*$E35</f>
        <v>242.86154666666664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33.25</v>
      </c>
      <c r="L36" s="333">
        <f>K36*$E36</f>
        <v>19.783749999999998</v>
      </c>
      <c r="M36" s="821">
        <f>G36*$M$9+H36</f>
        <v>43.224999999999994</v>
      </c>
      <c r="N36" s="792">
        <f>M36*$E36</f>
        <v>25.718874999999997</v>
      </c>
      <c r="O36" s="338">
        <f>G36*$O$9+H36</f>
        <v>53.199999999999996</v>
      </c>
      <c r="P36" s="333">
        <f>O36*$E36</f>
        <v>31.653999999999996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148.69305</v>
      </c>
      <c r="M58" s="826"/>
      <c r="N58" s="786">
        <f>SUM(N60:N62)</f>
        <v>193.30096499999999</v>
      </c>
      <c r="O58" s="344"/>
      <c r="P58" s="325">
        <f>SUM(P60:P62)</f>
        <v>237.90887999999998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11.132099999999998</v>
      </c>
      <c r="M65" s="1357"/>
      <c r="N65" s="786">
        <f>M66*$H66/100</f>
        <v>14.471729999999997</v>
      </c>
      <c r="O65" s="347"/>
      <c r="P65" s="325">
        <f>O66*$H66/100</f>
        <v>17.811360000000001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1.5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horizontalDpi="300" verticalDpi="300" r:id="rId1"/>
  <headerFooter alignWithMargins="0">
    <oddFooter>&amp;L&amp;12LEL Schwäbisch Gmünd (Abtlg. II)
LAZBW Aulendorf&amp;C&amp;12 104&amp;9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9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2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'43)Sudangras HF Biogas aF-(a)'!J2</f>
        <v>2022</v>
      </c>
      <c r="K2" s="2504" t="s">
        <v>858</v>
      </c>
      <c r="L2" s="2502"/>
      <c r="M2" s="2505"/>
      <c r="N2" s="2529"/>
      <c r="O2" s="2530" t="str">
        <f>'43)Sudangras HF Biogas aF-(a)'!M2</f>
        <v>Sudangras HF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6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'43)Sudangras HF Biogas aF-(a)'!H3</f>
        <v>HF = Hauptfrucht; Silage für Biogasanlage, 2-Schnitt-Nutzung: 1. Ende Juli/Anfang August 2. Ende Oktober; Rücklieferung Gärrest unter 100% Anrechung Netto-Nährstoffe (30% N-Verluste); ab Feld,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'43)Sudangras HF Biogas aF-(a)'!K5</f>
        <v>100</v>
      </c>
      <c r="N6" s="1735">
        <f>'43)Sudangras HF Biogas aF-(a)'!M5</f>
        <v>130</v>
      </c>
      <c r="O6" s="1743">
        <f>'43)Sudangras HF Biogas aF-(a)'!O5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'43)Sudangras HF Biogas aF-(a)'!K9</f>
        <v>95</v>
      </c>
      <c r="N7" s="1736">
        <f>'43)Sudangras HF Biogas aF-(a)'!M9</f>
        <v>123.5</v>
      </c>
      <c r="O7" s="1744">
        <f>'43)Sudangras HF Biogas aF-(a)'!O9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'43)Sudangras HF Biogas aF-(a)'!L9</f>
        <v>339.28571428571428</v>
      </c>
      <c r="N8" s="1737">
        <f>'43)Sudangras HF Biogas aF-(a)'!N9</f>
        <v>441.07142857142856</v>
      </c>
      <c r="O8" s="1583">
        <f>'43)Sudangras HF Biogas aF-(a)'!P9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'43)Sudangras HF Biogas aF-(a)'!K11</f>
        <v>88.35</v>
      </c>
      <c r="N9" s="1562">
        <f>'43)Sudangras HF Biogas aF-(a)'!M11</f>
        <v>114.855</v>
      </c>
      <c r="O9" s="1747">
        <f>'43)Sudangras HF Biogas aF-(a)'!O11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'43)Sudangras HF Biogas aF-(a)'!L11</f>
        <v>294.5</v>
      </c>
      <c r="N10" s="1582">
        <f>'43)Sudangras HF Biogas aF-(a)'!N11</f>
        <v>382.85</v>
      </c>
      <c r="O10" s="2014">
        <f>'43)Sudangras HF Biogas aF-(a)'!P11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'43)Sudangras HF Biogas aF-(a)'!L12</f>
        <v>43.308823529411768</v>
      </c>
      <c r="N11" s="1818">
        <f>'43)Sudangras HF Biogas aF-(a)'!N12</f>
        <v>56.301470588235297</v>
      </c>
      <c r="O11" s="1819">
        <f>'43)Sudangras HF Biogas aF-(a)'!P12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'43)Sudangras HF Biogas aF-(a)'!K15</f>
        <v>2473.7999999999997</v>
      </c>
      <c r="N12" s="1738">
        <f>'43)Sudangras HF Biogas aF-(a)'!M15</f>
        <v>3215.94</v>
      </c>
      <c r="O12" s="1745">
        <f>'43)Sudangras HF Biogas aF-(a)'!O15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'43)Sudangras HF Biogas aF-(a)'!K16</f>
        <v>89.056799999999996</v>
      </c>
      <c r="N13" s="2077">
        <f>'43)Sudangras HF Biogas aF-(a)'!M16</f>
        <v>115.77384000000001</v>
      </c>
      <c r="O13" s="2078">
        <f>'43)Sudangras HF Biogas aF-(a)'!O16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'43)Sudangras HF Biogas aF-(a)'!L24</f>
        <v>270</v>
      </c>
      <c r="N15" s="3338">
        <f>'43)Sudangras HF Biogas aF-(a)'!N24</f>
        <v>270</v>
      </c>
      <c r="O15" s="3341">
        <f>'43)Sudangras HF Biogas aF-(a)'!P24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'43)Sudangras HF Biogas aF-(a)'!L18</f>
        <v>0</v>
      </c>
      <c r="N16" s="1736">
        <f>'43)Sudangras HF Biogas aF-(a)'!N18</f>
        <v>0</v>
      </c>
      <c r="O16" s="3343">
        <f>'43)Sudangras HF Biogas aF-(a)'!P18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'43)Sudangras HF Biogas aF-(a)'!L27</f>
        <v>85.6</v>
      </c>
      <c r="N19" s="2072">
        <f>'43)Sudangras HF Biogas aF-(a)'!N27</f>
        <v>85.6</v>
      </c>
      <c r="O19" s="2072">
        <f>'43)Sudangras HF Biogas aF-(a)'!P27</f>
        <v>85.6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'43)Sudangras HF Biogas aF-(a)'!L31-'43)Sudangras HF Biogas aF-(a)'!L17</f>
        <v>52.866702000000032</v>
      </c>
      <c r="N20" s="1567">
        <f>'43)Sudangras HF Biogas aF-(a)'!N31-'43)Sudangras HF Biogas aF-(a)'!N17</f>
        <v>68.726712600000042</v>
      </c>
      <c r="O20" s="1567">
        <f>'43)Sudangras HF Biogas aF-(a)'!P31-'43)Sudangras HF Biogas aF-(a)'!P17</f>
        <v>84.586723200000051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'43)Sudangras HF Biogas aF-(a)'!L37</f>
        <v>35.997499999999995</v>
      </c>
      <c r="N21" s="1567">
        <f>'43)Sudangras HF Biogas aF-(a)'!N37</f>
        <v>35.997499999999995</v>
      </c>
      <c r="O21" s="1574">
        <f>'43)Sudangras HF Biogas aF-(a)'!P37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'43)Sudangras HF Biogas aF-(a)'!L65</f>
        <v>11.132099999999998</v>
      </c>
      <c r="N22" s="1567">
        <f>'43)Sudangras HF Biogas aF-(a)'!N65</f>
        <v>14.471729999999997</v>
      </c>
      <c r="O22" s="1574">
        <f>'43)Sudangras HF Biogas aF-(a)'!P65</f>
        <v>17.811360000000001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'43)Sudangras HF Biogas aF-(a)'!L67</f>
        <v>0</v>
      </c>
      <c r="N23" s="1567">
        <f>'43)Sudangras HF Biogas aF-(a)'!N67</f>
        <v>0</v>
      </c>
      <c r="O23" s="1574">
        <f>'43)Sudangras HF Biogas aF-(a)'!P67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'43)Sudangras HF Biogas aF-(a)'!L42</f>
        <v>188.10247435119999</v>
      </c>
      <c r="N24" s="1567">
        <f>'43)Sudangras HF Biogas aF-(a)'!N42</f>
        <v>188.10247435119999</v>
      </c>
      <c r="O24" s="1574">
        <f>'43)Sudangras HF Biogas aF-(a)'!P42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'43)Sudangras HF Biogas aF-(a)'!L58</f>
        <v>148.69305</v>
      </c>
      <c r="N25" s="1567">
        <f>'43)Sudangras HF Biogas aF-(a)'!N58</f>
        <v>193.30096499999999</v>
      </c>
      <c r="O25" s="1574">
        <f>'43)Sudangras HF Biogas aF-(a)'!P58</f>
        <v>237.90887999999998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'43)Sudangras HF Biogas aF-(a)'!L63</f>
        <v>0</v>
      </c>
      <c r="N26" s="1980">
        <f>'43)Sudangras HF Biogas aF-(a)'!N63</f>
        <v>0</v>
      </c>
      <c r="O26" s="1981">
        <f>'43)Sudangras HF Biogas aF-(a)'!P63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522.39182635120005</v>
      </c>
      <c r="N27" s="1775">
        <f>SUM(N19:N26)</f>
        <v>586.19938195120005</v>
      </c>
      <c r="O27" s="2055">
        <f>SUM(O19:O26)</f>
        <v>650.00693755120005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-522.39182635120005</v>
      </c>
      <c r="N28" s="2060">
        <f>-N27</f>
        <v>-586.19938195120005</v>
      </c>
      <c r="O28" s="2061">
        <f>-O27</f>
        <v>-650.00693755120005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M27*'43)Sudangras HF Biogas aF-(a)'!$L$70*'43)Sudangras HF Biogas aF-(a)'!$P$70/12/100</f>
        <v>3.2649489146950001</v>
      </c>
      <c r="N30" s="1980">
        <f>N27*'43)Sudangras HF Biogas aF-(a)'!$L$70*'43)Sudangras HF Biogas aF-(a)'!$P$70/12/100</f>
        <v>3.6637461371950009</v>
      </c>
      <c r="O30" s="1981">
        <f>O27*'43)Sudangras HF Biogas aF-(a)'!$L$70*'43)Sudangras HF Biogas aF-(a)'!$P$70/12/100</f>
        <v>4.0625433596950007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-255.65677526589505</v>
      </c>
      <c r="N31" s="1769">
        <f>N28+N29-N30</f>
        <v>-319.86312808839506</v>
      </c>
      <c r="O31" s="1776">
        <f>O28+O29-O30</f>
        <v>-384.06948091089504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-0.10334577381594919</v>
      </c>
      <c r="N32" s="1561">
        <f>IF(N12=0,0,N31/N12)</f>
        <v>-9.9461783518472069E-2</v>
      </c>
      <c r="O32" s="2047">
        <f>IF(O12=0,0,O31/O12)</f>
        <v>-9.7034289582548866E-2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-2.8707159393319213</v>
      </c>
      <c r="N33" s="1576">
        <f>IF(N13=0,0,N31/N13)</f>
        <v>-2.762827319957557</v>
      </c>
      <c r="O33" s="2052">
        <f>IF(O13=0,0,O31/O13)</f>
        <v>-2.6953969328485798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'43)Sudangras HF Biogas aF-(a)'!K57</f>
        <v>7.29</v>
      </c>
      <c r="N35" s="2396">
        <f>'43)Sudangras HF Biogas aF-(a)'!M57</f>
        <v>7.29</v>
      </c>
      <c r="O35" s="2398">
        <f>'43)Sudangras HF Biogas aF-(a)'!O57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'43)Sudangras HF Biogas aF-(a)'!L10</f>
        <v>0</v>
      </c>
      <c r="N36" s="2431">
        <f>'43)Sudangras HF Biogas aF-(a)'!N10</f>
        <v>0</v>
      </c>
      <c r="O36" s="2432">
        <f>'43)Sudangras HF Biogas aF-(a)'!P10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1076.3534190509258</v>
      </c>
      <c r="N43" s="1991">
        <f>SUM(N37:N42)</f>
        <v>766.35341905092582</v>
      </c>
      <c r="O43" s="1994">
        <f>SUM(O37:O42)</f>
        <v>766.35341905092582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1602.0101943168208</v>
      </c>
      <c r="N46" s="2041">
        <f>N27+N30+N43</f>
        <v>1356.2165471393209</v>
      </c>
      <c r="O46" s="2080">
        <f>O27+O30+O43</f>
        <v>1420.4228999618208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-1602.0101943168208</v>
      </c>
      <c r="N47" s="2227">
        <f>N45-N46</f>
        <v>-1356.2165471393209</v>
      </c>
      <c r="O47" s="2228">
        <f>O45-O46</f>
        <v>-1420.4228999618208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-1332.0101943168208</v>
      </c>
      <c r="N49" s="1991">
        <f>N47+N48</f>
        <v>-1086.2165471393209</v>
      </c>
      <c r="O49" s="1994">
        <f>O47+O48</f>
        <v>-1150.4228999618208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1332.0101943168208</v>
      </c>
      <c r="N51" s="1771">
        <f>N46-N48</f>
        <v>1086.2165471393209</v>
      </c>
      <c r="O51" s="3358">
        <f>O46-O48</f>
        <v>1150.4228999618208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3.9259247832495774</v>
      </c>
      <c r="N52" s="2335">
        <f>IF(N8=0,0,N$51/N8)</f>
        <v>2.4626771918948167</v>
      </c>
      <c r="O52" s="2336">
        <f>IF(O8=0,0,O$51/O8)</f>
        <v>2.119200078877038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14.021159940177062</v>
      </c>
      <c r="N53" s="2335">
        <f>IF(N7=0,0,N$51/N7)</f>
        <v>8.7952756853386305</v>
      </c>
      <c r="O53" s="2336">
        <f>IF(O7=0,0,O$51/O7)</f>
        <v>7.5685717102751369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30.756092772001296</v>
      </c>
      <c r="N54" s="2335">
        <f t="shared" si="3"/>
        <v>19.29286279364603</v>
      </c>
      <c r="O54" s="2336">
        <f t="shared" si="3"/>
        <v>16.602028267700298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0.53844700231094711</v>
      </c>
      <c r="N55" s="2219">
        <f t="shared" si="3"/>
        <v>0.33776020296999348</v>
      </c>
      <c r="O55" s="2220">
        <f t="shared" si="3"/>
        <v>0.29065175538691002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14.956861175304086</v>
      </c>
      <c r="N56" s="2219">
        <f>IF(N13=0,0,N$51/N13)</f>
        <v>9.382227860277597</v>
      </c>
      <c r="O56" s="2220">
        <f>IF(O13=0,0,O$51/O13)</f>
        <v>8.0736598718586112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0.14956861175304087</v>
      </c>
      <c r="N57" s="2222">
        <f>N51/$N$12*10/$F$57</f>
        <v>9.3822278602775977E-2</v>
      </c>
      <c r="O57" s="2223">
        <f>O51/$O$12*10/$F$57</f>
        <v>8.0736598718586114E-2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1332.0101943168208</v>
      </c>
      <c r="N58" s="1769">
        <f>N51-N38</f>
        <v>1086.2165471393209</v>
      </c>
      <c r="O58" s="1776">
        <f>O51-O38</f>
        <v>1150.4228999618208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14.021159940177062</v>
      </c>
      <c r="N59" s="3416">
        <f>N58/N7</f>
        <v>8.7952756853386305</v>
      </c>
      <c r="O59" s="3417">
        <f>O58/O7</f>
        <v>7.5685717102751369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0.53844700231094711</v>
      </c>
      <c r="N60" s="2130">
        <f>IF(N12=0,0,N$58/N12)</f>
        <v>0.33776020296999348</v>
      </c>
      <c r="O60" s="2217">
        <f>IF(O12=0,0,O$58/O12)</f>
        <v>0.29065175538691002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0.14956861175304087</v>
      </c>
      <c r="N61" s="2130">
        <f>N58/$N$12*10/$F$57</f>
        <v>9.3822278602775977E-2</v>
      </c>
      <c r="O61" s="3422">
        <f>O58/$O$12*10/$F$57</f>
        <v>8.0736598718586114E-2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14.956861175304086</v>
      </c>
      <c r="N62" s="1874">
        <f>IF(N13=0,0,N$58/N13)</f>
        <v>9.382227860277597</v>
      </c>
      <c r="O62" s="2032">
        <f>IF(O13=0,0,O$58/O13)</f>
        <v>8.0736598718586112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188.86125091469503</v>
      </c>
      <c r="N64" s="1772">
        <f>SUM(N19:N23)+N30</f>
        <v>208.45968873719505</v>
      </c>
      <c r="O64" s="1773">
        <f>SUM(O19:O23)+O30</f>
        <v>228.05812655969507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7.6344591686755212E-2</v>
      </c>
      <c r="N65" s="2031">
        <f>IF(N12=0,0,N64/N12)</f>
        <v>6.4820764298212985E-2</v>
      </c>
      <c r="O65" s="2032">
        <f>IF(O12=0,0,O64/O12)</f>
        <v>5.7618372180374085E-2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905.32894340212601</v>
      </c>
      <c r="N66" s="2038">
        <f>N24+N25+N26+N39+N37</f>
        <v>949.93685840212584</v>
      </c>
      <c r="O66" s="2039">
        <f>O24+O25+O26+O39+O37</f>
        <v>994.54477340212588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0.36596691058376835</v>
      </c>
      <c r="N67" s="2168">
        <f>IF(N12=0,0,N66/N12)</f>
        <v>0.2953838872622393</v>
      </c>
      <c r="O67" s="2187">
        <f>IF(O12=0,0,O66/O12)</f>
        <v>0.2512694976862837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Aulendorf&amp;C&amp;12 105&amp;9
&amp;R&amp;12&amp;F
&amp;A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5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855468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3.7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1393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49.894957983193279</v>
      </c>
      <c r="M10" s="286"/>
      <c r="N10" s="811">
        <f>IF(R10=TRUE,IF(M8=0,0,1/M8*N9),0)</f>
        <v>64.863445378151255</v>
      </c>
      <c r="O10" s="173"/>
      <c r="P10" s="722">
        <f>IF(R10=TRUE,IF(O8=0,0,1/O8*P9),0)</f>
        <v>79.831932773109244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393.73355466666663</v>
      </c>
      <c r="M17" s="2600">
        <f>K17</f>
        <v>1</v>
      </c>
      <c r="N17" s="2591">
        <f>M17*(N33*(1-$AC$14)+N34*(1-$AC$15)+N35*(1-$AC$16)+N36*(1-$AC$17))</f>
        <v>511.85362106666662</v>
      </c>
      <c r="O17" s="2601">
        <f>K17</f>
        <v>1</v>
      </c>
      <c r="P17" s="2590">
        <f>O17*(P33*(1-$AC$14)+P34*(1-$AC$15)+P35*(1-$AC$16)+P36*(1-$AC$17))</f>
        <v>629.97368746666666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85.6</v>
      </c>
      <c r="M27" s="804"/>
      <c r="N27" s="786">
        <f>SUM(N29:N30)</f>
        <v>85.6</v>
      </c>
      <c r="O27" s="330"/>
      <c r="P27" s="325">
        <f>SUM(P29:P30)</f>
        <v>85.6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80</v>
      </c>
      <c r="I29" s="711">
        <f>H29*($H$27+100)/100</f>
        <v>85.6</v>
      </c>
      <c r="J29" s="91"/>
      <c r="K29" s="440">
        <v>1</v>
      </c>
      <c r="L29" s="337">
        <f>$I29*K29</f>
        <v>85.6</v>
      </c>
      <c r="M29" s="440">
        <v>1</v>
      </c>
      <c r="N29" s="791">
        <f>$I29*M29</f>
        <v>85.6</v>
      </c>
      <c r="O29" s="440">
        <v>1</v>
      </c>
      <c r="P29" s="337">
        <f>$I29*O29</f>
        <v>85.6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446.60025666666667</v>
      </c>
      <c r="M31" s="819"/>
      <c r="N31" s="786">
        <f>SUM(N33:N36)</f>
        <v>580.58033366666666</v>
      </c>
      <c r="O31" s="334"/>
      <c r="P31" s="325">
        <f>SUM(P33:P36)</f>
        <v>714.56041066666671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1.08</v>
      </c>
      <c r="H33" s="386">
        <v>0</v>
      </c>
      <c r="I33"/>
      <c r="J33" s="172"/>
      <c r="K33" s="336">
        <f>G33*$K$9+H33</f>
        <v>102.60000000000001</v>
      </c>
      <c r="L33" s="337">
        <f>K33*$E33</f>
        <v>176.22234</v>
      </c>
      <c r="M33" s="820">
        <f>G33*$M$9+H33</f>
        <v>133.38</v>
      </c>
      <c r="N33" s="791">
        <f>M33*$E33</f>
        <v>229.08904200000001</v>
      </c>
      <c r="O33" s="336">
        <f>G33*$O$9+H33</f>
        <v>164.16000000000003</v>
      </c>
      <c r="P33" s="337">
        <f>O33*$E33</f>
        <v>281.95574400000004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0.92</v>
      </c>
      <c r="H34" s="386"/>
      <c r="I34"/>
      <c r="J34" s="172"/>
      <c r="K34" s="336">
        <f>G34*$K$9+H34</f>
        <v>87.4</v>
      </c>
      <c r="L34" s="337">
        <f>K34*$E34</f>
        <v>98.805699999999987</v>
      </c>
      <c r="M34" s="820">
        <f>G34*$M$9+H34</f>
        <v>113.62</v>
      </c>
      <c r="N34" s="791">
        <f>M34*$E34</f>
        <v>128.44740999999999</v>
      </c>
      <c r="O34" s="336">
        <f>G34*$O$9+H34</f>
        <v>139.84</v>
      </c>
      <c r="P34" s="337">
        <f>O34*$E34</f>
        <v>158.08911999999998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1.52</v>
      </c>
      <c r="H35" s="386"/>
      <c r="I35"/>
      <c r="J35" s="172"/>
      <c r="K35" s="336">
        <f>G35*$K$9+H35</f>
        <v>144.4</v>
      </c>
      <c r="L35" s="337">
        <f>K35*$E35</f>
        <v>151.78846666666666</v>
      </c>
      <c r="M35" s="820">
        <f>G35*$M$9+H35</f>
        <v>187.72</v>
      </c>
      <c r="N35" s="791">
        <f>M35*$E35</f>
        <v>197.32500666666664</v>
      </c>
      <c r="O35" s="336">
        <f>G35*$O$9+H35</f>
        <v>231.04</v>
      </c>
      <c r="P35" s="337">
        <f>O35*$E35</f>
        <v>242.86154666666664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33.25</v>
      </c>
      <c r="L36" s="333">
        <f>K36*$E36</f>
        <v>19.783749999999998</v>
      </c>
      <c r="M36" s="821">
        <f>G36*$M$9+H36</f>
        <v>43.224999999999994</v>
      </c>
      <c r="N36" s="792">
        <f>M36*$E36</f>
        <v>25.718874999999997</v>
      </c>
      <c r="O36" s="338">
        <f>G36*$O$9+H36</f>
        <v>53.199999999999996</v>
      </c>
      <c r="P36" s="333">
        <f>O36*$E36</f>
        <v>31.653999999999996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334.7382360185</v>
      </c>
      <c r="M42" s="823"/>
      <c r="N42" s="786">
        <f>SUM(W45:W55)</f>
        <v>378.72896451868996</v>
      </c>
      <c r="O42" s="425"/>
      <c r="P42" s="325">
        <f>SUM(Z45:Z55)</f>
        <v>422.71969301887998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0.6785714285714286</v>
      </c>
      <c r="L50" s="337">
        <f t="shared" si="0"/>
        <v>109.12187541520001</v>
      </c>
      <c r="M50" s="375">
        <f>N9/500</f>
        <v>0.88214285714285712</v>
      </c>
      <c r="N50" s="791">
        <f t="shared" si="1"/>
        <v>141.85843803976002</v>
      </c>
      <c r="O50" s="375">
        <f>P9/500</f>
        <v>1.0857142857142859</v>
      </c>
      <c r="P50" s="337">
        <f t="shared" si="2"/>
        <v>174.59500066432003</v>
      </c>
      <c r="Q50" s="528"/>
      <c r="R50" s="1348">
        <f t="shared" si="3"/>
        <v>5.347142857142857</v>
      </c>
      <c r="S50" s="471" t="e">
        <f>K50*#REF!</f>
        <v>#REF!</v>
      </c>
      <c r="T50" s="258">
        <f t="shared" si="4"/>
        <v>109.12187541520001</v>
      </c>
      <c r="U50" s="1349">
        <f t="shared" si="5"/>
        <v>6.9512857142857136</v>
      </c>
      <c r="V50" s="1350" t="e">
        <f>M50*#REF!</f>
        <v>#REF!</v>
      </c>
      <c r="W50" s="827">
        <f t="shared" si="6"/>
        <v>141.85843803976002</v>
      </c>
      <c r="X50" s="1351">
        <f t="shared" si="7"/>
        <v>8.5554285714285729</v>
      </c>
      <c r="Y50" s="471" t="e">
        <f>O50*#REF!</f>
        <v>#REF!</v>
      </c>
      <c r="Z50" s="258">
        <f t="shared" si="8"/>
        <v>174.59500066432003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0.6785714285714286</v>
      </c>
      <c r="L51" s="337">
        <f t="shared" si="0"/>
        <v>37.513886252099994</v>
      </c>
      <c r="M51" s="375">
        <f>N9/500</f>
        <v>0.88214285714285712</v>
      </c>
      <c r="N51" s="791">
        <f t="shared" si="1"/>
        <v>48.768052127729987</v>
      </c>
      <c r="O51" s="375">
        <f>P9/500</f>
        <v>1.0857142857142859</v>
      </c>
      <c r="P51" s="337">
        <f t="shared" si="2"/>
        <v>60.022218003359995</v>
      </c>
      <c r="Q51" s="528"/>
      <c r="R51" s="1348">
        <f t="shared" si="3"/>
        <v>1.4453571428571428</v>
      </c>
      <c r="S51" s="471" t="e">
        <f>K51*#REF!</f>
        <v>#REF!</v>
      </c>
      <c r="T51" s="258">
        <f t="shared" si="4"/>
        <v>37.513886252099994</v>
      </c>
      <c r="U51" s="1349">
        <f t="shared" si="5"/>
        <v>1.8789642857142856</v>
      </c>
      <c r="V51" s="1350" t="e">
        <f>M51*#REF!</f>
        <v>#REF!</v>
      </c>
      <c r="W51" s="827">
        <f t="shared" si="6"/>
        <v>48.768052127729987</v>
      </c>
      <c r="X51" s="1351">
        <f t="shared" si="7"/>
        <v>2.3125714285714287</v>
      </c>
      <c r="Y51" s="471" t="e">
        <f>O51*#REF!</f>
        <v>#REF!</v>
      </c>
      <c r="Z51" s="258">
        <f t="shared" si="8"/>
        <v>60.022218003359995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10.842499999999999</v>
      </c>
      <c r="L56" s="341"/>
      <c r="M56" s="797">
        <f>SUM($U$45:$U$55)</f>
        <v>12.88025</v>
      </c>
      <c r="N56" s="798"/>
      <c r="O56" s="340">
        <f>SUM($X$45:$X$55)</f>
        <v>14.918000000000001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19.516500000000001</v>
      </c>
      <c r="L57" s="343"/>
      <c r="M57" s="799">
        <f>IF(M56+(M56*$G$57/100)&gt;M56+10,M56+10,M56+(M56*$G$57/100))</f>
        <v>22.88025</v>
      </c>
      <c r="N57" s="800"/>
      <c r="O57" s="342">
        <f>IF(O56+(O56*$G$57/100)&gt;O56+10,O56+10,O56+(O56*$G$57/100))</f>
        <v>24.917999999999999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523.54304999999999</v>
      </c>
      <c r="M58" s="826"/>
      <c r="N58" s="786">
        <f>SUM(N60:N62)</f>
        <v>609.80096500000002</v>
      </c>
      <c r="O58" s="344"/>
      <c r="P58" s="325">
        <f>SUM(P60:P62)</f>
        <v>696.05888000000004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175</v>
      </c>
      <c r="I60" s="3013">
        <f>H60*($H$58+100)/100</f>
        <v>208.25</v>
      </c>
      <c r="J60" s="400"/>
      <c r="K60" s="3014">
        <v>1.8</v>
      </c>
      <c r="L60" s="3015">
        <f>K60*I60</f>
        <v>374.85</v>
      </c>
      <c r="M60" s="3014">
        <v>2</v>
      </c>
      <c r="N60" s="3016">
        <f>M60*I60</f>
        <v>416.5</v>
      </c>
      <c r="O60" s="3014">
        <v>2.2000000000000002</v>
      </c>
      <c r="P60" s="3015">
        <f>O60*I60</f>
        <v>458.15000000000003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11.132099999999998</v>
      </c>
      <c r="M65" s="1357"/>
      <c r="N65" s="786">
        <f>M66*$H66/100</f>
        <v>14.471729999999997</v>
      </c>
      <c r="O65" s="347"/>
      <c r="P65" s="325">
        <f>O66*$H66/100</f>
        <v>17.811360000000001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1.5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Aulendorf&amp;C&amp;12 106&amp;9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6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'44)Sudangras HF Biogas ex S(a)'!J2</f>
        <v>2022</v>
      </c>
      <c r="K2" s="2504" t="s">
        <v>858</v>
      </c>
      <c r="L2" s="2502"/>
      <c r="M2" s="2505"/>
      <c r="N2" s="2529"/>
      <c r="O2" s="2530" t="str">
        <f>'44)Sudangras HF Biogas ex S(a)'!M2</f>
        <v>Sudangras HF Biog.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3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'44)Sudangras HF Biogas ex S(a)'!H3</f>
        <v>HF = Hauptfrucht; Silage für Biogasanlage;  2-Schnitt-Nutzung: 1. Ende Juli/Anfang August 2. Ende Oktober;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1588</v>
      </c>
      <c r="F6" s="26"/>
      <c r="G6" s="26"/>
      <c r="H6" s="26"/>
      <c r="I6" s="238"/>
      <c r="J6" s="238"/>
      <c r="K6" s="238"/>
      <c r="L6" s="512" t="s">
        <v>139</v>
      </c>
      <c r="M6" s="316">
        <f>'44)Sudangras HF Biogas ex S(a)'!K5</f>
        <v>100</v>
      </c>
      <c r="N6" s="1735">
        <f>'44)Sudangras HF Biogas ex S(a)'!M5</f>
        <v>130</v>
      </c>
      <c r="O6" s="1743">
        <f>'44)Sudangras HF Biogas ex S(a)'!O5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'44)Sudangras HF Biogas ex S(a)'!K9</f>
        <v>95</v>
      </c>
      <c r="N7" s="1736">
        <f>'44)Sudangras HF Biogas ex S(a)'!M9</f>
        <v>123.5</v>
      </c>
      <c r="O7" s="1744">
        <f>'44)Sudangras HF Biogas ex S(a)'!O9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'44)Sudangras HF Biogas ex S(a)'!L9</f>
        <v>339.28571428571428</v>
      </c>
      <c r="N8" s="1737">
        <f>'44)Sudangras HF Biogas ex S(a)'!N9</f>
        <v>441.07142857142856</v>
      </c>
      <c r="O8" s="1583">
        <f>'44)Sudangras HF Biogas ex S(a)'!P9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'44)Sudangras HF Biogas ex S(a)'!K11</f>
        <v>88.35</v>
      </c>
      <c r="N9" s="1562">
        <f>'44)Sudangras HF Biogas ex S(a)'!M11</f>
        <v>114.855</v>
      </c>
      <c r="O9" s="1747">
        <f>'44)Sudangras HF Biogas ex S(a)'!O11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'44)Sudangras HF Biogas ex S(a)'!L11</f>
        <v>294.5</v>
      </c>
      <c r="N10" s="1582">
        <f>'44)Sudangras HF Biogas ex S(a)'!N11</f>
        <v>382.85</v>
      </c>
      <c r="O10" s="2014">
        <f>'44)Sudangras HF Biogas ex S(a)'!P11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'44)Sudangras HF Biogas ex S(a)'!L12</f>
        <v>43.308823529411768</v>
      </c>
      <c r="N11" s="1818">
        <f>'44)Sudangras HF Biogas ex S(a)'!N12</f>
        <v>56.301470588235297</v>
      </c>
      <c r="O11" s="1819">
        <f>'44)Sudangras HF Biogas ex S(a)'!P12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'44)Sudangras HF Biogas ex S(a)'!K15</f>
        <v>2473.7999999999997</v>
      </c>
      <c r="N12" s="1738">
        <f>'44)Sudangras HF Biogas ex S(a)'!M15</f>
        <v>3215.94</v>
      </c>
      <c r="O12" s="1745">
        <f>'44)Sudangras HF Biogas ex S(a)'!O15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'44)Sudangras HF Biogas ex S(a)'!K16</f>
        <v>89.056799999999996</v>
      </c>
      <c r="N13" s="2077">
        <f>'44)Sudangras HF Biogas ex S(a)'!M16</f>
        <v>115.77384000000001</v>
      </c>
      <c r="O13" s="2078">
        <f>'44)Sudangras HF Biogas ex S(a)'!O16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'44)Sudangras HF Biogas ex S(a)'!L24</f>
        <v>270</v>
      </c>
      <c r="N15" s="3338">
        <f>'44)Sudangras HF Biogas ex S(a)'!N24</f>
        <v>270</v>
      </c>
      <c r="O15" s="3341">
        <f>'44)Sudangras HF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'44)Sudangras HF Biogas ex S(a)'!L18</f>
        <v>0</v>
      </c>
      <c r="N16" s="1736">
        <f>'44)Sudangras HF Biogas ex S(a)'!N18</f>
        <v>0</v>
      </c>
      <c r="O16" s="3343">
        <f>'44)Sudangras HF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'44)Sudangras HF Biogas ex S(a)'!L27</f>
        <v>85.6</v>
      </c>
      <c r="N19" s="2072">
        <f>'44)Sudangras HF Biogas ex S(a)'!N27</f>
        <v>85.6</v>
      </c>
      <c r="O19" s="2072">
        <f>'44)Sudangras HF Biogas ex S(a)'!P27</f>
        <v>85.6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'44)Sudangras HF Biogas ex S(a)'!L31-'44)Sudangras HF Biogas ex S(a)'!L17</f>
        <v>52.866702000000032</v>
      </c>
      <c r="N20" s="1567">
        <f>'44)Sudangras HF Biogas ex S(a)'!N31-'44)Sudangras HF Biogas ex S(a)'!N17</f>
        <v>68.726712600000042</v>
      </c>
      <c r="O20" s="1567">
        <f>'44)Sudangras HF Biogas ex S(a)'!P31-'44)Sudangras HF Biogas ex S(a)'!P17</f>
        <v>84.586723200000051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'44)Sudangras HF Biogas ex S(a)'!L37</f>
        <v>35.997499999999995</v>
      </c>
      <c r="N21" s="1567">
        <f>'44)Sudangras HF Biogas ex S(a)'!N37</f>
        <v>35.997499999999995</v>
      </c>
      <c r="O21" s="1574">
        <f>'44)Sudangras HF Biogas ex S(a)'!P37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'44)Sudangras HF Biogas ex S(a)'!L65</f>
        <v>11.132099999999998</v>
      </c>
      <c r="N22" s="1567">
        <f>'44)Sudangras HF Biogas ex S(a)'!N65</f>
        <v>14.471729999999997</v>
      </c>
      <c r="O22" s="1574">
        <f>'44)Sudangras HF Biogas ex S(a)'!P65</f>
        <v>17.811360000000001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'44)Sudangras HF Biogas ex S(a)'!L67</f>
        <v>59.5</v>
      </c>
      <c r="N23" s="1567">
        <f>'44)Sudangras HF Biogas ex S(a)'!N67</f>
        <v>59.5</v>
      </c>
      <c r="O23" s="1574">
        <f>'44)Sudangras HF Biogas ex S(a)'!P67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'44)Sudangras HF Biogas ex S(a)'!L42</f>
        <v>334.7382360185</v>
      </c>
      <c r="N24" s="1567">
        <f>'44)Sudangras HF Biogas ex S(a)'!N42</f>
        <v>378.72896451868996</v>
      </c>
      <c r="O24" s="1574">
        <f>'44)Sudangras HF Biogas ex S(a)'!P42</f>
        <v>422.71969301887998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'44)Sudangras HF Biogas ex S(a)'!L58</f>
        <v>523.54304999999999</v>
      </c>
      <c r="N25" s="1567">
        <f>'44)Sudangras HF Biogas ex S(a)'!N58</f>
        <v>609.80096500000002</v>
      </c>
      <c r="O25" s="1574">
        <f>'44)Sudangras HF Biogas ex S(a)'!P58</f>
        <v>696.05888000000004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'44)Sudangras HF Biogas ex S(a)'!L63</f>
        <v>0</v>
      </c>
      <c r="N26" s="1980">
        <f>'44)Sudangras HF Biogas ex S(a)'!N63</f>
        <v>0</v>
      </c>
      <c r="O26" s="1981">
        <f>'44)Sudangras HF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1103.3775880185001</v>
      </c>
      <c r="N27" s="1775">
        <f>SUM(N19:N26)</f>
        <v>1252.8258721186899</v>
      </c>
      <c r="O27" s="2055">
        <f>SUM(O19:O26)</f>
        <v>1402.2741562188801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-1103.3775880185001</v>
      </c>
      <c r="N28" s="2060">
        <f>-N27</f>
        <v>-1252.8258721186899</v>
      </c>
      <c r="O28" s="2061">
        <f>-O27</f>
        <v>-1402.2741562188801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M27*'44)Sudangras HF Biogas ex S(a)'!$L$70*'44)Sudangras HF Biogas ex S(a)'!$P$70/12/100</f>
        <v>6.896109925115625</v>
      </c>
      <c r="N30" s="1980">
        <f>N27*'44)Sudangras HF Biogas ex S(a)'!$L$70*'44)Sudangras HF Biogas ex S(a)'!$P$70/12/100</f>
        <v>7.8301617007418107</v>
      </c>
      <c r="O30" s="1981">
        <f>O27*'44)Sudangras HF Biogas ex S(a)'!$L$70*'44)Sudangras HF Biogas ex S(a)'!$P$70/12/100</f>
        <v>8.7642134763679991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-840.27369794361573</v>
      </c>
      <c r="N31" s="1769">
        <f>N28+N29-N30</f>
        <v>-990.65603381943163</v>
      </c>
      <c r="O31" s="1776">
        <f>O28+O29-O30</f>
        <v>-1141.0383696952481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-0.33966921252470522</v>
      </c>
      <c r="N32" s="1561">
        <f>IF(N12=0,0,N31/N12)</f>
        <v>-0.30804555862964844</v>
      </c>
      <c r="O32" s="2047">
        <f>IF(O12=0,0,O31/O12)</f>
        <v>-0.28828077494523807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-9.435255903464034</v>
      </c>
      <c r="N33" s="1576">
        <f>IF(N13=0,0,N31/N13)</f>
        <v>-8.5568210730457892</v>
      </c>
      <c r="O33" s="2052">
        <f>IF(O13=0,0,O31/O13)</f>
        <v>-8.0077993040343927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'44)Sudangras HF Biogas ex S(a)'!K57</f>
        <v>19.516500000000001</v>
      </c>
      <c r="N35" s="2396">
        <f>'44)Sudangras HF Biogas ex S(a)'!M57</f>
        <v>22.88025</v>
      </c>
      <c r="O35" s="2398">
        <f>'44)Sudangras HF Biogas ex S(a)'!O57</f>
        <v>24.917999999999999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'44)Sudangras HF Biogas ex S(a)'!L10</f>
        <v>49.894957983193279</v>
      </c>
      <c r="N36" s="2431">
        <f>'44)Sudangras HF Biogas ex S(a)'!N10</f>
        <v>64.863445378151255</v>
      </c>
      <c r="O36" s="2432">
        <f>'44)Sudangras HF Biogas ex S(a)'!P10</f>
        <v>79.831932773109244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341.53874999999999</v>
      </c>
      <c r="N37" s="1567">
        <f>$J$37*N35</f>
        <v>400.40437500000002</v>
      </c>
      <c r="O37" s="1574">
        <f>$J$37*O35</f>
        <v>436.065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242.44791666666669</v>
      </c>
      <c r="N38" s="2433">
        <f>N36*$I$36</f>
        <v>315.18229166666663</v>
      </c>
      <c r="O38" s="2429">
        <f>O36*$I$36</f>
        <v>387.91666666666669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1566.7298107175925</v>
      </c>
      <c r="N43" s="1991">
        <f>SUM(N37:N42)</f>
        <v>1388.3298107175924</v>
      </c>
      <c r="O43" s="1994">
        <f>SUM(O37:O42)</f>
        <v>1496.7248107175926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2677.0035086612079</v>
      </c>
      <c r="N46" s="2041">
        <f>N27+N30+N43</f>
        <v>2648.9858445370241</v>
      </c>
      <c r="O46" s="2080">
        <f>O27+O30+O43</f>
        <v>2907.7631804128405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-2677.0035086612079</v>
      </c>
      <c r="N47" s="2227">
        <f>N45-N46</f>
        <v>-2648.9858445370241</v>
      </c>
      <c r="O47" s="2228">
        <f>O45-O46</f>
        <v>-2907.7631804128405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-2407.0035086612079</v>
      </c>
      <c r="N49" s="1991">
        <f>N47+N48</f>
        <v>-2378.9858445370241</v>
      </c>
      <c r="O49" s="1994">
        <f>O47+O48</f>
        <v>-2637.7631804128405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2407.0035086612079</v>
      </c>
      <c r="N51" s="1771">
        <f>N46-N48</f>
        <v>2378.9858445370241</v>
      </c>
      <c r="O51" s="3358">
        <f>O46-O48</f>
        <v>2637.7631804128405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8.173186786625493</v>
      </c>
      <c r="N52" s="2335">
        <f>IF(N10=0,0,N$51/N10)</f>
        <v>6.2138849276140107</v>
      </c>
      <c r="O52" s="2336">
        <f>IF(O10=0,0,O$51/O10)</f>
        <v>5.5979693981596776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27.243955955418315</v>
      </c>
      <c r="N53" s="2335">
        <f>IF(N9=0,0,N$51/N9)</f>
        <v>20.712949758713371</v>
      </c>
      <c r="O53" s="2336">
        <f>IF(O9=0,0,O$51/O9)</f>
        <v>18.659897993865592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55.577670149053354</v>
      </c>
      <c r="N54" s="2335">
        <f t="shared" si="3"/>
        <v>42.254417507775273</v>
      </c>
      <c r="O54" s="2336">
        <f t="shared" si="3"/>
        <v>38.066191907485809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0.97299842697922556</v>
      </c>
      <c r="N55" s="2219">
        <f t="shared" si="3"/>
        <v>0.73974820566833466</v>
      </c>
      <c r="O55" s="2220">
        <f t="shared" si="3"/>
        <v>0.66642492835234257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27.027734082756265</v>
      </c>
      <c r="N56" s="2219">
        <f>IF(N13=0,0,N$51/N13)</f>
        <v>20.54856126856485</v>
      </c>
      <c r="O56" s="2220">
        <f>IF(O13=0,0,O$51/O13)</f>
        <v>18.511803565342852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0.27027734082756266</v>
      </c>
      <c r="N57" s="2222">
        <f>N51/$N$12*10/$F$57</f>
        <v>0.20548561268564849</v>
      </c>
      <c r="O57" s="2223">
        <f>O51/$O$12*10/$F$57</f>
        <v>0.18511803565342849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2164.5555919945414</v>
      </c>
      <c r="N58" s="1769">
        <f>N51-N38</f>
        <v>2063.8035528703576</v>
      </c>
      <c r="O58" s="1776">
        <f>O51-O38</f>
        <v>2249.846513746174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24.499780328178172</v>
      </c>
      <c r="N59" s="3416">
        <f>N58/N9</f>
        <v>17.968774131473229</v>
      </c>
      <c r="O59" s="3417">
        <f>O58/O9</f>
        <v>15.915722366625451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0.87499215457779189</v>
      </c>
      <c r="N60" s="2130">
        <f>IF(N12=0,0,N$58/N12)</f>
        <v>0.64174193326690099</v>
      </c>
      <c r="O60" s="2217">
        <f>IF(O12=0,0,O$58/O12)</f>
        <v>0.56841865595090901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0.24305337627160886</v>
      </c>
      <c r="N61" s="2130">
        <f>N58/$N$12*10/$F$57</f>
        <v>0.17826164812969469</v>
      </c>
      <c r="O61" s="3422">
        <f>O58/$O$12*10/$F$57</f>
        <v>0.15789407109747472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24.305337627160885</v>
      </c>
      <c r="N62" s="1874">
        <f>IF(N13=0,0,N$58/N13)</f>
        <v>17.82616481296947</v>
      </c>
      <c r="O62" s="2032">
        <f>IF(O13=0,0,O$58/O13)</f>
        <v>15.789407109747472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251.99241192511568</v>
      </c>
      <c r="N64" s="1772">
        <f>SUM(N19:N23)+N30</f>
        <v>272.12610430074187</v>
      </c>
      <c r="O64" s="1773">
        <f>SUM(O19:O23)+O30</f>
        <v>292.25979667636807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0.10186450478014217</v>
      </c>
      <c r="N65" s="2031">
        <f>IF(N12=0,0,N64/N12)</f>
        <v>8.4617904656412085E-2</v>
      </c>
      <c r="O65" s="2032">
        <f>IF(O12=0,0,O64/O12)</f>
        <v>7.3838779579080777E-2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1718.7339085696158</v>
      </c>
      <c r="N66" s="2038">
        <f>N24+N25+N26+N39+N37</f>
        <v>1863.8574485696158</v>
      </c>
      <c r="O66" s="2039">
        <f>O24+O25+O26+O39+O37</f>
        <v>2029.766717069806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0.69477480336713393</v>
      </c>
      <c r="N67" s="2168">
        <f>IF(N12=0,0,N66/N12)</f>
        <v>0.57956847720094773</v>
      </c>
      <c r="O67" s="2187">
        <f>IF(O12=0,0,O66/O12)</f>
        <v>0.51281599085157592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Aulendorf&amp;C&amp;12 107&amp;9
&amp;R&amp;12&amp;F
&amp;A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7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8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919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745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642.72994800000004</v>
      </c>
      <c r="M17" s="2600">
        <f>K17</f>
        <v>1</v>
      </c>
      <c r="N17" s="2591">
        <f>M17*(N33*(1-$AC$14)+N34*(1-$AC$15)+N35*(1-$AC$16)+N36*(1-$AC$17))</f>
        <v>714.14438666666672</v>
      </c>
      <c r="O17" s="2601">
        <f>K17</f>
        <v>1</v>
      </c>
      <c r="P17" s="2590">
        <f>O17*(P33*(1-$AC$14)+P34*(1-$AC$15)+P35*(1-$AC$16)+P36*(1-$AC$17))</f>
        <v>785.55882533333317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176.55</v>
      </c>
      <c r="M27" s="804"/>
      <c r="N27" s="786">
        <f>SUM(N29:N30)</f>
        <v>176.55</v>
      </c>
      <c r="O27" s="330"/>
      <c r="P27" s="325">
        <f>SUM(P29:P30)</f>
        <v>176.55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50</v>
      </c>
      <c r="I29" s="711">
        <f>H29*($H$27+100)/100</f>
        <v>53.5</v>
      </c>
      <c r="J29" s="91"/>
      <c r="K29" s="440">
        <v>1.7</v>
      </c>
      <c r="L29" s="337">
        <f>$I29*K29</f>
        <v>90.95</v>
      </c>
      <c r="M29" s="440">
        <v>1.7</v>
      </c>
      <c r="N29" s="791">
        <f>$I29*M29</f>
        <v>90.95</v>
      </c>
      <c r="O29" s="440">
        <v>1.7</v>
      </c>
      <c r="P29" s="337">
        <f>$I29*O29</f>
        <v>90.95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80</v>
      </c>
      <c r="I30" s="712">
        <f>H30*($H$27+100)/100</f>
        <v>85.6</v>
      </c>
      <c r="J30" s="92"/>
      <c r="K30" s="441">
        <v>1</v>
      </c>
      <c r="L30" s="333">
        <f>$I30*K30</f>
        <v>85.6</v>
      </c>
      <c r="M30" s="441">
        <v>1</v>
      </c>
      <c r="N30" s="792">
        <f>$I30*M30</f>
        <v>85.6</v>
      </c>
      <c r="O30" s="441">
        <v>1</v>
      </c>
      <c r="P30" s="333">
        <f>$I30*O30</f>
        <v>85.6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739.65223500000002</v>
      </c>
      <c r="M31" s="819"/>
      <c r="N31" s="786">
        <f>SUM(N33:N36)</f>
        <v>821.83581666666657</v>
      </c>
      <c r="O31" s="334"/>
      <c r="P31" s="325">
        <f>SUM(P33:P36)</f>
        <v>904.01939833333324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1.1000000000000001</v>
      </c>
      <c r="H33" s="386">
        <v>0</v>
      </c>
      <c r="I33"/>
      <c r="J33" s="172"/>
      <c r="K33" s="336">
        <f>G33*$K$9+H33</f>
        <v>188.10000000000002</v>
      </c>
      <c r="L33" s="337">
        <f>K33*$E33</f>
        <v>323.07429000000002</v>
      </c>
      <c r="M33" s="820">
        <f>G33*$M$9+H33</f>
        <v>209.00000000000003</v>
      </c>
      <c r="N33" s="791">
        <f>M33*$E33</f>
        <v>358.97143333333338</v>
      </c>
      <c r="O33" s="336">
        <f>G33*$O$9+H33</f>
        <v>229.9</v>
      </c>
      <c r="P33" s="337">
        <f>O33*$E33</f>
        <v>394.86857666666668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0.72</v>
      </c>
      <c r="H34" s="386"/>
      <c r="I34"/>
      <c r="J34" s="172"/>
      <c r="K34" s="336">
        <f>G34*$K$9+H34</f>
        <v>123.11999999999999</v>
      </c>
      <c r="L34" s="337">
        <f>K34*$E34</f>
        <v>139.18715999999998</v>
      </c>
      <c r="M34" s="820">
        <f>G34*$M$9+H34</f>
        <v>136.79999999999998</v>
      </c>
      <c r="N34" s="791">
        <f>M34*$E34</f>
        <v>154.65239999999997</v>
      </c>
      <c r="O34" s="336">
        <f>G34*$O$9+H34</f>
        <v>150.47999999999999</v>
      </c>
      <c r="P34" s="337">
        <f>O34*$E34</f>
        <v>170.11763999999997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1.43</v>
      </c>
      <c r="H35" s="386"/>
      <c r="I35"/>
      <c r="J35" s="172"/>
      <c r="K35" s="336">
        <f>G35*$K$9+H35</f>
        <v>244.53</v>
      </c>
      <c r="L35" s="337">
        <f>K35*$E35</f>
        <v>257.041785</v>
      </c>
      <c r="M35" s="820">
        <f>G35*$M$9+H35</f>
        <v>271.7</v>
      </c>
      <c r="N35" s="791">
        <f>M35*$E35</f>
        <v>285.60198333333329</v>
      </c>
      <c r="O35" s="336">
        <f>G35*$O$9+H35</f>
        <v>298.87</v>
      </c>
      <c r="P35" s="337">
        <f>O35*$E35</f>
        <v>314.16218166666664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34.200000000000003</v>
      </c>
      <c r="L36" s="333">
        <f>K36*$E36</f>
        <v>20.349</v>
      </c>
      <c r="M36" s="821">
        <f>G36*$M$9+H36</f>
        <v>38</v>
      </c>
      <c r="N36" s="792">
        <f>M36*$E36</f>
        <v>22.61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127.0325</v>
      </c>
      <c r="O37" s="339"/>
      <c r="P37" s="325">
        <f>SUM(P39:P41)</f>
        <v>137.14750000000001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237.4340195648</v>
      </c>
      <c r="M42" s="823"/>
      <c r="N42" s="786">
        <f>SUM(W45:W55)</f>
        <v>237.4340195648</v>
      </c>
      <c r="O42" s="425"/>
      <c r="P42" s="325">
        <f>SUM(Z45:Z55)</f>
        <v>237.4340195648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1</v>
      </c>
      <c r="L49" s="337">
        <f t="shared" si="0"/>
        <v>91.198364600000005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1.45</v>
      </c>
      <c r="S49" s="471" t="e">
        <f>K49*#REF!</f>
        <v>#REF!</v>
      </c>
      <c r="T49" s="258">
        <f t="shared" si="4"/>
        <v>91.198364600000005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5.33</v>
      </c>
      <c r="L56" s="341"/>
      <c r="M56" s="797">
        <f>SUM($U$45:$U$55)</f>
        <v>5.33</v>
      </c>
      <c r="N56" s="798"/>
      <c r="O56" s="340">
        <f>SUM($X$45:$X$55)</f>
        <v>5.33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9.5939999999999994</v>
      </c>
      <c r="L57" s="343"/>
      <c r="M57" s="799">
        <f>IF(M56+(M56*$G$57/100)&gt;M56+10,M56+10,M56+(M56*$G$57/100))</f>
        <v>9.5939999999999994</v>
      </c>
      <c r="N57" s="800"/>
      <c r="O57" s="342">
        <f>IF(O56+(O56*$G$57/100)&gt;O56+10,O56+10,O56+(O56*$G$57/100))</f>
        <v>9.5939999999999994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230.75766000000002</v>
      </c>
      <c r="M58" s="826"/>
      <c r="N58" s="786">
        <f>SUM(N60:N62)</f>
        <v>256.3974</v>
      </c>
      <c r="O58" s="344"/>
      <c r="P58" s="325">
        <f>SUM(P60:P62)</f>
        <v>282.03714000000002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Aulendorf&amp;C&amp;12 108&amp;9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8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V9" sqref="V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'45)GPS+Sudangras Biogas aF(a)'!J2</f>
        <v>2022</v>
      </c>
      <c r="K2" s="2504" t="s">
        <v>858</v>
      </c>
      <c r="L2" s="2502"/>
      <c r="M2" s="2505"/>
      <c r="N2" s="2529"/>
      <c r="O2" s="2530" t="str">
        <f>'45)GPS+Sudangras Biogas aF(a)'!M2</f>
        <v>GPS + Sudangras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1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'45)GPS+Sudangras Biogas aF(a)'!H3</f>
        <v>Silage für Biogasanlage, Erstfrucht Triticale-GPS, Zweitfrucht Sudangras (1 Schnitt); Rücklieferung Gärrest unter 100% Anrechung Netto-Nährstoffe (30% N-Verluste); ab Feld;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'45)GPS+Sudangras Biogas aF(a)'!K5</f>
        <v>180</v>
      </c>
      <c r="N6" s="1735">
        <f>'45)GPS+Sudangras Biogas aF(a)'!M5</f>
        <v>200</v>
      </c>
      <c r="O6" s="1743">
        <f>'45)GPS+Sudangras Biogas aF(a)'!O5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'45)GPS+Sudangras Biogas aF(a)'!K9</f>
        <v>171</v>
      </c>
      <c r="N7" s="1736">
        <f>'45)GPS+Sudangras Biogas aF(a)'!M9</f>
        <v>190</v>
      </c>
      <c r="O7" s="1744">
        <f>'45)GPS+Sudangras Biogas aF(a)'!O9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'45)GPS+Sudangras Biogas aF(a)'!L9</f>
        <v>551.61290322580646</v>
      </c>
      <c r="N8" s="1737">
        <f>'45)GPS+Sudangras Biogas aF(a)'!N9</f>
        <v>612.90322580645159</v>
      </c>
      <c r="O8" s="1583">
        <f>'45)GPS+Sudangras Biogas aF(a)'!P9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'45)GPS+Sudangras Biogas aF(a)'!K11</f>
        <v>159.03</v>
      </c>
      <c r="N9" s="1562">
        <f>'45)GPS+Sudangras Biogas aF(a)'!M11</f>
        <v>176.7</v>
      </c>
      <c r="O9" s="1747">
        <f>'45)GPS+Sudangras Biogas aF(a)'!O11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'45)GPS+Sudangras Biogas aF(a)'!L11</f>
        <v>481.90909090909093</v>
      </c>
      <c r="N10" s="1582">
        <f>'45)GPS+Sudangras Biogas aF(a)'!N11</f>
        <v>535.4545454545455</v>
      </c>
      <c r="O10" s="2014">
        <f>'45)GPS+Sudangras Biogas aF(a)'!P11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'45)GPS+Sudangras Biogas aF(a)'!L12</f>
        <v>70.868983957219257</v>
      </c>
      <c r="N11" s="1818">
        <f>'45)GPS+Sudangras Biogas aF(a)'!N12</f>
        <v>78.743315508021396</v>
      </c>
      <c r="O11" s="1819">
        <f>'45)GPS+Sudangras Biogas aF(a)'!P12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'45)GPS+Sudangras Biogas aF(a)'!K15</f>
        <v>4611.87</v>
      </c>
      <c r="N12" s="1738">
        <f>'45)GPS+Sudangras Biogas aF(a)'!M15</f>
        <v>5124.2999999999993</v>
      </c>
      <c r="O12" s="1745">
        <f>'45)GPS+Sudangras Biogas aF(a)'!O15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'45)GPS+Sudangras Biogas aF(a)'!K16</f>
        <v>166.02731999999997</v>
      </c>
      <c r="N13" s="2077">
        <f>'45)GPS+Sudangras Biogas aF(a)'!M16</f>
        <v>184.47479999999996</v>
      </c>
      <c r="O13" s="2078">
        <f>'45)GPS+Sudangras Biogas aF(a)'!O16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'45)GPS+Sudangras Biogas aF(a)'!L24</f>
        <v>270</v>
      </c>
      <c r="N15" s="3338">
        <f>'45)GPS+Sudangras Biogas aF(a)'!N24</f>
        <v>270</v>
      </c>
      <c r="O15" s="3341">
        <f>'45)GPS+Sudangras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'45)GPS+Sudangras Biogas aF(a)'!L18</f>
        <v>0</v>
      </c>
      <c r="N16" s="1736">
        <f>'45)GPS+Sudangras Biogas aF(a)'!N18</f>
        <v>0</v>
      </c>
      <c r="O16" s="3343">
        <f>'45)GPS+Sudangras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'45)GPS+Sudangras Biogas aF(a)'!L27</f>
        <v>176.55</v>
      </c>
      <c r="N19" s="2072">
        <f>'45)GPS+Sudangras Biogas aF(a)'!N27</f>
        <v>176.55</v>
      </c>
      <c r="O19" s="2072">
        <f>'45)GPS+Sudangras Biogas aF(a)'!P27</f>
        <v>176.55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'45)GPS+Sudangras Biogas aF(a)'!L31-'45)GPS+Sudangras Biogas aF(a)'!L17</f>
        <v>96.922286999999983</v>
      </c>
      <c r="N20" s="1567">
        <f>'45)GPS+Sudangras Biogas aF(a)'!N31-'45)GPS+Sudangras Biogas aF(a)'!N17</f>
        <v>107.69142999999985</v>
      </c>
      <c r="O20" s="1567">
        <f>'45)GPS+Sudangras Biogas aF(a)'!P31-'45)GPS+Sudangras Biogas aF(a)'!P17</f>
        <v>118.46057300000007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'45)GPS+Sudangras Biogas aF(a)'!L37</f>
        <v>81.515000000000001</v>
      </c>
      <c r="N21" s="1567">
        <f>'45)GPS+Sudangras Biogas aF(a)'!N37</f>
        <v>127.0325</v>
      </c>
      <c r="O21" s="1574">
        <f>'45)GPS+Sudangras Biogas aF(a)'!P37</f>
        <v>137.14750000000001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'45)GPS+Sudangras Biogas aF(a)'!L65</f>
        <v>16.602732</v>
      </c>
      <c r="N22" s="1567">
        <f>'45)GPS+Sudangras Biogas aF(a)'!N65</f>
        <v>18.447479999999995</v>
      </c>
      <c r="O22" s="1574">
        <f>'45)GPS+Sudangras Biogas aF(a)'!P65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'45)GPS+Sudangras Biogas aF(a)'!L67</f>
        <v>0</v>
      </c>
      <c r="N23" s="1567">
        <f>'45)GPS+Sudangras Biogas aF(a)'!N67</f>
        <v>0</v>
      </c>
      <c r="O23" s="1574">
        <f>'45)GPS+Sudangras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'45)GPS+Sudangras Biogas aF(a)'!L42</f>
        <v>237.4340195648</v>
      </c>
      <c r="N24" s="1567">
        <f>'45)GPS+Sudangras Biogas aF(a)'!N42</f>
        <v>237.4340195648</v>
      </c>
      <c r="O24" s="1574">
        <f>'45)GPS+Sudangras Biogas aF(a)'!P42</f>
        <v>237.4340195648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'45)GPS+Sudangras Biogas aF(a)'!L58</f>
        <v>230.75766000000002</v>
      </c>
      <c r="N25" s="1567">
        <f>'45)GPS+Sudangras Biogas aF(a)'!N58</f>
        <v>256.3974</v>
      </c>
      <c r="O25" s="1574">
        <f>'45)GPS+Sudangras Biogas aF(a)'!P58</f>
        <v>282.03714000000002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'45)GPS+Sudangras Biogas aF(a)'!L63</f>
        <v>0</v>
      </c>
      <c r="N26" s="1980">
        <f>'45)GPS+Sudangras Biogas aF(a)'!N63</f>
        <v>0</v>
      </c>
      <c r="O26" s="1981">
        <f>'45)GPS+Sudangras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839.78169856479997</v>
      </c>
      <c r="N27" s="1775">
        <f>SUM(N19:N26)</f>
        <v>923.55282956479982</v>
      </c>
      <c r="O27" s="2055">
        <f>SUM(O19:O26)</f>
        <v>971.9214605648001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-839.78169856479997</v>
      </c>
      <c r="N28" s="2060">
        <f>-N27</f>
        <v>-923.55282956479982</v>
      </c>
      <c r="O28" s="2061">
        <f>-O27</f>
        <v>-971.9214605648001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M27*'45)GPS+Sudangras Biogas aF(a)'!$L$70*'45)GPS+Sudangras Biogas aF(a)'!$P$70/12/100</f>
        <v>5.2486356160299996</v>
      </c>
      <c r="N30" s="1980">
        <f>N27*'45)GPS+Sudangras Biogas aF(a)'!$L$70*'45)GPS+Sudangras Biogas aF(a)'!$P$70/12/100</f>
        <v>5.7722051847799989</v>
      </c>
      <c r="O30" s="1981">
        <f>O27*'45)GPS+Sudangras Biogas aF(a)'!$L$70*'45)GPS+Sudangras Biogas aF(a)'!$P$70/12/100</f>
        <v>6.0745091285299999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-575.03033418082998</v>
      </c>
      <c r="N31" s="1769">
        <f>N28+N29-N30</f>
        <v>-659.3250347495798</v>
      </c>
      <c r="O31" s="1776">
        <f>O28+O29-O30</f>
        <v>-707.99596969333015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-0.12468485325493346</v>
      </c>
      <c r="N32" s="1561">
        <f>IF(N12=0,0,N31/N12)</f>
        <v>-0.12866636121022967</v>
      </c>
      <c r="O32" s="2047">
        <f>IF(O12=0,0,O31/O12)</f>
        <v>-0.12560402390984313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-3.4634681459703747</v>
      </c>
      <c r="N33" s="1576">
        <f>IF(N13=0,0,N31/N13)</f>
        <v>-3.5740655891730468</v>
      </c>
      <c r="O33" s="2052">
        <f>IF(O13=0,0,O31/O13)</f>
        <v>-3.4890006641623099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'45)GPS+Sudangras Biogas aF(a)'!K57</f>
        <v>9.5939999999999994</v>
      </c>
      <c r="N35" s="2396">
        <f>'45)GPS+Sudangras Biogas aF(a)'!M57</f>
        <v>9.5939999999999994</v>
      </c>
      <c r="O35" s="2398">
        <f>'45)GPS+Sudangras Biogas aF(a)'!O57</f>
        <v>9.5939999999999994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'45)GPS+Sudangras Biogas aF(a)'!L10</f>
        <v>0</v>
      </c>
      <c r="N36" s="2431">
        <f>'45)GPS+Sudangras Biogas aF(a)'!N10</f>
        <v>0</v>
      </c>
      <c r="O36" s="2432">
        <f>'45)GPS+Sudangras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167.89499999999998</v>
      </c>
      <c r="N37" s="1567">
        <f>$J$37*N35</f>
        <v>167.89499999999998</v>
      </c>
      <c r="O37" s="1574">
        <f>$J$37*O35</f>
        <v>167.89499999999998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1116.6734190509258</v>
      </c>
      <c r="N43" s="1991">
        <f>SUM(N37:N42)</f>
        <v>806.67341905092576</v>
      </c>
      <c r="O43" s="1994">
        <f>SUM(O37:O42)</f>
        <v>806.67341905092576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1961.7037532317559</v>
      </c>
      <c r="N46" s="2041">
        <f>N27+N30+N43</f>
        <v>1735.9984538005056</v>
      </c>
      <c r="O46" s="2080">
        <f>O27+O30+O43</f>
        <v>1784.6693887442559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-1961.7037532317559</v>
      </c>
      <c r="N47" s="2227">
        <f>N45-N46</f>
        <v>-1735.9984538005056</v>
      </c>
      <c r="O47" s="2228">
        <f>O45-O46</f>
        <v>-1784.6693887442559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-1691.7037532317559</v>
      </c>
      <c r="N49" s="1991">
        <f>N47+N48</f>
        <v>-1465.9984538005056</v>
      </c>
      <c r="O49" s="1994">
        <f>O47+O48</f>
        <v>-1514.6693887442559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1691.7037532317559</v>
      </c>
      <c r="N51" s="1771">
        <f>N46-N48</f>
        <v>1465.9984538005056</v>
      </c>
      <c r="O51" s="3358">
        <f>O46-O48</f>
        <v>1514.6693887442559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3.5104209178549923</v>
      </c>
      <c r="N52" s="2335">
        <f>IF(N10=0,0,N$51/N10)</f>
        <v>2.7378578933455957</v>
      </c>
      <c r="O52" s="2336">
        <f>IF(O10=0,0,O$51/O10)</f>
        <v>2.5715948875114703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10.637639145015129</v>
      </c>
      <c r="N53" s="2335">
        <f>IF(N9=0,0,N$51/N9)</f>
        <v>8.296539070744231</v>
      </c>
      <c r="O53" s="2336">
        <f>IF(O9=0,0,O$51/O9)</f>
        <v>7.7927117803377879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23.870862241413946</v>
      </c>
      <c r="N54" s="2335">
        <f t="shared" si="3"/>
        <v>18.617433674750053</v>
      </c>
      <c r="O54" s="2336">
        <f t="shared" si="3"/>
        <v>17.486845235077997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0.36681514293155615</v>
      </c>
      <c r="N55" s="2219">
        <f t="shared" si="3"/>
        <v>0.28608755416359422</v>
      </c>
      <c r="O55" s="2220">
        <f t="shared" si="3"/>
        <v>0.2687141993219927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10.189309525876562</v>
      </c>
      <c r="N56" s="2219">
        <f>IF(N13=0,0,N$51/N13)</f>
        <v>7.9468765045442842</v>
      </c>
      <c r="O56" s="2220">
        <f>IF(O13=0,0,O$51/O13)</f>
        <v>7.4642833144997986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0.10189309525876561</v>
      </c>
      <c r="N57" s="2222">
        <f>N51/$N$12*10/$F$57</f>
        <v>7.9468765045442841E-2</v>
      </c>
      <c r="O57" s="2223">
        <f>O51/$O$12*10/$F$57</f>
        <v>7.4642833144997978E-2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1691.7037532317559</v>
      </c>
      <c r="N58" s="1769">
        <f>N51-N38</f>
        <v>1465.9984538005056</v>
      </c>
      <c r="O58" s="1776">
        <f>O51-O38</f>
        <v>1514.6693887442559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9.8930044048640688</v>
      </c>
      <c r="N59" s="3416">
        <f>N58/N7</f>
        <v>7.7157813357921343</v>
      </c>
      <c r="O59" s="3417">
        <f>O58/O7</f>
        <v>7.2472219557141431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0.36681514293155615</v>
      </c>
      <c r="N60" s="2130">
        <f>IF(N12=0,0,N$58/N12)</f>
        <v>0.28608755416359422</v>
      </c>
      <c r="O60" s="2217">
        <f>IF(O12=0,0,O$58/O12)</f>
        <v>0.2687141993219927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0.10189309525876561</v>
      </c>
      <c r="N61" s="2130">
        <f>N58/$N$12*10/$F$57</f>
        <v>7.9468765045442841E-2</v>
      </c>
      <c r="O61" s="3422">
        <f>O58/$O$12*10/$F$57</f>
        <v>7.4642833144997978E-2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10.189309525876562</v>
      </c>
      <c r="N62" s="1874">
        <f>IF(N13=0,0,N$58/N13)</f>
        <v>7.9468765045442842</v>
      </c>
      <c r="O62" s="2032">
        <f>IF(O13=0,0,O$58/O13)</f>
        <v>7.4642833144997986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376.83865461603</v>
      </c>
      <c r="N64" s="1772">
        <f>SUM(N19:N23)+N30</f>
        <v>435.4936151847798</v>
      </c>
      <c r="O64" s="1773">
        <f>SUM(O19:O23)+O30</f>
        <v>458.52481012853008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8.1710597787021319E-2</v>
      </c>
      <c r="N65" s="2031">
        <f>IF(N12=0,0,N64/N12)</f>
        <v>8.4985971778541433E-2</v>
      </c>
      <c r="O65" s="2032">
        <f>IF(O12=0,0,O64/O12)</f>
        <v>8.1345888507792646E-2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1077.0450986157259</v>
      </c>
      <c r="N66" s="2038">
        <f>N24+N25+N26+N39+N37</f>
        <v>1102.6848386157258</v>
      </c>
      <c r="O66" s="2039">
        <f>O24+O25+O26+O39+O37</f>
        <v>1128.3245786157258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0.2335376102569513</v>
      </c>
      <c r="N67" s="2168">
        <f>IF(N12=0,0,N66/N12)</f>
        <v>0.21518740874182346</v>
      </c>
      <c r="O67" s="2187">
        <f>IF(O12=0,0,O66/O12)</f>
        <v>0.20017360750217339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Aulendorf&amp;C&amp;12 109&amp;9
&amp;R&amp;12&amp;F
&amp;A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1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5703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81.119544592030365</v>
      </c>
      <c r="M10" s="286"/>
      <c r="N10" s="811">
        <f>IF(R10=TRUE,IF(M8=0,0,1/M8*N9),0)</f>
        <v>90.132827324478171</v>
      </c>
      <c r="O10" s="173"/>
      <c r="P10" s="722">
        <f>IF(R10=TRUE,IF(O8=0,0,1/O8*P9),0)</f>
        <v>99.146110056926005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642.72994800000004</v>
      </c>
      <c r="M17" s="2600">
        <f>K17</f>
        <v>1</v>
      </c>
      <c r="N17" s="2591">
        <f>M17*(N33*(1-$AC$14)+N34*(1-$AC$15)+N35*(1-$AC$16)+N36*(1-$AC$17))</f>
        <v>714.14438666666672</v>
      </c>
      <c r="O17" s="2601">
        <f>K17</f>
        <v>1</v>
      </c>
      <c r="P17" s="2590">
        <f>O17*(P33*(1-$AC$14)+P34*(1-$AC$15)+P35*(1-$AC$16)+P36*(1-$AC$17))</f>
        <v>785.55882533333317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176.55</v>
      </c>
      <c r="M27" s="804"/>
      <c r="N27" s="786">
        <f>SUM(N29:N30)</f>
        <v>176.55</v>
      </c>
      <c r="O27" s="330"/>
      <c r="P27" s="325">
        <f>SUM(P29:P30)</f>
        <v>176.55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50</v>
      </c>
      <c r="I29" s="711">
        <f>H29*($H$27+100)/100</f>
        <v>53.5</v>
      </c>
      <c r="J29" s="91"/>
      <c r="K29" s="440">
        <v>1.7</v>
      </c>
      <c r="L29" s="337">
        <f>$I29*K29</f>
        <v>90.95</v>
      </c>
      <c r="M29" s="440">
        <v>1.7</v>
      </c>
      <c r="N29" s="791">
        <f>$I29*M29</f>
        <v>90.95</v>
      </c>
      <c r="O29" s="440">
        <v>1.7</v>
      </c>
      <c r="P29" s="337">
        <f>$I29*O29</f>
        <v>90.95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80</v>
      </c>
      <c r="I30" s="712">
        <f>H30*($H$27+100)/100</f>
        <v>85.6</v>
      </c>
      <c r="J30" s="92"/>
      <c r="K30" s="441">
        <v>1</v>
      </c>
      <c r="L30" s="333">
        <f>$I30*K30</f>
        <v>85.6</v>
      </c>
      <c r="M30" s="441">
        <v>1</v>
      </c>
      <c r="N30" s="792">
        <f>$I30*M30</f>
        <v>85.6</v>
      </c>
      <c r="O30" s="441">
        <v>1</v>
      </c>
      <c r="P30" s="333">
        <f>$I30*O30</f>
        <v>85.6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739.65223500000002</v>
      </c>
      <c r="M31" s="819"/>
      <c r="N31" s="786">
        <f>SUM(N33:N36)</f>
        <v>821.83581666666657</v>
      </c>
      <c r="O31" s="334"/>
      <c r="P31" s="325">
        <f>SUM(P33:P36)</f>
        <v>904.01939833333324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1.1000000000000001</v>
      </c>
      <c r="H33" s="386">
        <v>0</v>
      </c>
      <c r="I33"/>
      <c r="J33" s="172"/>
      <c r="K33" s="336">
        <f>G33*$K$9+H33</f>
        <v>188.10000000000002</v>
      </c>
      <c r="L33" s="337">
        <f>K33*$E33</f>
        <v>323.07429000000002</v>
      </c>
      <c r="M33" s="820">
        <f>G33*$M$9+H33</f>
        <v>209.00000000000003</v>
      </c>
      <c r="N33" s="791">
        <f>M33*$E33</f>
        <v>358.97143333333338</v>
      </c>
      <c r="O33" s="336">
        <f>G33*$O$9+H33</f>
        <v>229.9</v>
      </c>
      <c r="P33" s="337">
        <f>O33*$E33</f>
        <v>394.86857666666668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0.72</v>
      </c>
      <c r="H34" s="386"/>
      <c r="I34"/>
      <c r="J34" s="172"/>
      <c r="K34" s="336">
        <f>G34*$K$9+H34</f>
        <v>123.11999999999999</v>
      </c>
      <c r="L34" s="337">
        <f>K34*$E34</f>
        <v>139.18715999999998</v>
      </c>
      <c r="M34" s="820">
        <f>G34*$M$9+H34</f>
        <v>136.79999999999998</v>
      </c>
      <c r="N34" s="791">
        <f>M34*$E34</f>
        <v>154.65239999999997</v>
      </c>
      <c r="O34" s="336">
        <f>G34*$O$9+H34</f>
        <v>150.47999999999999</v>
      </c>
      <c r="P34" s="337">
        <f>O34*$E34</f>
        <v>170.11763999999997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1.43</v>
      </c>
      <c r="H35" s="386"/>
      <c r="I35"/>
      <c r="J35" s="172"/>
      <c r="K35" s="336">
        <f>G35*$K$9+H35</f>
        <v>244.53</v>
      </c>
      <c r="L35" s="337">
        <f>K35*$E35</f>
        <v>257.041785</v>
      </c>
      <c r="M35" s="820">
        <f>G35*$M$9+H35</f>
        <v>271.7</v>
      </c>
      <c r="N35" s="791">
        <f>M35*$E35</f>
        <v>285.60198333333329</v>
      </c>
      <c r="O35" s="336">
        <f>G35*$O$9+H35</f>
        <v>298.87</v>
      </c>
      <c r="P35" s="337">
        <f>O35*$E35</f>
        <v>314.16218166666664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34.200000000000003</v>
      </c>
      <c r="L36" s="333">
        <f>K36*$E36</f>
        <v>20.349</v>
      </c>
      <c r="M36" s="821">
        <f>G36*$M$9+H36</f>
        <v>38</v>
      </c>
      <c r="N36" s="792">
        <f>M36*$E36</f>
        <v>22.61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127.0325</v>
      </c>
      <c r="O37" s="339"/>
      <c r="P37" s="325">
        <f>SUM(P39:P41)</f>
        <v>137.14750000000001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475.83538692066838</v>
      </c>
      <c r="M42" s="823"/>
      <c r="N42" s="786">
        <f>SUM(W45:W55)</f>
        <v>502.32442773798704</v>
      </c>
      <c r="O42" s="425"/>
      <c r="P42" s="325">
        <f>SUM(Z45:Z55)</f>
        <v>528.8134685553058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1</v>
      </c>
      <c r="L49" s="337">
        <f t="shared" si="0"/>
        <v>91.198364600000005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1.45</v>
      </c>
      <c r="S49" s="471" t="e">
        <f>K49*#REF!</f>
        <v>#REF!</v>
      </c>
      <c r="T49" s="258">
        <f t="shared" si="4"/>
        <v>91.198364600000005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1.1032258064516129</v>
      </c>
      <c r="L51" s="337">
        <f t="shared" si="0"/>
        <v>177.41104906213164</v>
      </c>
      <c r="M51" s="375">
        <f>N9/500</f>
        <v>1.2258064516129032</v>
      </c>
      <c r="N51" s="791">
        <f t="shared" si="1"/>
        <v>197.1233878468129</v>
      </c>
      <c r="O51" s="375">
        <f>P9/500</f>
        <v>1.3483870967741935</v>
      </c>
      <c r="P51" s="337">
        <f t="shared" si="2"/>
        <v>216.8357266314942</v>
      </c>
      <c r="Q51" s="528"/>
      <c r="R51" s="1348">
        <f t="shared" si="3"/>
        <v>8.69341935483871</v>
      </c>
      <c r="S51" s="471" t="e">
        <f>K51*#REF!</f>
        <v>#REF!</v>
      </c>
      <c r="T51" s="258">
        <f t="shared" si="4"/>
        <v>177.41104906213164</v>
      </c>
      <c r="U51" s="1349">
        <f t="shared" si="5"/>
        <v>9.6593548387096781</v>
      </c>
      <c r="V51" s="1350" t="e">
        <f>M51*#REF!</f>
        <v>#REF!</v>
      </c>
      <c r="W51" s="827">
        <f t="shared" si="6"/>
        <v>197.1233878468129</v>
      </c>
      <c r="X51" s="1351">
        <f t="shared" si="7"/>
        <v>10.625290322580645</v>
      </c>
      <c r="Y51" s="471" t="e">
        <f>O51*#REF!</f>
        <v>#REF!</v>
      </c>
      <c r="Z51" s="258">
        <f t="shared" si="8"/>
        <v>216.8357266314942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55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1.1032258064516129</v>
      </c>
      <c r="L52" s="337">
        <f t="shared" si="0"/>
        <v>60.990318293736763</v>
      </c>
      <c r="M52" s="375">
        <f>N9/500</f>
        <v>1.2258064516129032</v>
      </c>
      <c r="N52" s="791">
        <f t="shared" si="1"/>
        <v>67.76702032637418</v>
      </c>
      <c r="O52" s="375">
        <f>P9/500</f>
        <v>1.3483870967741935</v>
      </c>
      <c r="P52" s="337">
        <f t="shared" si="2"/>
        <v>74.543722359011596</v>
      </c>
      <c r="Q52" s="528"/>
      <c r="R52" s="1348">
        <f t="shared" si="3"/>
        <v>2.3498709677419356</v>
      </c>
      <c r="S52" s="471" t="e">
        <f>K52*#REF!</f>
        <v>#REF!</v>
      </c>
      <c r="T52" s="258">
        <f t="shared" si="4"/>
        <v>60.990318293736763</v>
      </c>
      <c r="U52" s="1349">
        <f t="shared" si="5"/>
        <v>2.6109677419354838</v>
      </c>
      <c r="V52" s="1350" t="e">
        <f>M52*#REF!</f>
        <v>#REF!</v>
      </c>
      <c r="W52" s="827">
        <f t="shared" si="6"/>
        <v>67.76702032637418</v>
      </c>
      <c r="X52" s="1351">
        <f t="shared" si="7"/>
        <v>2.8720645161290319</v>
      </c>
      <c r="Y52" s="471" t="e">
        <f>O52*#REF!</f>
        <v>#REF!</v>
      </c>
      <c r="Z52" s="258">
        <f t="shared" si="8"/>
        <v>74.543722359011596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16.373290322580644</v>
      </c>
      <c r="L56" s="341"/>
      <c r="M56" s="797">
        <f>SUM($U$45:$U$55)</f>
        <v>17.600322580645162</v>
      </c>
      <c r="N56" s="798"/>
      <c r="O56" s="340">
        <f>SUM($X$45:$X$55)</f>
        <v>18.827354838709677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26.373290322580644</v>
      </c>
      <c r="L57" s="343"/>
      <c r="M57" s="799">
        <f>IF(M56+(M56*$G$57/100)&gt;M56+10,M56+10,M56+(M56*$G$57/100))</f>
        <v>27.600322580645162</v>
      </c>
      <c r="N57" s="800"/>
      <c r="O57" s="342">
        <f>IF(O56+(O56*$G$57/100)&gt;O56+10,O56+10,O56+(O56*$G$57/100))</f>
        <v>28.827354838709677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584.18766000000005</v>
      </c>
      <c r="M58" s="826"/>
      <c r="N58" s="786">
        <f>SUM(N60:N62)</f>
        <v>649.09739999999999</v>
      </c>
      <c r="O58" s="344"/>
      <c r="P58" s="325">
        <f>SUM(P60:P62)</f>
        <v>714.00714000000005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165</v>
      </c>
      <c r="I60" s="3013">
        <f>H60*($H$58+100)/100</f>
        <v>196.35</v>
      </c>
      <c r="J60" s="400"/>
      <c r="K60" s="3014">
        <v>1.8</v>
      </c>
      <c r="L60" s="3015">
        <f>K60*I60</f>
        <v>353.43</v>
      </c>
      <c r="M60" s="3014">
        <v>2</v>
      </c>
      <c r="N60" s="3016">
        <f>M60*I60</f>
        <v>392.7</v>
      </c>
      <c r="O60" s="3014">
        <v>2.2000000000000002</v>
      </c>
      <c r="P60" s="3015">
        <f>O60*I60</f>
        <v>431.97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71.400000000000006</v>
      </c>
      <c r="M67" s="830"/>
      <c r="N67" s="786">
        <f>SUM(N68:N69)</f>
        <v>71.400000000000006</v>
      </c>
      <c r="O67" s="330"/>
      <c r="P67" s="325">
        <f>SUM(P68:P69)</f>
        <v>71.400000000000006</v>
      </c>
      <c r="Q67" s="1166"/>
    </row>
    <row r="68" spans="1:79" s="51" customFormat="1" ht="15" customHeight="1" x14ac:dyDescent="0.2">
      <c r="A68" s="195" t="s">
        <v>552</v>
      </c>
      <c r="B68" s="937">
        <v>5</v>
      </c>
      <c r="C68" s="104"/>
      <c r="D68" s="137" t="str">
        <f>IF($B68=0,0,VLOOKUP($B68,'Preise-Stammdaten'!$B$61:'Preise-Stammdaten'!$N$66,2))</f>
        <v>Zwei-Kulturen-Nutzung: Folie, Anstrich, Säcke</v>
      </c>
      <c r="E68" s="8"/>
      <c r="F68" s="105"/>
      <c r="G68" s="105"/>
      <c r="H68" s="1377"/>
      <c r="I68" s="1374">
        <f>IF($B68=0,0,VLOOKUP($B68,'Preise-Stammdaten'!$B$61:$N$66,13))</f>
        <v>71.400000000000006</v>
      </c>
      <c r="J68" s="146"/>
      <c r="K68" s="1181"/>
      <c r="L68" s="713">
        <f>$I$68</f>
        <v>71.400000000000006</v>
      </c>
      <c r="M68" s="1181"/>
      <c r="N68" s="831">
        <f>$I$68</f>
        <v>71.400000000000006</v>
      </c>
      <c r="O68" s="1181"/>
      <c r="P68" s="713">
        <f>$I$68</f>
        <v>71.400000000000006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Aulendorf&amp;C&amp;12 110&amp;9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2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2">
    <tabColor rgb="FFFFC000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'46)GPS+Sudangr Biogas ex S(a)'!J2</f>
        <v>2022</v>
      </c>
      <c r="K2" s="2504" t="s">
        <v>858</v>
      </c>
      <c r="L2" s="2502"/>
      <c r="M2" s="2505"/>
      <c r="N2" s="2529"/>
      <c r="O2" s="2530" t="str">
        <f>'46)GPS+Sudangr Biogas ex S(a)'!M2</f>
        <v>GPS + Sudangr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6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'46)GPS+Sudangr Biogas ex S(a)'!H3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'46)GPS+Sudangr Biogas ex S(a)'!K5</f>
        <v>180</v>
      </c>
      <c r="N6" s="1735">
        <f>'46)GPS+Sudangr Biogas ex S(a)'!M5</f>
        <v>200</v>
      </c>
      <c r="O6" s="1743">
        <f>'46)GPS+Sudangr Biogas ex S(a)'!O5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'46)GPS+Sudangr Biogas ex S(a)'!K9</f>
        <v>171</v>
      </c>
      <c r="N7" s="1736">
        <f>'46)GPS+Sudangr Biogas ex S(a)'!M9</f>
        <v>190</v>
      </c>
      <c r="O7" s="1744">
        <f>'46)GPS+Sudangr Biogas ex S(a)'!O9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'46)GPS+Sudangr Biogas ex S(a)'!L9</f>
        <v>551.61290322580646</v>
      </c>
      <c r="N8" s="1737">
        <f>'46)GPS+Sudangr Biogas ex S(a)'!N9</f>
        <v>612.90322580645159</v>
      </c>
      <c r="O8" s="1583">
        <f>'46)GPS+Sudangr Biogas ex S(a)'!P9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'46)GPS+Sudangr Biogas ex S(a)'!K11</f>
        <v>159.03</v>
      </c>
      <c r="N9" s="1562">
        <f>'46)GPS+Sudangr Biogas ex S(a)'!M11</f>
        <v>176.7</v>
      </c>
      <c r="O9" s="1747">
        <f>'46)GPS+Sudangr Biogas ex S(a)'!O11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'46)GPS+Sudangr Biogas ex S(a)'!L11</f>
        <v>481.90909090909093</v>
      </c>
      <c r="N10" s="1582">
        <f>'46)GPS+Sudangr Biogas ex S(a)'!N11</f>
        <v>535.4545454545455</v>
      </c>
      <c r="O10" s="2014">
        <f>'46)GPS+Sudangr Biogas ex S(a)'!P11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'46)GPS+Sudangr Biogas ex S(a)'!L12</f>
        <v>70.868983957219257</v>
      </c>
      <c r="N11" s="1818">
        <f>'46)GPS+Sudangr Biogas ex S(a)'!N12</f>
        <v>78.743315508021396</v>
      </c>
      <c r="O11" s="1819">
        <f>'46)GPS+Sudangr Biogas ex S(a)'!P12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'46)GPS+Sudangr Biogas ex S(a)'!K15</f>
        <v>4611.87</v>
      </c>
      <c r="N12" s="1738">
        <f>'46)GPS+Sudangr Biogas ex S(a)'!M15</f>
        <v>5124.2999999999993</v>
      </c>
      <c r="O12" s="1745">
        <f>'46)GPS+Sudangr Biogas ex S(a)'!O15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'46)GPS+Sudangr Biogas ex S(a)'!K16</f>
        <v>166.02731999999997</v>
      </c>
      <c r="N13" s="2077">
        <f>'46)GPS+Sudangr Biogas ex S(a)'!M16</f>
        <v>184.47479999999996</v>
      </c>
      <c r="O13" s="2078">
        <f>'46)GPS+Sudangr Biogas ex S(a)'!O16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'46)GPS+Sudangr Biogas ex S(a)'!L24</f>
        <v>270</v>
      </c>
      <c r="N15" s="3338">
        <f>'46)GPS+Sudangr Biogas ex S(a)'!N24</f>
        <v>270</v>
      </c>
      <c r="O15" s="3341">
        <f>'46)GPS+Sudangr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'46)GPS+Sudangr Biogas ex S(a)'!L18</f>
        <v>0</v>
      </c>
      <c r="N16" s="1736">
        <f>'46)GPS+Sudangr Biogas ex S(a)'!N18</f>
        <v>0</v>
      </c>
      <c r="O16" s="3343">
        <f>'46)GPS+Sudangr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'46)GPS+Sudangr Biogas ex S(a)'!L27</f>
        <v>176.55</v>
      </c>
      <c r="N19" s="2072">
        <f>'46)GPS+Sudangr Biogas ex S(a)'!N27</f>
        <v>176.55</v>
      </c>
      <c r="O19" s="2072">
        <f>'46)GPS+Sudangr Biogas ex S(a)'!P27</f>
        <v>176.55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'46)GPS+Sudangr Biogas ex S(a)'!L31-'46)GPS+Sudangr Biogas ex S(a)'!L17</f>
        <v>96.922286999999983</v>
      </c>
      <c r="N20" s="1567">
        <f>'46)GPS+Sudangr Biogas ex S(a)'!N31-'46)GPS+Sudangr Biogas ex S(a)'!N17</f>
        <v>107.69142999999985</v>
      </c>
      <c r="O20" s="1567">
        <f>'46)GPS+Sudangr Biogas ex S(a)'!P31-'46)GPS+Sudangr Biogas ex S(a)'!P17</f>
        <v>118.46057300000007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'46)GPS+Sudangr Biogas ex S(a)'!L37</f>
        <v>81.515000000000001</v>
      </c>
      <c r="N21" s="1567">
        <f>'46)GPS+Sudangr Biogas ex S(a)'!N37</f>
        <v>127.0325</v>
      </c>
      <c r="O21" s="1574">
        <f>'46)GPS+Sudangr Biogas ex S(a)'!P37</f>
        <v>137.14750000000001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'46)GPS+Sudangr Biogas ex S(a)'!L65</f>
        <v>16.602732</v>
      </c>
      <c r="N22" s="1567">
        <f>'46)GPS+Sudangr Biogas ex S(a)'!N65</f>
        <v>18.447479999999995</v>
      </c>
      <c r="O22" s="1574">
        <f>'46)GPS+Sudangr Biogas ex S(a)'!P65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'46)GPS+Sudangr Biogas ex S(a)'!L67</f>
        <v>71.400000000000006</v>
      </c>
      <c r="N23" s="1567">
        <f>'46)GPS+Sudangr Biogas ex S(a)'!N67</f>
        <v>71.400000000000006</v>
      </c>
      <c r="O23" s="1574">
        <f>'46)GPS+Sudangr Biogas ex S(a)'!P67</f>
        <v>71.400000000000006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'46)GPS+Sudangr Biogas ex S(a)'!L42</f>
        <v>475.83538692066838</v>
      </c>
      <c r="N24" s="1567">
        <f>'46)GPS+Sudangr Biogas ex S(a)'!N42</f>
        <v>502.32442773798704</v>
      </c>
      <c r="O24" s="1574">
        <f>'46)GPS+Sudangr Biogas ex S(a)'!P42</f>
        <v>528.8134685553058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'46)GPS+Sudangr Biogas ex S(a)'!L58</f>
        <v>584.18766000000005</v>
      </c>
      <c r="N25" s="1567">
        <f>'46)GPS+Sudangr Biogas ex S(a)'!N58</f>
        <v>649.09739999999999</v>
      </c>
      <c r="O25" s="1574">
        <f>'46)GPS+Sudangr Biogas ex S(a)'!P58</f>
        <v>714.00714000000005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'46)GPS+Sudangr Biogas ex S(a)'!L63</f>
        <v>0</v>
      </c>
      <c r="N26" s="1980">
        <f>'46)GPS+Sudangr Biogas ex S(a)'!N63</f>
        <v>0</v>
      </c>
      <c r="O26" s="1981">
        <f>'46)GPS+Sudangr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1503.0130659206684</v>
      </c>
      <c r="N27" s="1775">
        <f>SUM(N19:N26)</f>
        <v>1652.5432377379871</v>
      </c>
      <c r="O27" s="2055">
        <f>SUM(O19:O26)</f>
        <v>1766.670909555306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-1503.0130659206684</v>
      </c>
      <c r="N28" s="2060">
        <f>-N27</f>
        <v>-1652.5432377379871</v>
      </c>
      <c r="O28" s="2061">
        <f>-O27</f>
        <v>-1766.670909555306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M27*'46)GPS+Sudangr Biogas ex S(a)'!$L$70*'46)GPS+Sudangr Biogas ex S(a)'!$P$70/12/100</f>
        <v>9.3938316620041782</v>
      </c>
      <c r="N30" s="1980">
        <f>N27*'46)GPS+Sudangr Biogas ex S(a)'!$L$70*'46)GPS+Sudangr Biogas ex S(a)'!$P$70/12/100</f>
        <v>10.328395235862418</v>
      </c>
      <c r="O30" s="1981">
        <f>O27*'46)GPS+Sudangr Biogas ex S(a)'!$L$70*'46)GPS+Sudangr Biogas ex S(a)'!$P$70/12/100</f>
        <v>11.041693184720664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-1242.4068975826726</v>
      </c>
      <c r="N31" s="1769">
        <f>N28+N29-N30</f>
        <v>-1392.8716329738495</v>
      </c>
      <c r="O31" s="1776">
        <f>O28+O29-O30</f>
        <v>-1507.7126027400268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-0.26939330414401808</v>
      </c>
      <c r="N32" s="1561">
        <f>IF(N12=0,0,N31/N12)</f>
        <v>-0.27181695704268871</v>
      </c>
      <c r="O32" s="2047">
        <f>IF(O12=0,0,O31/O12)</f>
        <v>-0.26748001105960845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-7.4831473373338362</v>
      </c>
      <c r="N33" s="1576">
        <f>IF(N13=0,0,N31/N13)</f>
        <v>-7.5504710289635755</v>
      </c>
      <c r="O33" s="2052">
        <f>IF(O13=0,0,O31/O13)</f>
        <v>-7.4300003072113467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'46)GPS+Sudangr Biogas ex S(a)'!K57</f>
        <v>26.373290322580644</v>
      </c>
      <c r="N35" s="2396">
        <f>'46)GPS+Sudangr Biogas ex S(a)'!M57</f>
        <v>27.600322580645162</v>
      </c>
      <c r="O35" s="2398">
        <f>'46)GPS+Sudangr Biogas ex S(a)'!O57</f>
        <v>28.827354838709677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'46)GPS+Sudangr Biogas ex S(a)'!L10</f>
        <v>81.119544592030365</v>
      </c>
      <c r="N36" s="2431">
        <f>'46)GPS+Sudangr Biogas ex S(a)'!N10</f>
        <v>90.132827324478171</v>
      </c>
      <c r="O36" s="2432">
        <f>'46)GPS+Sudangr Biogas ex S(a)'!P10</f>
        <v>99.146110056926005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461.53258064516126</v>
      </c>
      <c r="N37" s="1567">
        <f>$J$37*N35</f>
        <v>483.00564516129032</v>
      </c>
      <c r="O37" s="1574">
        <f>$J$37*O35</f>
        <v>504.47870967741937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394.17338709677421</v>
      </c>
      <c r="N38" s="2433">
        <f>N36*$I$36</f>
        <v>437.97043010752685</v>
      </c>
      <c r="O38" s="2429">
        <f>O36*$I$36</f>
        <v>481.76747311827961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1838.4491117928612</v>
      </c>
      <c r="N43" s="1991">
        <f>SUM(N37:N42)</f>
        <v>1593.7192193197429</v>
      </c>
      <c r="O43" s="1994">
        <f>SUM(O37:O42)</f>
        <v>1658.9893268466249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3350.8560093755341</v>
      </c>
      <c r="N46" s="2041">
        <f>N27+N30+N43</f>
        <v>3256.5908522935924</v>
      </c>
      <c r="O46" s="2080">
        <f>O27+O30+O43</f>
        <v>3436.7019295866517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-3350.8560093755341</v>
      </c>
      <c r="N47" s="2227">
        <f>N45-N46</f>
        <v>-3256.5908522935924</v>
      </c>
      <c r="O47" s="2228">
        <f>O45-O46</f>
        <v>-3436.7019295866517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-3080.8560093755341</v>
      </c>
      <c r="N49" s="1991">
        <f>N47+N48</f>
        <v>-2986.5908522935924</v>
      </c>
      <c r="O49" s="1994">
        <f>O47+O48</f>
        <v>-3166.7019295866517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3080.8560093755341</v>
      </c>
      <c r="N51" s="1771">
        <f>N46-N48</f>
        <v>2986.5908522935924</v>
      </c>
      <c r="O51" s="3358">
        <f>O46-O48</f>
        <v>3166.7019295866517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6.3930232226241976</v>
      </c>
      <c r="N52" s="2335">
        <f>IF(N10=0,0,N$51/N10)</f>
        <v>5.5776739176960124</v>
      </c>
      <c r="O52" s="2336">
        <f>IF(O10=0,0,O$51/O10)</f>
        <v>5.3764039551556051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19.372797644315753</v>
      </c>
      <c r="N53" s="2335">
        <f>IF(N9=0,0,N$51/N9)</f>
        <v>16.902042174836403</v>
      </c>
      <c r="O53" s="2336">
        <f>IF(O9=0,0,O$51/O9)</f>
        <v>16.292133197441228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43.472557913844547</v>
      </c>
      <c r="N54" s="2335">
        <f t="shared" si="3"/>
        <v>37.928182640332885</v>
      </c>
      <c r="O54" s="2336">
        <f t="shared" si="3"/>
        <v>36.559546895058112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0.66802750497640528</v>
      </c>
      <c r="N55" s="2219">
        <f t="shared" si="3"/>
        <v>0.58282904051160023</v>
      </c>
      <c r="O55" s="2220">
        <f t="shared" si="3"/>
        <v>0.56179769646349065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18.556319582677926</v>
      </c>
      <c r="N56" s="2219">
        <f>IF(N13=0,0,N$51/N13)</f>
        <v>16.189695569766673</v>
      </c>
      <c r="O56" s="2220">
        <f>IF(O13=0,0,O$51/O13)</f>
        <v>15.605491568430297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0.18556319582677924</v>
      </c>
      <c r="N57" s="2222">
        <f>N51/$N$12*10/$F$57</f>
        <v>0.16189695569766671</v>
      </c>
      <c r="O57" s="2223">
        <f>O51/$O$12*10/$F$57</f>
        <v>0.15605491568430296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2686.6826222787599</v>
      </c>
      <c r="N58" s="1769">
        <f>N51-N38</f>
        <v>2548.6204221860658</v>
      </c>
      <c r="O58" s="1776">
        <f>O51-O38</f>
        <v>2684.934456468372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16.894187400356913</v>
      </c>
      <c r="N59" s="3416">
        <f>N58/N9</f>
        <v>14.423431930877566</v>
      </c>
      <c r="O59" s="3417">
        <f>O58/O9</f>
        <v>13.813522953482389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0.58255818621920397</v>
      </c>
      <c r="N60" s="2130">
        <f>IF(N12=0,0,N$58/N12)</f>
        <v>0.49735972175439885</v>
      </c>
      <c r="O60" s="2217">
        <f>IF(O12=0,0,O$58/O12)</f>
        <v>0.47632837770628922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0.16182171839422332</v>
      </c>
      <c r="N61" s="2130">
        <f>N58/$N$12*10/$F$57</f>
        <v>0.13815547826511079</v>
      </c>
      <c r="O61" s="3422">
        <f>O58/$O$12*10/$F$57</f>
        <v>0.13231343825174699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16.182171839422335</v>
      </c>
      <c r="N62" s="1874">
        <f>IF(N13=0,0,N$58/N13)</f>
        <v>13.81554782651108</v>
      </c>
      <c r="O62" s="2032">
        <f>IF(O13=0,0,O$58/O13)</f>
        <v>13.231343825174704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452.38385066200414</v>
      </c>
      <c r="N64" s="1772">
        <f>SUM(N19:N23)+N30</f>
        <v>511.4498052358623</v>
      </c>
      <c r="O64" s="1773">
        <f>SUM(O19:O23)+O30</f>
        <v>534.89199418472072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9.8091197423605642E-2</v>
      </c>
      <c r="N65" s="2031">
        <f>IF(N12=0,0,N64/N12)</f>
        <v>9.9808716358500166E-2</v>
      </c>
      <c r="O65" s="2032">
        <f>IF(O12=0,0,O64/O12)</f>
        <v>9.4894024405057661E-2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2022.9678124340742</v>
      </c>
      <c r="N66" s="2038">
        <f>N24+N25+N26+N39+N37</f>
        <v>2109.3506169502034</v>
      </c>
      <c r="O66" s="2039">
        <f>O24+O25+O26+O39+O37</f>
        <v>2222.2224622836511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0.43864371988674317</v>
      </c>
      <c r="N67" s="2168">
        <f>IF(N12=0,0,N66/N12)</f>
        <v>0.41163683175266935</v>
      </c>
      <c r="O67" s="2187">
        <f>IF(O12=0,0,O66/O12)</f>
        <v>0.39423964998920491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2" firstPageNumber="15" orientation="portrait" horizontalDpi="300" verticalDpi="300" r:id="rId1"/>
  <headerFooter alignWithMargins="0">
    <oddFooter>&amp;L&amp;12LEL Schwäbisch Gmünd (Abtlg. II)
LAZBW Aulendorf&amp;C&amp;12 111&amp;9
&amp;R&amp;12&amp;F
&amp;A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3">
    <pageSetUpPr fitToPage="1"/>
  </sheetPr>
  <dimension ref="A1:CA73"/>
  <sheetViews>
    <sheetView showGridLines="0" showZeros="0" zoomScaleNormal="100" workbookViewId="0">
      <pane xSplit="10" ySplit="5" topLeftCell="N26" activePane="bottomRight" state="frozen"/>
      <selection activeCell="G1" sqref="G1:I1"/>
      <selection pane="topRight" activeCell="G1" sqref="G1:I1"/>
      <selection pane="bottomLeft" activeCell="G1" sqref="G1:I1"/>
      <selection pane="bottomRight" activeCell="Q66" sqref="Q66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1.42578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905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36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514.10580316666665</v>
      </c>
      <c r="M17" s="2600">
        <f>K17</f>
        <v>1</v>
      </c>
      <c r="N17" s="2591">
        <f>M17*(N33*(1-$AC$14)+N34*(1-$AC$15)+N35*(1-$AC$16)+N36*(1-$AC$17))</f>
        <v>668.33754411666655</v>
      </c>
      <c r="O17" s="2601">
        <f>K17</f>
        <v>1</v>
      </c>
      <c r="P17" s="2590">
        <f>O17*(P33*(1-$AC$14)+P34*(1-$AC$15)+P35*(1-$AC$16)+P36*(1-$AC$17))</f>
        <v>822.56928506666657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160.5</v>
      </c>
      <c r="M27" s="804"/>
      <c r="N27" s="786">
        <f>SUM(N29:N30)</f>
        <v>160.5</v>
      </c>
      <c r="O27" s="330"/>
      <c r="P27" s="325">
        <f>SUM(P29:P30)</f>
        <v>160.5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150</v>
      </c>
      <c r="I29" s="711">
        <f>H29*($H$27+100)/100</f>
        <v>160.5</v>
      </c>
      <c r="J29" s="91"/>
      <c r="K29" s="440">
        <v>1</v>
      </c>
      <c r="L29" s="337">
        <f>$I29*K29</f>
        <v>160.5</v>
      </c>
      <c r="M29" s="440">
        <v>1</v>
      </c>
      <c r="N29" s="791">
        <f>$I29*M29</f>
        <v>160.5</v>
      </c>
      <c r="O29" s="440">
        <v>1</v>
      </c>
      <c r="P29" s="337">
        <f>$I29*O29</f>
        <v>160.5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591.93733666666674</v>
      </c>
      <c r="M31" s="819"/>
      <c r="N31" s="786">
        <f>SUM(N33:N36)</f>
        <v>769.51853766666659</v>
      </c>
      <c r="O31" s="334"/>
      <c r="P31" s="325">
        <f>SUM(P33:P36)</f>
        <v>947.09973866666667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>
        <v>0</v>
      </c>
      <c r="I33"/>
      <c r="J33" s="172"/>
      <c r="K33" s="336">
        <f>G33*$K$9+H33</f>
        <v>151.05000000000001</v>
      </c>
      <c r="L33" s="337">
        <f>K33*$E33</f>
        <v>259.438445</v>
      </c>
      <c r="M33" s="820">
        <f>G33*$M$9+H33</f>
        <v>196.36500000000001</v>
      </c>
      <c r="N33" s="791">
        <f>M33*$E33</f>
        <v>337.26997850000004</v>
      </c>
      <c r="O33" s="336">
        <f>G33*$O$9+H33</f>
        <v>241.68</v>
      </c>
      <c r="P33" s="337">
        <f>O33*$E33</f>
        <v>415.10151200000001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0.77</v>
      </c>
      <c r="H34" s="386"/>
      <c r="I34"/>
      <c r="J34" s="172"/>
      <c r="K34" s="336">
        <f>G34*$K$9+H34</f>
        <v>73.150000000000006</v>
      </c>
      <c r="L34" s="337">
        <f>K34*$E34</f>
        <v>82.696074999999993</v>
      </c>
      <c r="M34" s="820">
        <f>G34*$M$9+H34</f>
        <v>95.094999999999999</v>
      </c>
      <c r="N34" s="791">
        <f>M34*$E34</f>
        <v>107.50489749999998</v>
      </c>
      <c r="O34" s="336">
        <f>G34*$O$9+H34</f>
        <v>117.04</v>
      </c>
      <c r="P34" s="337">
        <f>O34*$E34</f>
        <v>132.31371999999999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2.36</v>
      </c>
      <c r="H35" s="386"/>
      <c r="I35"/>
      <c r="J35" s="172"/>
      <c r="K35" s="336">
        <f>G35*$K$9+H35</f>
        <v>224.2</v>
      </c>
      <c r="L35" s="337">
        <f>K35*$E35</f>
        <v>235.67156666666665</v>
      </c>
      <c r="M35" s="820">
        <f>G35*$M$9+H35</f>
        <v>291.45999999999998</v>
      </c>
      <c r="N35" s="791">
        <f>M35*$E35</f>
        <v>306.37303666666662</v>
      </c>
      <c r="O35" s="336">
        <f>G35*$O$9+H35</f>
        <v>358.71999999999997</v>
      </c>
      <c r="P35" s="337">
        <f>O35*$E35</f>
        <v>377.07450666666659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0.25</v>
      </c>
      <c r="H36" s="387"/>
      <c r="I36" s="36"/>
      <c r="J36" s="36"/>
      <c r="K36" s="338">
        <f>G36*$K$9+H36</f>
        <v>23.75</v>
      </c>
      <c r="L36" s="333">
        <f>K36*$E36</f>
        <v>14.13125</v>
      </c>
      <c r="M36" s="821">
        <f>G36*$M$9+H36</f>
        <v>30.875</v>
      </c>
      <c r="N36" s="792">
        <f>M36*$E36</f>
        <v>18.370625</v>
      </c>
      <c r="O36" s="338">
        <f>G36*$O$9+H36</f>
        <v>38</v>
      </c>
      <c r="P36" s="333">
        <f>O36*$E36</f>
        <v>22.61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148.69305</v>
      </c>
      <c r="M58" s="826"/>
      <c r="N58" s="786">
        <f>SUM(N60:N62)</f>
        <v>193.30096499999999</v>
      </c>
      <c r="O58" s="344"/>
      <c r="P58" s="325">
        <f>SUM(P60:P62)</f>
        <v>237.90887999999998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14.100659999999998</v>
      </c>
      <c r="M65" s="1357"/>
      <c r="N65" s="786">
        <f>M66*$H66/100</f>
        <v>18.330857999999999</v>
      </c>
      <c r="O65" s="347"/>
      <c r="P65" s="325">
        <f>O66*$H66/100</f>
        <v>22.561055999999997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1.9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Aulendorf&amp;C&amp;12 112&amp;9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5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6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7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4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'47)Zuckerhirse HF Biogas aF-(a)'!J2</f>
        <v>2022</v>
      </c>
      <c r="K2" s="2504" t="s">
        <v>858</v>
      </c>
      <c r="L2" s="2502"/>
      <c r="M2" s="2505"/>
      <c r="N2" s="2529"/>
      <c r="O2" s="2530" t="str">
        <f>'47)Zuckerhirse HF Biogas aF-(a)'!M2</f>
        <v>Zuckerhirse Hauptfrucht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1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'47)Zuckerhirse HF Biogas aF-(a)'!H3</f>
        <v>Silage für Biogasanlage, 1-Schnitt Nutzung Ende September/Oktober; Rücklieferung Gärrest unter 100% Anrechnung Netto-Nährstoffe (30% N-Verluste); ab Feld,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'47)Zuckerhirse HF Biogas aF-(a)'!K5</f>
        <v>100</v>
      </c>
      <c r="N6" s="1735">
        <f>'47)Zuckerhirse HF Biogas aF-(a)'!M5</f>
        <v>130</v>
      </c>
      <c r="O6" s="1743">
        <f>'47)Zuckerhirse HF Biogas aF-(a)'!O5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'47)Zuckerhirse HF Biogas aF-(a)'!K9</f>
        <v>95</v>
      </c>
      <c r="N7" s="1736">
        <f>'47)Zuckerhirse HF Biogas aF-(a)'!M9</f>
        <v>123.5</v>
      </c>
      <c r="O7" s="1744">
        <f>'47)Zuckerhirse HF Biogas aF-(a)'!O9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'47)Zuckerhirse HF Biogas aF-(a)'!L9</f>
        <v>339.28571428571428</v>
      </c>
      <c r="N8" s="1737">
        <f>'47)Zuckerhirse HF Biogas aF-(a)'!N9</f>
        <v>441.07142857142856</v>
      </c>
      <c r="O8" s="1583">
        <f>'47)Zuckerhirse HF Biogas aF-(a)'!P9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'47)Zuckerhirse HF Biogas aF-(a)'!K11</f>
        <v>88.35</v>
      </c>
      <c r="N9" s="1562">
        <f>'47)Zuckerhirse HF Biogas aF-(a)'!M11</f>
        <v>114.855</v>
      </c>
      <c r="O9" s="1747">
        <f>'47)Zuckerhirse HF Biogas aF-(a)'!O11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'47)Zuckerhirse HF Biogas aF-(a)'!L11</f>
        <v>294.5</v>
      </c>
      <c r="N10" s="1582">
        <f>'47)Zuckerhirse HF Biogas aF-(a)'!N11</f>
        <v>382.85</v>
      </c>
      <c r="O10" s="2014">
        <f>'47)Zuckerhirse HF Biogas aF-(a)'!P11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'47)Zuckerhirse HF Biogas aF-(a)'!L12</f>
        <v>43.308823529411768</v>
      </c>
      <c r="N11" s="1818">
        <f>'47)Zuckerhirse HF Biogas aF-(a)'!N12</f>
        <v>56.301470588235297</v>
      </c>
      <c r="O11" s="1819">
        <f>'47)Zuckerhirse HF Biogas aF-(a)'!P12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'47)Zuckerhirse HF Biogas aF-(a)'!K15</f>
        <v>2473.7999999999997</v>
      </c>
      <c r="N12" s="1738">
        <f>'47)Zuckerhirse HF Biogas aF-(a)'!M15</f>
        <v>3215.94</v>
      </c>
      <c r="O12" s="1745">
        <f>'47)Zuckerhirse HF Biogas aF-(a)'!O15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'47)Zuckerhirse HF Biogas aF-(a)'!K16</f>
        <v>89.056799999999996</v>
      </c>
      <c r="N13" s="2077">
        <f>'47)Zuckerhirse HF Biogas aF-(a)'!M16</f>
        <v>115.77384000000001</v>
      </c>
      <c r="O13" s="2078">
        <f>'47)Zuckerhirse HF Biogas aF-(a)'!O16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'47)Zuckerhirse HF Biogas aF-(a)'!L24</f>
        <v>270</v>
      </c>
      <c r="N15" s="3338">
        <f>'47)Zuckerhirse HF Biogas aF-(a)'!N24</f>
        <v>270</v>
      </c>
      <c r="O15" s="3341">
        <f>'47)Zuckerhirse HF Biogas aF-(a)'!P24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'47)Zuckerhirse HF Biogas aF-(a)'!L18</f>
        <v>0</v>
      </c>
      <c r="N16" s="1736">
        <f>'47)Zuckerhirse HF Biogas aF-(a)'!N18</f>
        <v>0</v>
      </c>
      <c r="O16" s="3343">
        <f>'47)Zuckerhirse HF Biogas aF-(a)'!P18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'47)Zuckerhirse HF Biogas aF-(a)'!L27</f>
        <v>160.5</v>
      </c>
      <c r="N19" s="2072">
        <f>'47)Zuckerhirse HF Biogas aF-(a)'!N27</f>
        <v>160.5</v>
      </c>
      <c r="O19" s="2072">
        <f>'47)Zuckerhirse HF Biogas aF-(a)'!P27</f>
        <v>160.5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'47)Zuckerhirse HF Biogas aF-(a)'!L31-'47)Zuckerhirse HF Biogas aF-(a)'!L17</f>
        <v>77.831533500000091</v>
      </c>
      <c r="N20" s="1567">
        <f>'47)Zuckerhirse HF Biogas aF-(a)'!N31-'47)Zuckerhirse HF Biogas aF-(a)'!N17</f>
        <v>101.18099355000004</v>
      </c>
      <c r="O20" s="1567">
        <f>'47)Zuckerhirse HF Biogas aF-(a)'!P31-'47)Zuckerhirse HF Biogas aF-(a)'!P17</f>
        <v>124.5304536000001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'47)Zuckerhirse HF Biogas aF-(a)'!L37</f>
        <v>35.997499999999995</v>
      </c>
      <c r="N21" s="1567">
        <f>'47)Zuckerhirse HF Biogas aF-(a)'!N37</f>
        <v>35.997499999999995</v>
      </c>
      <c r="O21" s="1574">
        <f>'47)Zuckerhirse HF Biogas aF-(a)'!P37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'47)Zuckerhirse HF Biogas aF-(a)'!L65</f>
        <v>14.100659999999998</v>
      </c>
      <c r="N22" s="1567">
        <f>'47)Zuckerhirse HF Biogas aF-(a)'!N65</f>
        <v>18.330857999999999</v>
      </c>
      <c r="O22" s="1574">
        <f>'47)Zuckerhirse HF Biogas aF-(a)'!P65</f>
        <v>22.561055999999997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'47)Zuckerhirse HF Biogas aF-(a)'!L67</f>
        <v>0</v>
      </c>
      <c r="N23" s="1567">
        <f>'47)Zuckerhirse HF Biogas aF-(a)'!N67</f>
        <v>0</v>
      </c>
      <c r="O23" s="1574">
        <f>'47)Zuckerhirse HF Biogas aF-(a)'!P67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'47)Zuckerhirse HF Biogas aF-(a)'!L42</f>
        <v>188.10247435119999</v>
      </c>
      <c r="N24" s="1567">
        <f>'47)Zuckerhirse HF Biogas aF-(a)'!N42</f>
        <v>188.10247435119999</v>
      </c>
      <c r="O24" s="1574">
        <f>'47)Zuckerhirse HF Biogas aF-(a)'!P42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'47)Zuckerhirse HF Biogas aF-(a)'!L58</f>
        <v>148.69305</v>
      </c>
      <c r="N25" s="1567">
        <f>'47)Zuckerhirse HF Biogas aF-(a)'!N58</f>
        <v>193.30096499999999</v>
      </c>
      <c r="O25" s="1574">
        <f>'47)Zuckerhirse HF Biogas aF-(a)'!P58</f>
        <v>237.90887999999998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'47)Zuckerhirse HF Biogas aF-(a)'!L63</f>
        <v>0</v>
      </c>
      <c r="N26" s="1980">
        <f>'47)Zuckerhirse HF Biogas aF-(a)'!N63</f>
        <v>0</v>
      </c>
      <c r="O26" s="1981">
        <f>'47)Zuckerhirse HF Biogas aF-(a)'!P63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625.22521785120011</v>
      </c>
      <c r="N27" s="1775">
        <f>SUM(N19:N26)</f>
        <v>697.41279090119997</v>
      </c>
      <c r="O27" s="2055">
        <f>SUM(O19:O26)</f>
        <v>769.60036395120005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-625.22521785120011</v>
      </c>
      <c r="N28" s="2060">
        <f>-N27</f>
        <v>-697.41279090119997</v>
      </c>
      <c r="O28" s="2061">
        <f>-O27</f>
        <v>-769.60036395120005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M27*'47)Zuckerhirse HF Biogas aF-(a)'!$L$70*'47)Zuckerhirse HF Biogas aF-(a)'!$P$70/12/100</f>
        <v>3.9076576115700004</v>
      </c>
      <c r="N30" s="1980">
        <f>N27*'47)Zuckerhirse HF Biogas aF-(a)'!$L$70*'47)Zuckerhirse HF Biogas aF-(a)'!$P$70/12/100</f>
        <v>4.3588299431325002</v>
      </c>
      <c r="O30" s="1981">
        <f>O27*'47)Zuckerhirse HF Biogas aF-(a)'!$L$70*'47)Zuckerhirse HF Biogas aF-(a)'!$P$70/12/100</f>
        <v>4.810002274695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-359.13287546277013</v>
      </c>
      <c r="N31" s="1769">
        <f>N28+N29-N30</f>
        <v>-431.77162084433246</v>
      </c>
      <c r="O31" s="1776">
        <f>O28+O29-O30</f>
        <v>-504.41036622589507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-0.1451745797812152</v>
      </c>
      <c r="N32" s="1561">
        <f>IF(N12=0,0,N31/N12)</f>
        <v>-0.13425984963784537</v>
      </c>
      <c r="O32" s="2047">
        <f>IF(O12=0,0,O31/O12)</f>
        <v>-0.1274381432982393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-4.0326272161448662</v>
      </c>
      <c r="N33" s="1576">
        <f>IF(N13=0,0,N31/N13)</f>
        <v>-3.7294402677179268</v>
      </c>
      <c r="O33" s="2052">
        <f>IF(O13=0,0,O31/O13)</f>
        <v>-3.539948424951092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'47)Zuckerhirse HF Biogas aF-(a)'!K57</f>
        <v>7.29</v>
      </c>
      <c r="N35" s="2396">
        <f>'47)Zuckerhirse HF Biogas aF-(a)'!M57</f>
        <v>7.29</v>
      </c>
      <c r="O35" s="2398">
        <f>'47)Zuckerhirse HF Biogas aF-(a)'!O57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'47)Zuckerhirse HF Biogas aF-(a)'!L10</f>
        <v>0</v>
      </c>
      <c r="N36" s="2431">
        <f>'47)Zuckerhirse HF Biogas aF-(a)'!N10</f>
        <v>0</v>
      </c>
      <c r="O36" s="2432">
        <f>'47)Zuckerhirse HF Biogas aF-(a)'!P10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1076.3534190509258</v>
      </c>
      <c r="N43" s="1991">
        <f>SUM(N37:N42)</f>
        <v>766.35341905092582</v>
      </c>
      <c r="O43" s="1994">
        <f>SUM(O37:O42)</f>
        <v>766.35341905092582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1705.4862945136961</v>
      </c>
      <c r="N46" s="2041">
        <f>N27+N30+N43</f>
        <v>1468.1250398952584</v>
      </c>
      <c r="O46" s="2080">
        <f>O27+O30+O43</f>
        <v>1540.7637852768207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-1705.4862945136961</v>
      </c>
      <c r="N47" s="2227">
        <f>N45-N46</f>
        <v>-1468.1250398952584</v>
      </c>
      <c r="O47" s="2228">
        <f>O45-O46</f>
        <v>-1540.7637852768207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-1435.4862945136961</v>
      </c>
      <c r="N49" s="1991">
        <f>N47+N48</f>
        <v>-1198.1250398952584</v>
      </c>
      <c r="O49" s="1994">
        <f>O47+O48</f>
        <v>-1270.7637852768207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1435.4862945136961</v>
      </c>
      <c r="N51" s="1771">
        <f>N46-N48</f>
        <v>1198.1250398952584</v>
      </c>
      <c r="O51" s="3358">
        <f>O46-O48</f>
        <v>1270.7637852768207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4.2309069733035249</v>
      </c>
      <c r="N52" s="2335">
        <f>IF(N8=0,0,N$51/N8)</f>
        <v>2.7163968515843915</v>
      </c>
      <c r="O52" s="2336">
        <f>IF(O8=0,0,O$51/O8)</f>
        <v>2.34088065708888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15.110382047512591</v>
      </c>
      <c r="N53" s="2335">
        <f>IF(N7=0,0,N$51/N7)</f>
        <v>9.7014173270871122</v>
      </c>
      <c r="O53" s="2336">
        <f>IF(O7=0,0,O$51/O7)</f>
        <v>8.3602880610317154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33.145354168737292</v>
      </c>
      <c r="N54" s="2335">
        <f t="shared" si="3"/>
        <v>21.280528330384634</v>
      </c>
      <c r="O54" s="2336">
        <f t="shared" si="3"/>
        <v>18.338696391940537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0.58027580827621317</v>
      </c>
      <c r="N55" s="2219">
        <f t="shared" si="3"/>
        <v>0.37255826908936684</v>
      </c>
      <c r="O55" s="2220">
        <f t="shared" si="3"/>
        <v>0.32105560910260039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16.118772452117032</v>
      </c>
      <c r="N56" s="2219">
        <f>IF(N13=0,0,N$51/N13)</f>
        <v>10.348840808037966</v>
      </c>
      <c r="O56" s="2220">
        <f>IF(O13=0,0,O$51/O13)</f>
        <v>8.9182113639611238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0.16118772452117033</v>
      </c>
      <c r="N57" s="2222">
        <f>N51/$N$12*10/$F$57</f>
        <v>0.10348840808037968</v>
      </c>
      <c r="O57" s="2223">
        <f>O51/$O$12*10/$F$57</f>
        <v>8.9182113639611219E-2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1435.4862945136961</v>
      </c>
      <c r="N58" s="1769">
        <f>N51-N38</f>
        <v>1198.1250398952584</v>
      </c>
      <c r="O58" s="1776">
        <f>O51-O38</f>
        <v>1270.7637852768207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15.110382047512591</v>
      </c>
      <c r="N59" s="3416">
        <f>N58/N7</f>
        <v>9.7014173270871122</v>
      </c>
      <c r="O59" s="3417">
        <f>O58/O7</f>
        <v>8.3602880610317154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0.58027580827621317</v>
      </c>
      <c r="N60" s="2130">
        <f>IF(N12=0,0,N$58/N12)</f>
        <v>0.37255826908936684</v>
      </c>
      <c r="O60" s="2217">
        <f>IF(O12=0,0,O$58/O12)</f>
        <v>0.32105560910260039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0.16118772452117033</v>
      </c>
      <c r="N61" s="2130">
        <f>N58/$N$12*10/$F$57</f>
        <v>0.10348840808037968</v>
      </c>
      <c r="O61" s="3422">
        <f>O58/$O$12*10/$F$57</f>
        <v>8.9182113639611219E-2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16.118772452117032</v>
      </c>
      <c r="N62" s="1874">
        <f>IF(N13=0,0,N$58/N13)</f>
        <v>10.348840808037966</v>
      </c>
      <c r="O62" s="2032">
        <f>IF(O13=0,0,O$58/O13)</f>
        <v>8.9182113639611238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292.33735111157011</v>
      </c>
      <c r="N64" s="1772">
        <f>SUM(N19:N23)+N30</f>
        <v>320.36818149313251</v>
      </c>
      <c r="O64" s="1773">
        <f>SUM(O19:O23)+O30</f>
        <v>348.39901187469513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0.11817339765202124</v>
      </c>
      <c r="N65" s="2031">
        <f>IF(N12=0,0,N64/N12)</f>
        <v>9.9618830417586304E-2</v>
      </c>
      <c r="O65" s="2032">
        <f>IF(O12=0,0,O64/O12)</f>
        <v>8.8022225896064538E-2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905.32894340212601</v>
      </c>
      <c r="N66" s="2038">
        <f>N24+N25+N26+N39+N37</f>
        <v>949.93685840212584</v>
      </c>
      <c r="O66" s="2039">
        <f>O24+O25+O26+O39+O37</f>
        <v>994.54477340212588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0.36596691058376835</v>
      </c>
      <c r="N67" s="2168">
        <f>IF(N12=0,0,N66/N12)</f>
        <v>0.2953838872622393</v>
      </c>
      <c r="O67" s="2187">
        <f>IF(O12=0,0,O66/O12)</f>
        <v>0.2512694976862837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Aulendorf&amp;C&amp;12 113&amp;9
&amp;R&amp;12&amp;F
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pageSetUpPr fitToPage="1"/>
  </sheetPr>
  <dimension ref="A1:BB121"/>
  <sheetViews>
    <sheetView showGridLines="0" showZeros="0" zoomScale="80" zoomScaleNormal="80" zoomScaleSheetLayoutView="65" workbookViewId="0">
      <selection activeCell="L1" sqref="L1"/>
    </sheetView>
  </sheetViews>
  <sheetFormatPr baseColWidth="10" defaultColWidth="11.42578125" defaultRowHeight="12.75" x14ac:dyDescent="0.2"/>
  <cols>
    <col min="1" max="1" width="2" style="530" customWidth="1"/>
    <col min="2" max="2" width="2.42578125" style="542" hidden="1" customWidth="1"/>
    <col min="3" max="3" width="36.5703125" style="542" customWidth="1"/>
    <col min="4" max="4" width="12.28515625" style="542" customWidth="1"/>
    <col min="5" max="5" width="7.85546875" style="951" customWidth="1"/>
    <col min="6" max="6" width="12.85546875" style="951" customWidth="1"/>
    <col min="7" max="7" width="8.28515625" style="951" customWidth="1"/>
    <col min="8" max="8" width="6" style="1279" customWidth="1"/>
    <col min="9" max="9" width="11.5703125" style="951" customWidth="1"/>
    <col min="10" max="10" width="11.42578125" style="951"/>
    <col min="11" max="11" width="6.5703125" style="951" customWidth="1"/>
    <col min="12" max="12" width="6.28515625" style="951" customWidth="1"/>
    <col min="13" max="13" width="7.7109375" style="951" customWidth="1"/>
    <col min="14" max="14" width="5.85546875" style="951" customWidth="1"/>
    <col min="15" max="16" width="7.7109375" style="951" customWidth="1"/>
    <col min="17" max="17" width="9.28515625" style="951" customWidth="1"/>
    <col min="18" max="18" width="10.28515625" style="951" hidden="1" customWidth="1"/>
    <col min="19" max="19" width="8.42578125" style="951" customWidth="1"/>
    <col min="20" max="24" width="9.28515625" style="951" customWidth="1"/>
    <col min="25" max="25" width="10.5703125" style="951" hidden="1" customWidth="1"/>
    <col min="26" max="26" width="7.42578125" style="951" customWidth="1"/>
    <col min="27" max="27" width="11.42578125" style="526" customWidth="1"/>
    <col min="28" max="28" width="11.28515625" style="542" customWidth="1"/>
    <col min="29" max="29" width="9.85546875" style="542" customWidth="1"/>
    <col min="30" max="16384" width="11.42578125" style="530"/>
  </cols>
  <sheetData>
    <row r="1" spans="1:54" ht="15" x14ac:dyDescent="0.2">
      <c r="A1" s="542"/>
      <c r="B1" s="3705"/>
      <c r="C1" s="3705"/>
      <c r="D1" s="3705"/>
      <c r="E1" s="3705"/>
      <c r="F1" s="3754" t="s">
        <v>1657</v>
      </c>
      <c r="G1" s="4206"/>
      <c r="H1" s="4206"/>
      <c r="I1" s="4206"/>
      <c r="J1" s="3753"/>
      <c r="K1" s="3753"/>
      <c r="L1" s="3753"/>
      <c r="M1" s="3753"/>
      <c r="N1" s="3753"/>
      <c r="O1" s="3753"/>
      <c r="P1" s="3753"/>
      <c r="Q1" s="3753"/>
    </row>
    <row r="2" spans="1:54" ht="42" customHeight="1" x14ac:dyDescent="0.2">
      <c r="A2" s="3551"/>
      <c r="B2" s="3704"/>
      <c r="C2" s="3704"/>
      <c r="D2" s="3704"/>
      <c r="E2" s="3704"/>
      <c r="F2" s="8"/>
      <c r="G2" s="4207"/>
      <c r="H2" s="4207"/>
      <c r="I2" s="4207"/>
      <c r="J2" s="3707"/>
      <c r="K2" s="3707"/>
      <c r="L2" s="3706"/>
      <c r="M2" s="3706"/>
      <c r="N2" s="3706"/>
      <c r="O2" s="3706"/>
      <c r="P2" s="3706"/>
      <c r="Q2" s="3706"/>
    </row>
    <row r="3" spans="1:54" ht="21.2" customHeight="1" x14ac:dyDescent="0.2">
      <c r="C3" s="1904" t="s">
        <v>581</v>
      </c>
      <c r="D3" s="1904"/>
      <c r="E3" s="1904"/>
      <c r="F3" s="1904"/>
      <c r="G3" s="3709"/>
      <c r="H3" s="3709"/>
      <c r="I3" s="3710"/>
      <c r="J3" s="3710"/>
      <c r="K3" s="3710"/>
      <c r="L3" s="3710"/>
      <c r="M3" s="3711"/>
      <c r="N3" s="3711"/>
      <c r="O3" s="3712"/>
      <c r="P3" s="3712"/>
      <c r="Q3" s="3712"/>
      <c r="R3" s="526"/>
      <c r="S3" s="948" t="s">
        <v>517</v>
      </c>
      <c r="T3" s="523"/>
      <c r="U3" s="523"/>
      <c r="V3" s="523"/>
      <c r="W3" s="523"/>
      <c r="X3" s="523"/>
      <c r="Y3" s="523"/>
      <c r="Z3" s="71" t="s">
        <v>518</v>
      </c>
      <c r="AJ3" s="3656" t="s">
        <v>1591</v>
      </c>
    </row>
    <row r="4" spans="1:54" ht="21.2" customHeight="1" x14ac:dyDescent="0.2">
      <c r="A4" s="945"/>
      <c r="B4" s="946"/>
      <c r="C4" s="526"/>
      <c r="D4" s="523"/>
      <c r="E4" s="526"/>
      <c r="F4" s="526"/>
      <c r="G4" s="526"/>
      <c r="H4" s="1254"/>
      <c r="I4" s="526"/>
      <c r="J4" s="526"/>
      <c r="K4" s="526"/>
      <c r="L4" s="526"/>
      <c r="M4" s="526"/>
      <c r="N4" s="526"/>
      <c r="O4" s="526"/>
      <c r="P4" s="526"/>
      <c r="Q4" s="526"/>
      <c r="R4" s="526"/>
      <c r="S4" s="948" t="s">
        <v>606</v>
      </c>
      <c r="T4" s="523"/>
      <c r="U4" s="523"/>
      <c r="V4" s="523"/>
      <c r="W4" s="523"/>
      <c r="X4" s="523"/>
      <c r="Y4" s="523"/>
      <c r="Z4" s="72">
        <f>Ausglleist!AA3</f>
        <v>2022</v>
      </c>
    </row>
    <row r="5" spans="1:54" ht="12.75" customHeight="1" x14ac:dyDescent="0.2">
      <c r="A5" s="945"/>
      <c r="B5" s="946"/>
      <c r="C5" s="523"/>
      <c r="D5" s="950" t="s">
        <v>8</v>
      </c>
      <c r="E5" s="526"/>
      <c r="F5" s="526" t="s">
        <v>9</v>
      </c>
      <c r="G5" s="1272" t="s">
        <v>10</v>
      </c>
      <c r="H5" s="1254"/>
      <c r="I5" s="1272" t="s">
        <v>462</v>
      </c>
      <c r="J5" s="526"/>
      <c r="K5" s="1254" t="s">
        <v>11</v>
      </c>
      <c r="L5" s="526"/>
      <c r="M5" s="526"/>
      <c r="N5" s="526"/>
      <c r="O5" s="526"/>
      <c r="P5" s="526"/>
      <c r="Q5" s="526"/>
      <c r="R5" s="526"/>
      <c r="S5" s="948"/>
      <c r="T5" s="523"/>
      <c r="U5" s="523"/>
      <c r="V5" s="523"/>
      <c r="W5" s="523"/>
      <c r="X5" s="523"/>
      <c r="Y5" s="523"/>
      <c r="Z5" s="72"/>
    </row>
    <row r="6" spans="1:54" ht="19.5" customHeight="1" x14ac:dyDescent="0.2">
      <c r="A6" s="945"/>
      <c r="B6" s="526"/>
      <c r="C6" s="949" t="s">
        <v>12</v>
      </c>
      <c r="D6" s="578">
        <v>100</v>
      </c>
      <c r="G6" s="578">
        <v>50</v>
      </c>
      <c r="H6" s="950" t="s">
        <v>13</v>
      </c>
      <c r="I6" s="578">
        <v>10</v>
      </c>
      <c r="J6" s="950" t="s">
        <v>13</v>
      </c>
      <c r="K6" s="578">
        <v>40</v>
      </c>
      <c r="L6" s="950" t="s">
        <v>13</v>
      </c>
      <c r="N6" s="526"/>
      <c r="O6" s="526"/>
      <c r="P6" s="947" t="s">
        <v>14</v>
      </c>
      <c r="Q6" s="677">
        <f>'Preise-Stammdaten'!N10</f>
        <v>19</v>
      </c>
      <c r="R6" s="888"/>
      <c r="S6" s="526"/>
      <c r="T6" s="555"/>
      <c r="U6" s="555"/>
      <c r="V6" s="555"/>
      <c r="W6" s="555"/>
      <c r="X6" s="947" t="s">
        <v>15</v>
      </c>
      <c r="Y6" s="947"/>
      <c r="Z6" s="677">
        <f>'Preise-Stammdaten'!N27</f>
        <v>1.5</v>
      </c>
      <c r="AD6" s="952"/>
      <c r="AE6" s="952"/>
      <c r="AF6" s="952"/>
      <c r="AG6" s="952"/>
      <c r="AH6" s="952"/>
      <c r="AI6" s="952"/>
      <c r="AJ6" s="952"/>
      <c r="AK6" s="952"/>
      <c r="AL6" s="952"/>
      <c r="AM6" s="952"/>
      <c r="AN6" s="952"/>
      <c r="AO6" s="952"/>
      <c r="AP6" s="952"/>
      <c r="AQ6" s="952"/>
      <c r="AR6" s="952"/>
      <c r="AS6" s="952"/>
      <c r="AT6" s="952"/>
      <c r="AU6" s="952"/>
      <c r="AV6" s="952"/>
      <c r="AW6" s="952"/>
      <c r="AX6" s="952"/>
      <c r="AY6" s="952"/>
      <c r="AZ6" s="952"/>
      <c r="BA6" s="952"/>
      <c r="BB6" s="952"/>
    </row>
    <row r="7" spans="1:54" ht="19.5" customHeight="1" x14ac:dyDescent="0.2">
      <c r="A7" s="945"/>
      <c r="B7" s="526"/>
      <c r="C7" s="526"/>
      <c r="D7" s="526"/>
      <c r="E7" s="526"/>
      <c r="F7" s="526"/>
      <c r="J7" s="526"/>
      <c r="K7" s="526"/>
      <c r="L7" s="526"/>
      <c r="M7" s="526"/>
      <c r="N7" s="526"/>
      <c r="O7" s="526"/>
      <c r="P7" s="526"/>
      <c r="Q7" s="526"/>
      <c r="R7" s="526"/>
      <c r="S7" s="948"/>
      <c r="T7" s="555"/>
      <c r="U7" s="555"/>
      <c r="V7" s="526"/>
      <c r="W7" s="526"/>
      <c r="X7" s="947" t="s">
        <v>16</v>
      </c>
      <c r="Y7" s="947"/>
      <c r="Z7" s="677">
        <f>'Preise-Stammdaten'!N28</f>
        <v>2.5</v>
      </c>
      <c r="AD7" s="952"/>
      <c r="AE7" s="952"/>
      <c r="AF7" s="952"/>
      <c r="AG7" s="952"/>
      <c r="AH7" s="952"/>
      <c r="AI7" s="952"/>
      <c r="AJ7" s="952"/>
      <c r="AK7" s="952"/>
      <c r="AL7" s="952"/>
      <c r="AM7" s="952"/>
      <c r="AN7" s="952"/>
      <c r="AO7" s="952"/>
      <c r="AP7" s="952"/>
      <c r="AQ7" s="952"/>
      <c r="AR7" s="952"/>
      <c r="AS7" s="952"/>
      <c r="AT7" s="952"/>
      <c r="AU7" s="952"/>
      <c r="AV7" s="952"/>
      <c r="AW7" s="952"/>
      <c r="AX7" s="952"/>
      <c r="AY7" s="952"/>
      <c r="AZ7" s="952"/>
      <c r="BA7" s="952"/>
      <c r="BB7" s="952"/>
    </row>
    <row r="8" spans="1:54" ht="6.75" customHeight="1" thickBot="1" x14ac:dyDescent="0.25">
      <c r="A8" s="945"/>
      <c r="B8" s="953"/>
      <c r="C8" s="526"/>
      <c r="D8" s="526"/>
      <c r="E8" s="526"/>
      <c r="F8" s="526"/>
      <c r="G8" s="954"/>
      <c r="H8" s="1273"/>
      <c r="I8" s="526"/>
      <c r="J8" s="954"/>
      <c r="K8" s="948"/>
      <c r="L8" s="948"/>
      <c r="M8" s="526"/>
      <c r="N8" s="526"/>
      <c r="O8" s="526"/>
      <c r="P8" s="526"/>
      <c r="Q8" s="526"/>
      <c r="R8" s="526"/>
      <c r="S8" s="948"/>
      <c r="T8" s="555"/>
      <c r="U8" s="555"/>
      <c r="V8" s="955"/>
      <c r="W8" s="955"/>
      <c r="X8" s="955"/>
      <c r="Y8" s="955"/>
      <c r="Z8" s="955"/>
      <c r="AD8" s="952"/>
      <c r="AE8" s="952"/>
      <c r="AF8" s="952"/>
      <c r="AG8" s="952"/>
      <c r="AH8" s="952"/>
      <c r="AI8" s="952"/>
      <c r="AJ8" s="952"/>
      <c r="AK8" s="952"/>
      <c r="AL8" s="952"/>
      <c r="AM8" s="952"/>
      <c r="AN8" s="952"/>
      <c r="AO8" s="952"/>
      <c r="AP8" s="952"/>
      <c r="AQ8" s="952"/>
      <c r="AR8" s="952"/>
      <c r="AS8" s="952"/>
      <c r="AT8" s="952"/>
      <c r="AU8" s="952"/>
      <c r="AV8" s="952"/>
      <c r="AW8" s="952"/>
      <c r="AX8" s="952"/>
      <c r="AY8" s="952"/>
      <c r="AZ8" s="952"/>
      <c r="BA8" s="952"/>
      <c r="BB8" s="952"/>
    </row>
    <row r="9" spans="1:54" s="956" customFormat="1" ht="15.75" customHeight="1" x14ac:dyDescent="0.2">
      <c r="B9" s="1430"/>
      <c r="C9" s="1894" t="s">
        <v>17</v>
      </c>
      <c r="D9" s="1431" t="s">
        <v>18</v>
      </c>
      <c r="E9" s="1431" t="s">
        <v>19</v>
      </c>
      <c r="F9" s="1431" t="s">
        <v>20</v>
      </c>
      <c r="G9" s="1431" t="s">
        <v>21</v>
      </c>
      <c r="H9" s="4260" t="s">
        <v>22</v>
      </c>
      <c r="I9" s="1431" t="s">
        <v>22</v>
      </c>
      <c r="J9" s="4260" t="s">
        <v>23</v>
      </c>
      <c r="K9" s="1432" t="s">
        <v>24</v>
      </c>
      <c r="L9" s="1433"/>
      <c r="M9" s="1433"/>
      <c r="N9" s="1433"/>
      <c r="O9" s="1433"/>
      <c r="P9" s="1433"/>
      <c r="Q9" s="1433"/>
      <c r="R9" s="1433"/>
      <c r="S9" s="1434" t="s">
        <v>25</v>
      </c>
      <c r="T9" s="3655" t="s">
        <v>26</v>
      </c>
      <c r="U9" s="1435"/>
      <c r="V9" s="1435"/>
      <c r="W9" s="1435"/>
      <c r="X9" s="1435"/>
      <c r="Y9" s="1435"/>
      <c r="Z9" s="1436"/>
      <c r="AA9" s="2731" t="s">
        <v>94</v>
      </c>
      <c r="AB9" s="964" t="s">
        <v>21</v>
      </c>
      <c r="AC9" s="79"/>
    </row>
    <row r="10" spans="1:54" s="956" customFormat="1" ht="15.75" customHeight="1" x14ac:dyDescent="0.2">
      <c r="B10" s="1437"/>
      <c r="C10" s="1895" t="s">
        <v>27</v>
      </c>
      <c r="D10" s="966" t="s">
        <v>28</v>
      </c>
      <c r="E10" s="966" t="s">
        <v>29</v>
      </c>
      <c r="F10" s="966" t="s">
        <v>30</v>
      </c>
      <c r="G10" s="966" t="s">
        <v>31</v>
      </c>
      <c r="H10" s="4261"/>
      <c r="I10" s="1271" t="s">
        <v>32</v>
      </c>
      <c r="J10" s="4261"/>
      <c r="K10" s="966" t="s">
        <v>33</v>
      </c>
      <c r="L10" s="966" t="s">
        <v>462</v>
      </c>
      <c r="M10" s="966" t="s">
        <v>1173</v>
      </c>
      <c r="N10" s="966" t="s">
        <v>1064</v>
      </c>
      <c r="O10" s="966" t="s">
        <v>1174</v>
      </c>
      <c r="P10" s="966" t="s">
        <v>1175</v>
      </c>
      <c r="Q10" s="966" t="s">
        <v>1176</v>
      </c>
      <c r="R10" s="966" t="s">
        <v>1177</v>
      </c>
      <c r="S10" s="1333" t="s">
        <v>1178</v>
      </c>
      <c r="T10" s="968" t="s">
        <v>10</v>
      </c>
      <c r="U10" s="969" t="s">
        <v>462</v>
      </c>
      <c r="V10" s="970" t="s">
        <v>1173</v>
      </c>
      <c r="W10" s="970" t="s">
        <v>1064</v>
      </c>
      <c r="X10" s="970" t="s">
        <v>1174</v>
      </c>
      <c r="Y10" s="970" t="s">
        <v>1179</v>
      </c>
      <c r="Z10" s="1438" t="s">
        <v>1175</v>
      </c>
      <c r="AA10" s="967" t="s">
        <v>95</v>
      </c>
      <c r="AB10" s="972" t="s">
        <v>31</v>
      </c>
      <c r="AC10" s="79"/>
    </row>
    <row r="11" spans="1:54" s="956" customFormat="1" ht="15.75" customHeight="1" x14ac:dyDescent="0.2">
      <c r="B11" s="1437"/>
      <c r="C11" s="1895" t="s">
        <v>1180</v>
      </c>
      <c r="D11" s="967" t="s">
        <v>1181</v>
      </c>
      <c r="E11" s="966" t="s">
        <v>1182</v>
      </c>
      <c r="F11" s="967" t="s">
        <v>1181</v>
      </c>
      <c r="G11" s="966"/>
      <c r="H11" s="1499"/>
      <c r="I11" s="1270"/>
      <c r="J11" s="4261"/>
      <c r="K11" s="966" t="s">
        <v>145</v>
      </c>
      <c r="L11" s="966"/>
      <c r="M11" s="966" t="s">
        <v>146</v>
      </c>
      <c r="N11" s="966"/>
      <c r="O11" s="966" t="s">
        <v>147</v>
      </c>
      <c r="P11" s="966" t="s">
        <v>1176</v>
      </c>
      <c r="Q11" s="966" t="s">
        <v>149</v>
      </c>
      <c r="R11" s="966" t="s">
        <v>150</v>
      </c>
      <c r="S11" s="966"/>
      <c r="T11" s="968"/>
      <c r="U11" s="969"/>
      <c r="V11" s="970" t="s">
        <v>146</v>
      </c>
      <c r="W11" s="970"/>
      <c r="X11" s="970" t="s">
        <v>147</v>
      </c>
      <c r="Y11" s="970" t="s">
        <v>151</v>
      </c>
      <c r="Z11" s="1438" t="s">
        <v>1176</v>
      </c>
      <c r="AA11" s="3433" t="s">
        <v>1679</v>
      </c>
      <c r="AB11" s="972" t="s">
        <v>152</v>
      </c>
      <c r="AC11" s="79"/>
    </row>
    <row r="12" spans="1:54" s="956" customFormat="1" ht="15.75" customHeight="1" x14ac:dyDescent="0.2">
      <c r="B12" s="1437"/>
      <c r="C12" s="1895"/>
      <c r="D12" s="967"/>
      <c r="E12" s="966"/>
      <c r="F12" s="967"/>
      <c r="G12" s="966"/>
      <c r="H12" s="1499"/>
      <c r="I12" s="1311"/>
      <c r="J12" s="4261"/>
      <c r="K12" s="966"/>
      <c r="L12" s="966"/>
      <c r="M12" s="966"/>
      <c r="N12" s="966"/>
      <c r="O12" s="966"/>
      <c r="P12" s="966" t="s">
        <v>153</v>
      </c>
      <c r="Q12" s="966" t="s">
        <v>1044</v>
      </c>
      <c r="R12" s="966"/>
      <c r="S12" s="966"/>
      <c r="T12" s="968"/>
      <c r="U12" s="969"/>
      <c r="V12" s="970"/>
      <c r="W12" s="970"/>
      <c r="X12" s="970"/>
      <c r="Y12" s="970"/>
      <c r="Z12" s="1438" t="s">
        <v>153</v>
      </c>
      <c r="AA12" s="526"/>
      <c r="AB12" s="972"/>
      <c r="AC12" s="79"/>
    </row>
    <row r="13" spans="1:54" s="1270" customFormat="1" ht="16.5" customHeight="1" thickBot="1" x14ac:dyDescent="0.25">
      <c r="B13" s="1439"/>
      <c r="C13" s="1896" t="s">
        <v>202</v>
      </c>
      <c r="D13" s="1425" t="s">
        <v>154</v>
      </c>
      <c r="E13" s="1425" t="s">
        <v>1047</v>
      </c>
      <c r="F13" s="1425" t="s">
        <v>154</v>
      </c>
      <c r="G13" s="1425" t="s">
        <v>103</v>
      </c>
      <c r="H13" s="1425" t="s">
        <v>1047</v>
      </c>
      <c r="I13" s="1425" t="s">
        <v>154</v>
      </c>
      <c r="J13" s="1426" t="s">
        <v>154</v>
      </c>
      <c r="K13" s="1425"/>
      <c r="L13" s="1425"/>
      <c r="M13" s="1425"/>
      <c r="N13" s="1425"/>
      <c r="O13" s="1425"/>
      <c r="P13" s="1425"/>
      <c r="Q13" s="1425" t="s">
        <v>518</v>
      </c>
      <c r="R13" s="1425"/>
      <c r="S13" s="1425" t="s">
        <v>13</v>
      </c>
      <c r="T13" s="1427"/>
      <c r="U13" s="1428"/>
      <c r="V13" s="1429"/>
      <c r="W13" s="1429"/>
      <c r="X13" s="1429"/>
      <c r="Y13" s="1429"/>
      <c r="Z13" s="1440"/>
      <c r="AA13" s="2983" t="s">
        <v>93</v>
      </c>
      <c r="AB13" s="972" t="s">
        <v>103</v>
      </c>
      <c r="AC13" s="79"/>
    </row>
    <row r="14" spans="1:54" s="528" customFormat="1" ht="15" customHeight="1" x14ac:dyDescent="0.2">
      <c r="B14" s="78"/>
      <c r="C14" s="3771" t="s">
        <v>1754</v>
      </c>
      <c r="D14" s="87">
        <v>160000</v>
      </c>
      <c r="E14" s="87">
        <v>15</v>
      </c>
      <c r="F14" s="247">
        <f>(100-E14)/100*D14</f>
        <v>136000</v>
      </c>
      <c r="G14" s="1199">
        <v>15</v>
      </c>
      <c r="H14" s="1274">
        <v>0.15</v>
      </c>
      <c r="I14" s="247">
        <f>(F14*H14)+F14*H14*'Preise-Stammdaten'!$N$10%</f>
        <v>24276</v>
      </c>
      <c r="J14" s="579">
        <f t="shared" ref="J14:J43" si="0">IF(G14=0,0,(F14*((100+$Q$6)/100)-I14)/G14+(F14*((100+$Q$6)/100)+I14)*$Z$6/2/100)</f>
        <v>10566.803333333333</v>
      </c>
      <c r="K14" s="1280">
        <v>50</v>
      </c>
      <c r="L14" s="1280"/>
      <c r="M14" s="1280">
        <v>10</v>
      </c>
      <c r="N14" s="1280">
        <v>5</v>
      </c>
      <c r="O14" s="1280">
        <v>1</v>
      </c>
      <c r="P14" s="1280">
        <v>5</v>
      </c>
      <c r="Q14" s="1280">
        <v>19</v>
      </c>
      <c r="R14" s="1280"/>
      <c r="S14" s="247">
        <f t="shared" ref="S14:S43" si="1">SUM(K14:R14)</f>
        <v>90</v>
      </c>
      <c r="T14" s="979">
        <f t="shared" ref="T14:T43" si="2">IF(K14=0,0,IF($S14=0,0,$J14/$S14))</f>
        <v>117.40892592592593</v>
      </c>
      <c r="U14" s="980">
        <f t="shared" ref="U14:U43" si="3">IF(L14=0,0,IF($S14=0,0,$J14/$S14))</f>
        <v>0</v>
      </c>
      <c r="V14" s="981">
        <f t="shared" ref="V14:V43" si="4">IF(M14=0,0,IF($S14=0,0,$J14/$S14))</f>
        <v>117.40892592592593</v>
      </c>
      <c r="W14" s="981">
        <f t="shared" ref="W14:W43" si="5">IF(N14=0,0,IF($S14=0,0,$J14/$S14))</f>
        <v>117.40892592592593</v>
      </c>
      <c r="X14" s="981">
        <f t="shared" ref="X14:X43" si="6">IF(O14=0,0,IF($S14=0,0,$J14/$S14))</f>
        <v>117.40892592592593</v>
      </c>
      <c r="Y14" s="981">
        <f t="shared" ref="Y14:Y43" si="7">IF(R14=0,0,IF($S14=0,0,$J14/$S14))</f>
        <v>0</v>
      </c>
      <c r="Z14" s="982">
        <f t="shared" ref="Z14:Z43" si="8">IF(P14=0,0,IF($S14=0,0,$J14/$S14))</f>
        <v>117.40892592592593</v>
      </c>
      <c r="AA14" s="2984">
        <v>72</v>
      </c>
      <c r="AB14" s="733">
        <v>12</v>
      </c>
      <c r="AC14" s="79"/>
      <c r="AD14" s="3772" t="s">
        <v>1718</v>
      </c>
    </row>
    <row r="15" spans="1:54" s="528" customFormat="1" ht="15" customHeight="1" x14ac:dyDescent="0.2">
      <c r="B15" s="78"/>
      <c r="C15" s="3771" t="s">
        <v>1356</v>
      </c>
      <c r="D15" s="87">
        <v>100000</v>
      </c>
      <c r="E15" s="87">
        <v>10</v>
      </c>
      <c r="F15" s="247">
        <f t="shared" ref="F15:F20" si="9">(100-E15)/100*D15</f>
        <v>90000</v>
      </c>
      <c r="G15" s="1199">
        <v>15</v>
      </c>
      <c r="H15" s="1274">
        <v>0.15</v>
      </c>
      <c r="I15" s="247">
        <f>(F15*H15)+F15*H15*'Preise-Stammdaten'!$N$10%</f>
        <v>16065</v>
      </c>
      <c r="J15" s="579">
        <f t="shared" si="0"/>
        <v>6992.7375000000002</v>
      </c>
      <c r="K15" s="1280">
        <v>50</v>
      </c>
      <c r="L15" s="1280">
        <v>10</v>
      </c>
      <c r="M15" s="1280">
        <v>10</v>
      </c>
      <c r="N15" s="1280">
        <v>5</v>
      </c>
      <c r="O15" s="1280">
        <v>1</v>
      </c>
      <c r="P15" s="1280">
        <v>5</v>
      </c>
      <c r="Q15" s="1280">
        <v>19</v>
      </c>
      <c r="R15" s="1280"/>
      <c r="S15" s="247">
        <f t="shared" si="1"/>
        <v>100</v>
      </c>
      <c r="T15" s="979">
        <f t="shared" si="2"/>
        <v>69.927374999999998</v>
      </c>
      <c r="U15" s="980">
        <f t="shared" si="3"/>
        <v>69.927374999999998</v>
      </c>
      <c r="V15" s="981">
        <f t="shared" si="4"/>
        <v>69.927374999999998</v>
      </c>
      <c r="W15" s="981">
        <f t="shared" si="5"/>
        <v>69.927374999999998</v>
      </c>
      <c r="X15" s="981">
        <f t="shared" si="6"/>
        <v>69.927374999999998</v>
      </c>
      <c r="Y15" s="981">
        <f t="shared" si="7"/>
        <v>0</v>
      </c>
      <c r="Z15" s="982">
        <f t="shared" si="8"/>
        <v>69.927374999999998</v>
      </c>
      <c r="AA15" s="2984">
        <v>72</v>
      </c>
      <c r="AB15" s="733">
        <v>12</v>
      </c>
      <c r="AC15" s="79"/>
      <c r="AD15" s="3772" t="s">
        <v>1718</v>
      </c>
    </row>
    <row r="16" spans="1:54" s="528" customFormat="1" ht="15" customHeight="1" x14ac:dyDescent="0.2">
      <c r="B16" s="78"/>
      <c r="C16" s="3771" t="s">
        <v>936</v>
      </c>
      <c r="D16" s="87">
        <v>60000</v>
      </c>
      <c r="E16" s="87">
        <v>10</v>
      </c>
      <c r="F16" s="247">
        <f t="shared" si="9"/>
        <v>54000</v>
      </c>
      <c r="G16" s="1199">
        <v>15</v>
      </c>
      <c r="H16" s="1274">
        <v>0.15</v>
      </c>
      <c r="I16" s="247">
        <f>(F16*H16)+F16*H16*'Preise-Stammdaten'!$N$10%</f>
        <v>9639</v>
      </c>
      <c r="J16" s="579">
        <f t="shared" si="0"/>
        <v>4195.6424999999999</v>
      </c>
      <c r="K16" s="1280">
        <v>50</v>
      </c>
      <c r="L16" s="1280">
        <v>10</v>
      </c>
      <c r="M16" s="1280">
        <v>10</v>
      </c>
      <c r="N16" s="1280">
        <v>5</v>
      </c>
      <c r="O16" s="1280">
        <v>1</v>
      </c>
      <c r="P16" s="1280">
        <v>5</v>
      </c>
      <c r="Q16" s="1280">
        <v>19</v>
      </c>
      <c r="R16" s="1280"/>
      <c r="S16" s="247">
        <f t="shared" si="1"/>
        <v>100</v>
      </c>
      <c r="T16" s="979">
        <f t="shared" si="2"/>
        <v>41.956424999999996</v>
      </c>
      <c r="U16" s="980">
        <f t="shared" si="3"/>
        <v>41.956424999999996</v>
      </c>
      <c r="V16" s="981">
        <f t="shared" si="4"/>
        <v>41.956424999999996</v>
      </c>
      <c r="W16" s="981">
        <f t="shared" si="5"/>
        <v>41.956424999999996</v>
      </c>
      <c r="X16" s="981">
        <f t="shared" si="6"/>
        <v>41.956424999999996</v>
      </c>
      <c r="Y16" s="981">
        <f t="shared" si="7"/>
        <v>0</v>
      </c>
      <c r="Z16" s="982">
        <f t="shared" si="8"/>
        <v>41.956424999999996</v>
      </c>
      <c r="AA16" s="2984">
        <v>72</v>
      </c>
      <c r="AB16" s="733">
        <v>12</v>
      </c>
      <c r="AC16" s="79"/>
      <c r="AD16" s="3772" t="s">
        <v>1718</v>
      </c>
    </row>
    <row r="17" spans="2:30" s="528" customFormat="1" ht="15" customHeight="1" x14ac:dyDescent="0.2">
      <c r="B17" s="78"/>
      <c r="C17" s="1897"/>
      <c r="D17" s="87"/>
      <c r="E17" s="87"/>
      <c r="F17" s="247">
        <f t="shared" si="9"/>
        <v>0</v>
      </c>
      <c r="G17" s="1199"/>
      <c r="H17" s="1274"/>
      <c r="I17" s="247">
        <f>(F17*H17)+F17*H17*'Preise-Stammdaten'!$N$10%</f>
        <v>0</v>
      </c>
      <c r="J17" s="579">
        <f t="shared" si="0"/>
        <v>0</v>
      </c>
      <c r="K17" s="1280"/>
      <c r="L17" s="1280"/>
      <c r="M17" s="1280"/>
      <c r="N17" s="1280"/>
      <c r="O17" s="1280"/>
      <c r="P17" s="1280"/>
      <c r="Q17" s="1280"/>
      <c r="R17" s="1280"/>
      <c r="S17" s="247">
        <f t="shared" si="1"/>
        <v>0</v>
      </c>
      <c r="T17" s="979">
        <f t="shared" si="2"/>
        <v>0</v>
      </c>
      <c r="U17" s="980">
        <f t="shared" si="3"/>
        <v>0</v>
      </c>
      <c r="V17" s="981">
        <f t="shared" si="4"/>
        <v>0</v>
      </c>
      <c r="W17" s="981">
        <f t="shared" si="5"/>
        <v>0</v>
      </c>
      <c r="X17" s="981">
        <f t="shared" si="6"/>
        <v>0</v>
      </c>
      <c r="Y17" s="981">
        <f t="shared" si="7"/>
        <v>0</v>
      </c>
      <c r="Z17" s="982">
        <f t="shared" si="8"/>
        <v>0</v>
      </c>
      <c r="AA17" s="1254"/>
      <c r="AB17" s="733"/>
      <c r="AC17" s="79"/>
    </row>
    <row r="18" spans="2:30" s="528" customFormat="1" ht="15" customHeight="1" x14ac:dyDescent="0.2">
      <c r="B18" s="78"/>
      <c r="C18" s="1897" t="s">
        <v>104</v>
      </c>
      <c r="D18" s="87">
        <v>14000</v>
      </c>
      <c r="E18" s="87">
        <v>20</v>
      </c>
      <c r="F18" s="247">
        <f t="shared" si="9"/>
        <v>11200</v>
      </c>
      <c r="G18" s="1199">
        <v>14</v>
      </c>
      <c r="H18" s="1274">
        <v>0.15</v>
      </c>
      <c r="I18" s="247">
        <f>(F18*H18)+F18*H18*'Preise-Stammdaten'!$N$10%</f>
        <v>1999.2</v>
      </c>
      <c r="J18" s="579">
        <f t="shared" si="0"/>
        <v>924.154</v>
      </c>
      <c r="K18" s="1280"/>
      <c r="L18" s="1280"/>
      <c r="M18" s="1280">
        <v>10</v>
      </c>
      <c r="N18" s="1280">
        <v>5</v>
      </c>
      <c r="O18" s="1280">
        <v>1</v>
      </c>
      <c r="P18" s="1280">
        <v>5</v>
      </c>
      <c r="Q18" s="1280">
        <v>19</v>
      </c>
      <c r="R18" s="1280"/>
      <c r="S18" s="247">
        <f t="shared" si="1"/>
        <v>40</v>
      </c>
      <c r="T18" s="979">
        <f t="shared" si="2"/>
        <v>0</v>
      </c>
      <c r="U18" s="980">
        <f t="shared" si="3"/>
        <v>0</v>
      </c>
      <c r="V18" s="981">
        <f t="shared" si="4"/>
        <v>23.103850000000001</v>
      </c>
      <c r="W18" s="981">
        <f t="shared" si="5"/>
        <v>23.103850000000001</v>
      </c>
      <c r="X18" s="981">
        <f t="shared" si="6"/>
        <v>23.103850000000001</v>
      </c>
      <c r="Y18" s="981">
        <f t="shared" si="7"/>
        <v>0</v>
      </c>
      <c r="Z18" s="982">
        <f t="shared" si="8"/>
        <v>23.103850000000001</v>
      </c>
      <c r="AA18" s="2983">
        <v>88</v>
      </c>
      <c r="AB18" s="733">
        <v>14</v>
      </c>
      <c r="AC18" s="79"/>
      <c r="AD18" s="3772" t="s">
        <v>1719</v>
      </c>
    </row>
    <row r="19" spans="2:30" s="528" customFormat="1" ht="15" customHeight="1" x14ac:dyDescent="0.2">
      <c r="B19" s="78"/>
      <c r="C19" s="1897" t="s">
        <v>764</v>
      </c>
      <c r="D19" s="87">
        <v>11000</v>
      </c>
      <c r="E19" s="87">
        <v>20</v>
      </c>
      <c r="F19" s="247">
        <f t="shared" si="9"/>
        <v>8800</v>
      </c>
      <c r="G19" s="1199">
        <v>14</v>
      </c>
      <c r="H19" s="1274">
        <v>0.15</v>
      </c>
      <c r="I19" s="247">
        <f>(F19*H19)+F19*H19*'Preise-Stammdaten'!$N$10%</f>
        <v>1570.8</v>
      </c>
      <c r="J19" s="579">
        <f t="shared" si="0"/>
        <v>726.12100000000009</v>
      </c>
      <c r="K19" s="1280"/>
      <c r="L19" s="1280"/>
      <c r="M19" s="1280">
        <v>10</v>
      </c>
      <c r="N19" s="1280">
        <v>5</v>
      </c>
      <c r="O19" s="1280">
        <v>1</v>
      </c>
      <c r="P19" s="1280">
        <v>5</v>
      </c>
      <c r="Q19" s="1280">
        <v>19</v>
      </c>
      <c r="R19" s="1280"/>
      <c r="S19" s="247">
        <f t="shared" si="1"/>
        <v>40</v>
      </c>
      <c r="T19" s="979">
        <f t="shared" si="2"/>
        <v>0</v>
      </c>
      <c r="U19" s="980">
        <f t="shared" si="3"/>
        <v>0</v>
      </c>
      <c r="V19" s="981">
        <f t="shared" si="4"/>
        <v>18.153025000000003</v>
      </c>
      <c r="W19" s="981">
        <f t="shared" si="5"/>
        <v>18.153025000000003</v>
      </c>
      <c r="X19" s="981">
        <f t="shared" si="6"/>
        <v>18.153025000000003</v>
      </c>
      <c r="Y19" s="981">
        <f t="shared" si="7"/>
        <v>0</v>
      </c>
      <c r="Z19" s="982">
        <f t="shared" si="8"/>
        <v>18.153025000000003</v>
      </c>
      <c r="AA19" s="2983">
        <v>90</v>
      </c>
      <c r="AB19" s="733">
        <v>14</v>
      </c>
      <c r="AC19" s="79"/>
      <c r="AD19" s="3772" t="s">
        <v>1720</v>
      </c>
    </row>
    <row r="20" spans="2:30" s="528" customFormat="1" ht="15" customHeight="1" x14ac:dyDescent="0.2">
      <c r="B20" s="78"/>
      <c r="C20" s="1897" t="s">
        <v>187</v>
      </c>
      <c r="D20" s="87">
        <f>13500+11500</f>
        <v>25000</v>
      </c>
      <c r="E20" s="87">
        <v>20</v>
      </c>
      <c r="F20" s="247">
        <f t="shared" si="9"/>
        <v>20000</v>
      </c>
      <c r="G20" s="1199">
        <v>12</v>
      </c>
      <c r="H20" s="1274">
        <v>0.15</v>
      </c>
      <c r="I20" s="247">
        <f>(F20*H20)+F20*H20*'Preise-Stammdaten'!$N$10%</f>
        <v>3570</v>
      </c>
      <c r="J20" s="579">
        <f t="shared" si="0"/>
        <v>1891.1083333333333</v>
      </c>
      <c r="K20" s="1280"/>
      <c r="L20" s="1280"/>
      <c r="M20" s="1280">
        <v>10</v>
      </c>
      <c r="N20" s="1280">
        <v>5</v>
      </c>
      <c r="O20" s="1280">
        <v>1</v>
      </c>
      <c r="P20" s="1280">
        <v>5</v>
      </c>
      <c r="Q20" s="1280">
        <v>19</v>
      </c>
      <c r="R20" s="1280"/>
      <c r="S20" s="247">
        <f>SUM(K20:R20)</f>
        <v>40</v>
      </c>
      <c r="T20" s="979">
        <f t="shared" si="2"/>
        <v>0</v>
      </c>
      <c r="U20" s="980">
        <f t="shared" si="3"/>
        <v>0</v>
      </c>
      <c r="V20" s="981">
        <f t="shared" si="4"/>
        <v>47.277708333333337</v>
      </c>
      <c r="W20" s="981">
        <f t="shared" si="5"/>
        <v>47.277708333333337</v>
      </c>
      <c r="X20" s="981">
        <f t="shared" si="6"/>
        <v>47.277708333333337</v>
      </c>
      <c r="Y20" s="981">
        <f t="shared" si="7"/>
        <v>0</v>
      </c>
      <c r="Z20" s="982">
        <f t="shared" si="8"/>
        <v>47.277708333333337</v>
      </c>
      <c r="AA20" s="3434" t="s">
        <v>1680</v>
      </c>
      <c r="AB20" s="733">
        <f>(14+8)/2</f>
        <v>11</v>
      </c>
      <c r="AC20" s="79"/>
      <c r="AD20" s="3772" t="s">
        <v>1721</v>
      </c>
    </row>
    <row r="21" spans="2:30" s="528" customFormat="1" ht="15" customHeight="1" x14ac:dyDescent="0.2">
      <c r="B21" s="78"/>
      <c r="C21" s="1897"/>
      <c r="D21" s="87"/>
      <c r="E21" s="87"/>
      <c r="F21" s="247">
        <f>(100-E21)/100*D21</f>
        <v>0</v>
      </c>
      <c r="G21" s="1199"/>
      <c r="H21" s="1274"/>
      <c r="I21" s="247">
        <f>(F21*H21)+F21*H21*'Preise-Stammdaten'!$N$10%</f>
        <v>0</v>
      </c>
      <c r="J21" s="579">
        <f t="shared" si="0"/>
        <v>0</v>
      </c>
      <c r="K21" s="1280"/>
      <c r="L21" s="1280"/>
      <c r="M21" s="1280"/>
      <c r="N21" s="1280"/>
      <c r="O21" s="1280"/>
      <c r="P21" s="1280"/>
      <c r="Q21" s="1280"/>
      <c r="R21" s="1280"/>
      <c r="S21" s="247">
        <f t="shared" si="1"/>
        <v>0</v>
      </c>
      <c r="T21" s="979">
        <f t="shared" si="2"/>
        <v>0</v>
      </c>
      <c r="U21" s="980">
        <f t="shared" si="3"/>
        <v>0</v>
      </c>
      <c r="V21" s="981">
        <f t="shared" si="4"/>
        <v>0</v>
      </c>
      <c r="W21" s="981">
        <f t="shared" si="5"/>
        <v>0</v>
      </c>
      <c r="X21" s="981">
        <f t="shared" si="6"/>
        <v>0</v>
      </c>
      <c r="Y21" s="981">
        <f t="shared" si="7"/>
        <v>0</v>
      </c>
      <c r="Z21" s="982">
        <f t="shared" si="8"/>
        <v>0</v>
      </c>
      <c r="AA21" s="1254"/>
      <c r="AB21" s="733"/>
      <c r="AC21" s="79"/>
    </row>
    <row r="22" spans="2:30" s="528" customFormat="1" ht="15" customHeight="1" x14ac:dyDescent="0.2">
      <c r="B22" s="78"/>
      <c r="C22" s="1897" t="s">
        <v>105</v>
      </c>
      <c r="D22" s="87">
        <v>5500</v>
      </c>
      <c r="E22" s="87"/>
      <c r="F22" s="247">
        <f>(100-E22)/100*D22</f>
        <v>5500</v>
      </c>
      <c r="G22" s="1199">
        <v>10</v>
      </c>
      <c r="H22" s="1274">
        <v>0.15</v>
      </c>
      <c r="I22" s="247">
        <f>(F22*H22)+F22*H22*'Preise-Stammdaten'!$N$10%</f>
        <v>981.75</v>
      </c>
      <c r="J22" s="579">
        <f t="shared" si="0"/>
        <v>612.77562499999999</v>
      </c>
      <c r="K22" s="1280">
        <v>50</v>
      </c>
      <c r="L22" s="1280">
        <v>10</v>
      </c>
      <c r="M22" s="1280">
        <v>10</v>
      </c>
      <c r="N22" s="1280">
        <v>5</v>
      </c>
      <c r="O22" s="1280">
        <v>1</v>
      </c>
      <c r="P22" s="1280">
        <v>5</v>
      </c>
      <c r="Q22" s="1280">
        <v>19</v>
      </c>
      <c r="R22" s="1280"/>
      <c r="S22" s="247">
        <f t="shared" si="1"/>
        <v>100</v>
      </c>
      <c r="T22" s="979">
        <f t="shared" si="2"/>
        <v>6.12775625</v>
      </c>
      <c r="U22" s="980">
        <f t="shared" si="3"/>
        <v>6.12775625</v>
      </c>
      <c r="V22" s="981">
        <f t="shared" si="4"/>
        <v>6.12775625</v>
      </c>
      <c r="W22" s="981">
        <f t="shared" si="5"/>
        <v>6.12775625</v>
      </c>
      <c r="X22" s="981">
        <f t="shared" si="6"/>
        <v>6.12775625</v>
      </c>
      <c r="Y22" s="981">
        <f t="shared" si="7"/>
        <v>0</v>
      </c>
      <c r="Z22" s="982">
        <f t="shared" si="8"/>
        <v>6.12775625</v>
      </c>
      <c r="AA22" s="1254">
        <v>98</v>
      </c>
      <c r="AB22" s="733">
        <v>10</v>
      </c>
      <c r="AC22" s="79"/>
      <c r="AD22" s="3772" t="s">
        <v>1722</v>
      </c>
    </row>
    <row r="23" spans="2:30" s="528" customFormat="1" ht="15" customHeight="1" x14ac:dyDescent="0.2">
      <c r="B23" s="78"/>
      <c r="C23" s="1897" t="s">
        <v>557</v>
      </c>
      <c r="D23" s="87">
        <f>13500+16800</f>
        <v>30300</v>
      </c>
      <c r="E23" s="87"/>
      <c r="F23" s="247">
        <f>(100-E23)/100*D23</f>
        <v>30300</v>
      </c>
      <c r="G23" s="1199">
        <v>10</v>
      </c>
      <c r="H23" s="1274">
        <v>0.15</v>
      </c>
      <c r="I23" s="247">
        <f>(F23*H23)+F23*H23*'Preise-Stammdaten'!$N$10%</f>
        <v>5408.55</v>
      </c>
      <c r="J23" s="579">
        <f t="shared" si="0"/>
        <v>3375.8366250000004</v>
      </c>
      <c r="K23" s="1280"/>
      <c r="L23" s="1280"/>
      <c r="M23" s="1280">
        <v>10</v>
      </c>
      <c r="N23" s="1280">
        <v>5</v>
      </c>
      <c r="O23" s="1280">
        <v>1</v>
      </c>
      <c r="P23" s="1280"/>
      <c r="Q23" s="1280">
        <v>19</v>
      </c>
      <c r="R23" s="1280"/>
      <c r="S23" s="247">
        <f t="shared" si="1"/>
        <v>35</v>
      </c>
      <c r="T23" s="979">
        <f t="shared" si="2"/>
        <v>0</v>
      </c>
      <c r="U23" s="980">
        <f t="shared" si="3"/>
        <v>0</v>
      </c>
      <c r="V23" s="981">
        <f t="shared" si="4"/>
        <v>96.452475000000007</v>
      </c>
      <c r="W23" s="981">
        <f t="shared" si="5"/>
        <v>96.452475000000007</v>
      </c>
      <c r="X23" s="981">
        <f t="shared" si="6"/>
        <v>96.452475000000007</v>
      </c>
      <c r="Y23" s="981">
        <f t="shared" si="7"/>
        <v>0</v>
      </c>
      <c r="Z23" s="982">
        <f t="shared" si="8"/>
        <v>0</v>
      </c>
      <c r="AA23" s="3434">
        <v>108</v>
      </c>
      <c r="AB23" s="733">
        <v>10</v>
      </c>
      <c r="AC23" s="79"/>
      <c r="AD23" s="3772" t="s">
        <v>1723</v>
      </c>
    </row>
    <row r="24" spans="2:30" s="528" customFormat="1" ht="15" customHeight="1" x14ac:dyDescent="0.2">
      <c r="B24" s="78"/>
      <c r="C24" s="3771" t="s">
        <v>1681</v>
      </c>
      <c r="D24" s="87">
        <v>17000</v>
      </c>
      <c r="E24" s="87">
        <v>10</v>
      </c>
      <c r="F24" s="247">
        <f>(100-E24)/100*D24</f>
        <v>15300</v>
      </c>
      <c r="G24" s="1199">
        <v>15</v>
      </c>
      <c r="H24" s="1274">
        <v>0.15</v>
      </c>
      <c r="I24" s="247">
        <f>(F24*H24)+F24*H24*'Preise-Stammdaten'!$N$10%</f>
        <v>2731.05</v>
      </c>
      <c r="J24" s="579">
        <f t="shared" si="0"/>
        <v>1188.7653749999999</v>
      </c>
      <c r="K24" s="1280"/>
      <c r="L24" s="1280">
        <v>0</v>
      </c>
      <c r="M24" s="1280">
        <v>10</v>
      </c>
      <c r="N24" s="1280">
        <v>5</v>
      </c>
      <c r="O24" s="1280">
        <v>1</v>
      </c>
      <c r="P24" s="1280"/>
      <c r="Q24" s="1280">
        <v>19</v>
      </c>
      <c r="R24" s="1280"/>
      <c r="S24" s="247">
        <f t="shared" si="1"/>
        <v>35</v>
      </c>
      <c r="T24" s="979">
        <f t="shared" si="2"/>
        <v>0</v>
      </c>
      <c r="U24" s="980">
        <f t="shared" si="3"/>
        <v>0</v>
      </c>
      <c r="V24" s="981">
        <f t="shared" si="4"/>
        <v>33.964725000000001</v>
      </c>
      <c r="W24" s="981">
        <f t="shared" si="5"/>
        <v>33.964725000000001</v>
      </c>
      <c r="X24" s="981">
        <f t="shared" si="6"/>
        <v>33.964725000000001</v>
      </c>
      <c r="Y24" s="981">
        <f t="shared" si="7"/>
        <v>0</v>
      </c>
      <c r="Z24" s="982">
        <f t="shared" si="8"/>
        <v>0</v>
      </c>
      <c r="AA24" s="1254">
        <v>84</v>
      </c>
      <c r="AB24" s="733">
        <v>15</v>
      </c>
      <c r="AC24" s="79"/>
      <c r="AD24" s="3772" t="s">
        <v>1724</v>
      </c>
    </row>
    <row r="25" spans="2:30" s="528" customFormat="1" ht="15" customHeight="1" x14ac:dyDescent="0.2">
      <c r="B25" s="78"/>
      <c r="C25" s="1897" t="s">
        <v>1359</v>
      </c>
      <c r="D25" s="87">
        <v>4700</v>
      </c>
      <c r="E25" s="87">
        <v>30</v>
      </c>
      <c r="F25" s="247">
        <f>(100-E25)/100*D25</f>
        <v>3290</v>
      </c>
      <c r="G25" s="1199">
        <v>15</v>
      </c>
      <c r="H25" s="1274">
        <v>0.15</v>
      </c>
      <c r="I25" s="247">
        <f>(F25*H25)+F25*H25*'Preise-Stammdaten'!$N$10%</f>
        <v>587.26499999999999</v>
      </c>
      <c r="J25" s="579">
        <f t="shared" si="0"/>
        <v>255.62340416666666</v>
      </c>
      <c r="K25" s="1280"/>
      <c r="L25" s="1280">
        <v>10</v>
      </c>
      <c r="M25" s="1280">
        <v>10</v>
      </c>
      <c r="N25" s="1280"/>
      <c r="O25" s="1280"/>
      <c r="P25" s="1280"/>
      <c r="Q25" s="1280"/>
      <c r="R25" s="1280"/>
      <c r="S25" s="247">
        <f t="shared" si="1"/>
        <v>20</v>
      </c>
      <c r="T25" s="979">
        <f t="shared" si="2"/>
        <v>0</v>
      </c>
      <c r="U25" s="980">
        <f t="shared" si="3"/>
        <v>12.781170208333332</v>
      </c>
      <c r="V25" s="981">
        <f t="shared" si="4"/>
        <v>12.781170208333332</v>
      </c>
      <c r="W25" s="981">
        <f t="shared" si="5"/>
        <v>0</v>
      </c>
      <c r="X25" s="981">
        <f t="shared" si="6"/>
        <v>0</v>
      </c>
      <c r="Y25" s="981">
        <f t="shared" si="7"/>
        <v>0</v>
      </c>
      <c r="Z25" s="982">
        <f t="shared" si="8"/>
        <v>0</v>
      </c>
      <c r="AA25" s="3436">
        <v>97</v>
      </c>
      <c r="AB25" s="733">
        <v>10</v>
      </c>
      <c r="AC25" s="79"/>
      <c r="AD25" s="3435" t="s">
        <v>1360</v>
      </c>
    </row>
    <row r="26" spans="2:30" s="528" customFormat="1" ht="15" customHeight="1" x14ac:dyDescent="0.2">
      <c r="B26" s="78"/>
      <c r="C26" s="1897"/>
      <c r="D26" s="87"/>
      <c r="E26" s="87"/>
      <c r="F26" s="247"/>
      <c r="G26" s="1199"/>
      <c r="H26" s="1274"/>
      <c r="I26" s="247"/>
      <c r="J26" s="579"/>
      <c r="K26" s="1280"/>
      <c r="L26" s="1280"/>
      <c r="M26" s="1280"/>
      <c r="N26" s="1280"/>
      <c r="O26" s="1280"/>
      <c r="P26" s="1280"/>
      <c r="Q26" s="1280"/>
      <c r="R26" s="1280"/>
      <c r="S26" s="247"/>
      <c r="T26" s="979"/>
      <c r="U26" s="980"/>
      <c r="V26" s="981"/>
      <c r="W26" s="981"/>
      <c r="X26" s="981"/>
      <c r="Y26" s="981"/>
      <c r="Z26" s="982"/>
      <c r="AA26" s="1254"/>
      <c r="AB26" s="733"/>
      <c r="AC26" s="79"/>
    </row>
    <row r="27" spans="2:30" s="528" customFormat="1" ht="15" customHeight="1" x14ac:dyDescent="0.2">
      <c r="B27" s="78"/>
      <c r="C27" s="1897"/>
      <c r="D27" s="87"/>
      <c r="E27" s="87"/>
      <c r="F27" s="247">
        <f t="shared" ref="F27:F43" si="10">(100-E27)/100*D27</f>
        <v>0</v>
      </c>
      <c r="G27" s="1199"/>
      <c r="H27" s="1274"/>
      <c r="I27" s="247">
        <f>(F27*H27)+F27*H27*'Preise-Stammdaten'!$N$10%</f>
        <v>0</v>
      </c>
      <c r="J27" s="579">
        <f t="shared" si="0"/>
        <v>0</v>
      </c>
      <c r="K27" s="1280"/>
      <c r="L27" s="1280"/>
      <c r="M27" s="1280"/>
      <c r="N27" s="1280"/>
      <c r="O27" s="1280"/>
      <c r="P27" s="1280"/>
      <c r="Q27" s="1280"/>
      <c r="R27" s="1280"/>
      <c r="S27" s="247">
        <f t="shared" si="1"/>
        <v>0</v>
      </c>
      <c r="T27" s="979">
        <f t="shared" si="2"/>
        <v>0</v>
      </c>
      <c r="U27" s="980">
        <f t="shared" si="3"/>
        <v>0</v>
      </c>
      <c r="V27" s="981">
        <f t="shared" si="4"/>
        <v>0</v>
      </c>
      <c r="W27" s="981">
        <f t="shared" si="5"/>
        <v>0</v>
      </c>
      <c r="X27" s="981">
        <f t="shared" si="6"/>
        <v>0</v>
      </c>
      <c r="Y27" s="981">
        <f t="shared" si="7"/>
        <v>0</v>
      </c>
      <c r="Z27" s="982">
        <f t="shared" si="8"/>
        <v>0</v>
      </c>
      <c r="AA27" s="1254"/>
      <c r="AB27" s="733"/>
      <c r="AC27" s="79"/>
    </row>
    <row r="28" spans="2:30" s="528" customFormat="1" ht="15" customHeight="1" x14ac:dyDescent="0.2">
      <c r="B28" s="78"/>
      <c r="C28" s="1897" t="s">
        <v>750</v>
      </c>
      <c r="D28" s="87">
        <v>3300</v>
      </c>
      <c r="E28" s="87"/>
      <c r="F28" s="247">
        <f t="shared" si="10"/>
        <v>3300</v>
      </c>
      <c r="G28" s="1199">
        <v>15</v>
      </c>
      <c r="H28" s="1274">
        <v>0.15</v>
      </c>
      <c r="I28" s="247">
        <f>(F28*H28)+F28*H28*'Preise-Stammdaten'!$N$10%</f>
        <v>589.04999999999995</v>
      </c>
      <c r="J28" s="579">
        <f t="shared" si="0"/>
        <v>256.400375</v>
      </c>
      <c r="K28" s="1280">
        <v>50</v>
      </c>
      <c r="L28" s="1280">
        <v>10</v>
      </c>
      <c r="M28" s="1280"/>
      <c r="N28" s="1280"/>
      <c r="O28" s="1280"/>
      <c r="P28" s="1280"/>
      <c r="Q28" s="1280"/>
      <c r="R28" s="1280"/>
      <c r="S28" s="247">
        <f t="shared" si="1"/>
        <v>60</v>
      </c>
      <c r="T28" s="979">
        <v>0.5</v>
      </c>
      <c r="U28" s="980">
        <f t="shared" si="3"/>
        <v>4.2733395833333336</v>
      </c>
      <c r="V28" s="981">
        <f t="shared" si="4"/>
        <v>0</v>
      </c>
      <c r="W28" s="981">
        <f t="shared" si="5"/>
        <v>0</v>
      </c>
      <c r="X28" s="981">
        <f t="shared" si="6"/>
        <v>0</v>
      </c>
      <c r="Y28" s="981">
        <f t="shared" si="7"/>
        <v>0</v>
      </c>
      <c r="Z28" s="982">
        <f t="shared" si="8"/>
        <v>0</v>
      </c>
      <c r="AA28" s="1254">
        <v>107</v>
      </c>
      <c r="AB28" s="733">
        <v>15</v>
      </c>
      <c r="AC28" s="79"/>
      <c r="AD28" s="3772" t="s">
        <v>1725</v>
      </c>
    </row>
    <row r="29" spans="2:30" s="528" customFormat="1" ht="15" customHeight="1" x14ac:dyDescent="0.2">
      <c r="B29" s="78"/>
      <c r="C29" s="1897" t="s">
        <v>751</v>
      </c>
      <c r="D29" s="87">
        <v>3500</v>
      </c>
      <c r="E29" s="87"/>
      <c r="F29" s="247">
        <f t="shared" si="10"/>
        <v>3500</v>
      </c>
      <c r="G29" s="1199">
        <v>18</v>
      </c>
      <c r="H29" s="1274">
        <v>0.15</v>
      </c>
      <c r="I29" s="247">
        <f>(F29*H29)+F29*H29*'Preise-Stammdaten'!$N$10%</f>
        <v>624.75</v>
      </c>
      <c r="J29" s="579">
        <f t="shared" si="0"/>
        <v>232.60368055555554</v>
      </c>
      <c r="K29" s="1280">
        <v>50</v>
      </c>
      <c r="L29" s="1280">
        <v>10</v>
      </c>
      <c r="M29" s="1280"/>
      <c r="N29" s="1280"/>
      <c r="O29" s="1280"/>
      <c r="P29" s="1280"/>
      <c r="Q29" s="1280"/>
      <c r="R29" s="1280"/>
      <c r="S29" s="247">
        <f t="shared" si="1"/>
        <v>60</v>
      </c>
      <c r="T29" s="979">
        <f t="shared" si="2"/>
        <v>3.8767280092592591</v>
      </c>
      <c r="U29" s="980">
        <f t="shared" si="3"/>
        <v>3.8767280092592591</v>
      </c>
      <c r="V29" s="981">
        <f t="shared" si="4"/>
        <v>0</v>
      </c>
      <c r="W29" s="981">
        <f t="shared" si="5"/>
        <v>0</v>
      </c>
      <c r="X29" s="981">
        <f t="shared" si="6"/>
        <v>0</v>
      </c>
      <c r="Y29" s="981">
        <f t="shared" si="7"/>
        <v>0</v>
      </c>
      <c r="Z29" s="982">
        <f t="shared" si="8"/>
        <v>0</v>
      </c>
      <c r="AA29" s="1254">
        <v>95</v>
      </c>
      <c r="AB29" s="733">
        <v>18</v>
      </c>
      <c r="AC29" s="79"/>
      <c r="AD29" s="3772" t="s">
        <v>1726</v>
      </c>
    </row>
    <row r="30" spans="2:30" s="528" customFormat="1" ht="15" customHeight="1" x14ac:dyDescent="0.2">
      <c r="B30" s="78"/>
      <c r="C30" s="1897" t="s">
        <v>106</v>
      </c>
      <c r="D30" s="87">
        <v>16500</v>
      </c>
      <c r="E30" s="87"/>
      <c r="F30" s="247">
        <f t="shared" si="10"/>
        <v>16500</v>
      </c>
      <c r="G30" s="1199">
        <v>10</v>
      </c>
      <c r="H30" s="1274">
        <v>0.15</v>
      </c>
      <c r="I30" s="247">
        <f>(F30*H30)+F30*H30*'Preise-Stammdaten'!$N$10%</f>
        <v>2945.25</v>
      </c>
      <c r="J30" s="579">
        <f t="shared" si="0"/>
        <v>1838.326875</v>
      </c>
      <c r="K30" s="1280">
        <v>50</v>
      </c>
      <c r="L30" s="1280"/>
      <c r="M30" s="1280"/>
      <c r="N30" s="1280"/>
      <c r="O30" s="1280"/>
      <c r="P30" s="1280">
        <v>5</v>
      </c>
      <c r="Q30" s="1280"/>
      <c r="R30" s="1280"/>
      <c r="S30" s="247">
        <f t="shared" si="1"/>
        <v>55</v>
      </c>
      <c r="T30" s="979">
        <f t="shared" si="2"/>
        <v>33.424124999999997</v>
      </c>
      <c r="U30" s="980">
        <f t="shared" si="3"/>
        <v>0</v>
      </c>
      <c r="V30" s="981">
        <f t="shared" si="4"/>
        <v>0</v>
      </c>
      <c r="W30" s="981">
        <f t="shared" si="5"/>
        <v>0</v>
      </c>
      <c r="X30" s="981">
        <f t="shared" si="6"/>
        <v>0</v>
      </c>
      <c r="Y30" s="981">
        <f t="shared" si="7"/>
        <v>0</v>
      </c>
      <c r="Z30" s="982">
        <f t="shared" si="8"/>
        <v>33.424124999999997</v>
      </c>
      <c r="AA30" s="1254">
        <v>110</v>
      </c>
      <c r="AB30" s="733">
        <v>10</v>
      </c>
      <c r="AC30" s="79"/>
      <c r="AD30" s="3772" t="s">
        <v>1727</v>
      </c>
    </row>
    <row r="31" spans="2:30" s="528" customFormat="1" ht="15" customHeight="1" x14ac:dyDescent="0.2">
      <c r="B31" s="78"/>
      <c r="C31" s="3771" t="s">
        <v>1682</v>
      </c>
      <c r="D31" s="87">
        <v>17500</v>
      </c>
      <c r="E31" s="87"/>
      <c r="F31" s="247">
        <f t="shared" si="10"/>
        <v>17500</v>
      </c>
      <c r="G31" s="1199">
        <v>10</v>
      </c>
      <c r="H31" s="1274">
        <v>0.15</v>
      </c>
      <c r="I31" s="247">
        <f>(F31*H31)+F31*H31*'Preise-Stammdaten'!$N$10%</f>
        <v>3123.75</v>
      </c>
      <c r="J31" s="579">
        <f t="shared" si="0"/>
        <v>1949.7406249999999</v>
      </c>
      <c r="K31" s="1280">
        <v>50</v>
      </c>
      <c r="L31" s="1280"/>
      <c r="M31" s="1280"/>
      <c r="N31" s="1280"/>
      <c r="O31" s="1280"/>
      <c r="P31" s="1280">
        <v>5</v>
      </c>
      <c r="Q31" s="1280"/>
      <c r="R31" s="1280"/>
      <c r="S31" s="247">
        <f t="shared" si="1"/>
        <v>55</v>
      </c>
      <c r="T31" s="979">
        <f t="shared" si="2"/>
        <v>35.449829545454541</v>
      </c>
      <c r="U31" s="980">
        <f t="shared" si="3"/>
        <v>0</v>
      </c>
      <c r="V31" s="981">
        <f t="shared" si="4"/>
        <v>0</v>
      </c>
      <c r="W31" s="981">
        <f t="shared" si="5"/>
        <v>0</v>
      </c>
      <c r="X31" s="981">
        <f t="shared" si="6"/>
        <v>0</v>
      </c>
      <c r="Y31" s="981">
        <f t="shared" si="7"/>
        <v>0</v>
      </c>
      <c r="Z31" s="982">
        <f t="shared" si="8"/>
        <v>35.449829545454541</v>
      </c>
      <c r="AA31" s="1254">
        <v>110</v>
      </c>
      <c r="AB31" s="733">
        <v>10</v>
      </c>
      <c r="AC31" s="79"/>
      <c r="AD31" s="3772" t="s">
        <v>1727</v>
      </c>
    </row>
    <row r="32" spans="2:30" s="528" customFormat="1" ht="15" customHeight="1" x14ac:dyDescent="0.2">
      <c r="B32" s="78"/>
      <c r="C32" s="1897" t="s">
        <v>107</v>
      </c>
      <c r="D32" s="87">
        <v>8400</v>
      </c>
      <c r="E32" s="87"/>
      <c r="F32" s="247">
        <f t="shared" si="10"/>
        <v>8400</v>
      </c>
      <c r="G32" s="1199">
        <v>10</v>
      </c>
      <c r="H32" s="1274">
        <v>0.15</v>
      </c>
      <c r="I32" s="247">
        <f>(F32*H32)+F32*H32*'Preise-Stammdaten'!$N$10%</f>
        <v>1499.4</v>
      </c>
      <c r="J32" s="579">
        <f t="shared" si="0"/>
        <v>935.8755000000001</v>
      </c>
      <c r="K32" s="1280">
        <v>50</v>
      </c>
      <c r="L32" s="1280"/>
      <c r="M32" s="1280"/>
      <c r="N32" s="1280"/>
      <c r="O32" s="1280"/>
      <c r="P32" s="1280">
        <v>5</v>
      </c>
      <c r="Q32" s="1280"/>
      <c r="R32" s="1280"/>
      <c r="S32" s="247">
        <f t="shared" si="1"/>
        <v>55</v>
      </c>
      <c r="T32" s="979">
        <f>IF(K32=0,0,IF($S32=0,0,$J32/$S32))</f>
        <v>17.015918181818183</v>
      </c>
      <c r="U32" s="980">
        <f t="shared" si="3"/>
        <v>0</v>
      </c>
      <c r="V32" s="981">
        <f t="shared" si="4"/>
        <v>0</v>
      </c>
      <c r="W32" s="981">
        <f t="shared" si="5"/>
        <v>0</v>
      </c>
      <c r="X32" s="981">
        <f t="shared" si="6"/>
        <v>0</v>
      </c>
      <c r="Y32" s="981">
        <f t="shared" si="7"/>
        <v>0</v>
      </c>
      <c r="Z32" s="982">
        <f t="shared" si="8"/>
        <v>17.015918181818183</v>
      </c>
      <c r="AA32" s="1254">
        <v>112</v>
      </c>
      <c r="AB32" s="733">
        <v>10</v>
      </c>
      <c r="AC32" s="79"/>
      <c r="AD32" s="3772" t="s">
        <v>1728</v>
      </c>
    </row>
    <row r="33" spans="2:30" s="528" customFormat="1" ht="15" customHeight="1" x14ac:dyDescent="0.2">
      <c r="B33" s="78"/>
      <c r="C33" s="1897" t="s">
        <v>558</v>
      </c>
      <c r="D33" s="87">
        <v>27500</v>
      </c>
      <c r="E33" s="87"/>
      <c r="F33" s="247">
        <f t="shared" si="10"/>
        <v>27500</v>
      </c>
      <c r="G33" s="1199">
        <v>10</v>
      </c>
      <c r="H33" s="1274">
        <v>0.15</v>
      </c>
      <c r="I33" s="247">
        <f>(F33*H33)+F33*H33*'Preise-Stammdaten'!$N$10%</f>
        <v>4908.75</v>
      </c>
      <c r="J33" s="579">
        <f t="shared" si="0"/>
        <v>3063.8781250000002</v>
      </c>
      <c r="K33" s="1280">
        <v>50</v>
      </c>
      <c r="L33" s="1280"/>
      <c r="M33" s="1280"/>
      <c r="N33" s="1280"/>
      <c r="O33" s="1280"/>
      <c r="P33" s="1280">
        <v>5</v>
      </c>
      <c r="Q33" s="1280"/>
      <c r="R33" s="1280"/>
      <c r="S33" s="247">
        <f t="shared" si="1"/>
        <v>55</v>
      </c>
      <c r="T33" s="979">
        <f>IF(K33=0,0,IF($S33=0,0,$J33/$S33))</f>
        <v>55.706875000000004</v>
      </c>
      <c r="U33" s="980">
        <f t="shared" si="3"/>
        <v>0</v>
      </c>
      <c r="V33" s="981">
        <f t="shared" si="4"/>
        <v>0</v>
      </c>
      <c r="W33" s="981">
        <f t="shared" si="5"/>
        <v>0</v>
      </c>
      <c r="X33" s="981">
        <f t="shared" si="6"/>
        <v>0</v>
      </c>
      <c r="Y33" s="981">
        <f t="shared" si="7"/>
        <v>0</v>
      </c>
      <c r="Z33" s="982">
        <f t="shared" si="8"/>
        <v>55.706875000000004</v>
      </c>
      <c r="AA33" s="1254">
        <v>112</v>
      </c>
      <c r="AB33" s="733">
        <v>10</v>
      </c>
      <c r="AC33" s="79"/>
      <c r="AD33" s="3772" t="s">
        <v>1728</v>
      </c>
    </row>
    <row r="34" spans="2:30" s="528" customFormat="1" ht="15" customHeight="1" x14ac:dyDescent="0.2">
      <c r="B34" s="78"/>
      <c r="C34" s="1897" t="s">
        <v>1357</v>
      </c>
      <c r="D34" s="87">
        <v>2000</v>
      </c>
      <c r="E34" s="87"/>
      <c r="F34" s="247">
        <f t="shared" si="10"/>
        <v>2000</v>
      </c>
      <c r="G34" s="1199">
        <v>15</v>
      </c>
      <c r="H34" s="1274">
        <v>0.15</v>
      </c>
      <c r="I34" s="247">
        <f>(F34*H34)+F34*H34*'Preise-Stammdaten'!$N$10%</f>
        <v>357</v>
      </c>
      <c r="J34" s="579">
        <f t="shared" si="0"/>
        <v>155.39416666666668</v>
      </c>
      <c r="K34" s="1280"/>
      <c r="L34" s="1280">
        <v>10</v>
      </c>
      <c r="M34" s="1280"/>
      <c r="N34" s="1280"/>
      <c r="O34" s="1280"/>
      <c r="P34" s="1280"/>
      <c r="Q34" s="1280"/>
      <c r="R34" s="1280"/>
      <c r="S34" s="247">
        <f t="shared" ref="S34:S41" si="11">SUM(K34:R34)</f>
        <v>10</v>
      </c>
      <c r="T34" s="979">
        <f t="shared" ref="T34:T41" si="12">IF(K34=0,0,IF($S34=0,0,$J34/$S34))</f>
        <v>0</v>
      </c>
      <c r="U34" s="980">
        <f t="shared" ref="U34:U42" si="13">IF(L34=0,0,IF($S34=0,0,$J34/$S34))</f>
        <v>15.539416666666668</v>
      </c>
      <c r="V34" s="981">
        <f t="shared" ref="V34:V42" si="14">IF(M34=0,0,IF($S34=0,0,$J34/$S34))</f>
        <v>0</v>
      </c>
      <c r="W34" s="981">
        <f t="shared" ref="W34:W42" si="15">IF(N34=0,0,IF($S34=0,0,$J34/$S34))</f>
        <v>0</v>
      </c>
      <c r="X34" s="981">
        <f t="shared" ref="X34:X42" si="16">IF(O34=0,0,IF($S34=0,0,$J34/$S34))</f>
        <v>0</v>
      </c>
      <c r="Y34" s="981">
        <f t="shared" ref="Y34:Y41" si="17">IF(R34=0,0,IF($S34=0,0,$J34/$S34))</f>
        <v>0</v>
      </c>
      <c r="Z34" s="982">
        <f t="shared" ref="Z34:Z41" si="18">IF(P34=0,0,IF($S34=0,0,$J34/$S34))</f>
        <v>0</v>
      </c>
      <c r="AA34" s="3436">
        <v>98</v>
      </c>
      <c r="AB34" s="733">
        <v>15</v>
      </c>
      <c r="AC34" s="79"/>
      <c r="AD34" s="3435" t="s">
        <v>1358</v>
      </c>
    </row>
    <row r="35" spans="2:30" s="528" customFormat="1" ht="15" customHeight="1" x14ac:dyDescent="0.2">
      <c r="B35" s="78"/>
      <c r="C35" s="1897"/>
      <c r="D35" s="87"/>
      <c r="E35" s="87"/>
      <c r="F35" s="247">
        <f t="shared" si="10"/>
        <v>0</v>
      </c>
      <c r="G35" s="1199"/>
      <c r="H35" s="1274"/>
      <c r="I35" s="247">
        <f>(F35*H35)+F35*H35*'Preise-Stammdaten'!$N$10%</f>
        <v>0</v>
      </c>
      <c r="J35" s="579">
        <f t="shared" si="0"/>
        <v>0</v>
      </c>
      <c r="K35" s="1280"/>
      <c r="L35" s="1280"/>
      <c r="M35" s="1280"/>
      <c r="N35" s="1280"/>
      <c r="O35" s="1280"/>
      <c r="P35" s="1280"/>
      <c r="Q35" s="1280"/>
      <c r="R35" s="1280"/>
      <c r="S35" s="247">
        <f t="shared" si="11"/>
        <v>0</v>
      </c>
      <c r="T35" s="979">
        <f t="shared" si="12"/>
        <v>0</v>
      </c>
      <c r="U35" s="980">
        <f t="shared" si="13"/>
        <v>0</v>
      </c>
      <c r="V35" s="981">
        <f t="shared" si="14"/>
        <v>0</v>
      </c>
      <c r="W35" s="981">
        <f t="shared" si="15"/>
        <v>0</v>
      </c>
      <c r="X35" s="981">
        <f t="shared" si="16"/>
        <v>0</v>
      </c>
      <c r="Y35" s="981">
        <f t="shared" si="17"/>
        <v>0</v>
      </c>
      <c r="Z35" s="982">
        <f t="shared" si="18"/>
        <v>0</v>
      </c>
      <c r="AA35" s="1254"/>
      <c r="AB35" s="733"/>
      <c r="AC35" s="79"/>
    </row>
    <row r="36" spans="2:30" s="528" customFormat="1" ht="15" customHeight="1" x14ac:dyDescent="0.2">
      <c r="B36" s="78"/>
      <c r="C36" s="3771" t="s">
        <v>1683</v>
      </c>
      <c r="D36" s="87">
        <v>120000</v>
      </c>
      <c r="E36" s="87"/>
      <c r="F36" s="247">
        <f t="shared" si="10"/>
        <v>120000</v>
      </c>
      <c r="G36" s="1199">
        <v>12</v>
      </c>
      <c r="H36" s="1274">
        <v>0.15</v>
      </c>
      <c r="I36" s="247">
        <f>(F36*H36)+F36*H36*'Preise-Stammdaten'!$N$10%</f>
        <v>21420</v>
      </c>
      <c r="J36" s="579">
        <f t="shared" si="0"/>
        <v>11346.65</v>
      </c>
      <c r="K36" s="1280">
        <v>50</v>
      </c>
      <c r="L36" s="1280"/>
      <c r="M36" s="1280"/>
      <c r="N36" s="1280"/>
      <c r="O36" s="1280"/>
      <c r="P36" s="1280">
        <v>5</v>
      </c>
      <c r="Q36" s="1280"/>
      <c r="R36" s="1280"/>
      <c r="S36" s="247">
        <f t="shared" si="11"/>
        <v>55</v>
      </c>
      <c r="T36" s="979">
        <f t="shared" si="12"/>
        <v>206.30272727272725</v>
      </c>
      <c r="U36" s="980">
        <f t="shared" si="13"/>
        <v>0</v>
      </c>
      <c r="V36" s="981">
        <f t="shared" si="14"/>
        <v>0</v>
      </c>
      <c r="W36" s="981">
        <f t="shared" si="15"/>
        <v>0</v>
      </c>
      <c r="X36" s="981">
        <f t="shared" si="16"/>
        <v>0</v>
      </c>
      <c r="Y36" s="981">
        <f t="shared" si="17"/>
        <v>0</v>
      </c>
      <c r="Z36" s="982">
        <f t="shared" si="18"/>
        <v>206.30272727272725</v>
      </c>
      <c r="AA36" s="1254">
        <v>115</v>
      </c>
      <c r="AB36" s="733">
        <v>8</v>
      </c>
      <c r="AC36" s="79"/>
      <c r="AD36" s="3772" t="s">
        <v>1729</v>
      </c>
    </row>
    <row r="37" spans="2:30" s="528" customFormat="1" ht="15" customHeight="1" x14ac:dyDescent="0.2">
      <c r="B37" s="78"/>
      <c r="C37" s="3771" t="s">
        <v>1684</v>
      </c>
      <c r="D37" s="87">
        <v>52000</v>
      </c>
      <c r="E37" s="87">
        <v>10</v>
      </c>
      <c r="F37" s="247">
        <f t="shared" si="10"/>
        <v>46800</v>
      </c>
      <c r="G37" s="1199">
        <v>12</v>
      </c>
      <c r="H37" s="1274">
        <v>0.15</v>
      </c>
      <c r="I37" s="247">
        <f>(F37*H37)+F37*H37*'Preise-Stammdaten'!$N$10%</f>
        <v>8353.7999999999993</v>
      </c>
      <c r="J37" s="579">
        <f t="shared" si="0"/>
        <v>4425.1935000000003</v>
      </c>
      <c r="K37" s="1280">
        <v>50</v>
      </c>
      <c r="L37" s="1280"/>
      <c r="M37" s="1280"/>
      <c r="N37" s="1280"/>
      <c r="O37" s="1280"/>
      <c r="P37" s="1280">
        <v>5</v>
      </c>
      <c r="Q37" s="1280"/>
      <c r="R37" s="1280"/>
      <c r="S37" s="247">
        <f t="shared" si="11"/>
        <v>55</v>
      </c>
      <c r="T37" s="979">
        <f t="shared" si="12"/>
        <v>80.458063636363647</v>
      </c>
      <c r="U37" s="980">
        <f t="shared" si="13"/>
        <v>0</v>
      </c>
      <c r="V37" s="981">
        <f t="shared" si="14"/>
        <v>0</v>
      </c>
      <c r="W37" s="981">
        <f t="shared" si="15"/>
        <v>0</v>
      </c>
      <c r="X37" s="981">
        <f t="shared" si="16"/>
        <v>0</v>
      </c>
      <c r="Y37" s="981">
        <f t="shared" si="17"/>
        <v>0</v>
      </c>
      <c r="Z37" s="982">
        <f t="shared" si="18"/>
        <v>80.458063636363647</v>
      </c>
      <c r="AA37" s="1254">
        <v>115</v>
      </c>
      <c r="AB37" s="733">
        <v>8</v>
      </c>
      <c r="AC37" s="79"/>
      <c r="AD37" s="3772" t="s">
        <v>1729</v>
      </c>
    </row>
    <row r="38" spans="2:30" s="528" customFormat="1" ht="15" customHeight="1" x14ac:dyDescent="0.2">
      <c r="B38" s="78"/>
      <c r="C38" s="3771" t="s">
        <v>1685</v>
      </c>
      <c r="D38" s="87">
        <v>6200</v>
      </c>
      <c r="E38" s="87"/>
      <c r="F38" s="247">
        <f t="shared" si="10"/>
        <v>6200</v>
      </c>
      <c r="G38" s="1199">
        <v>12</v>
      </c>
      <c r="H38" s="1274">
        <v>0.15</v>
      </c>
      <c r="I38" s="247">
        <f>(F38*H38)+F38*H38*'Preise-Stammdaten'!$N$10%</f>
        <v>1106.7</v>
      </c>
      <c r="J38" s="579">
        <f t="shared" si="0"/>
        <v>586.24358333333339</v>
      </c>
      <c r="K38" s="1280">
        <v>50</v>
      </c>
      <c r="L38" s="1280"/>
      <c r="M38" s="1280"/>
      <c r="N38" s="1280"/>
      <c r="O38" s="1280">
        <v>1</v>
      </c>
      <c r="P38" s="1280"/>
      <c r="Q38" s="1280"/>
      <c r="R38" s="1280"/>
      <c r="S38" s="247">
        <f t="shared" si="11"/>
        <v>51</v>
      </c>
      <c r="T38" s="979">
        <f t="shared" si="12"/>
        <v>11.494972222222223</v>
      </c>
      <c r="U38" s="980">
        <f t="shared" si="13"/>
        <v>0</v>
      </c>
      <c r="V38" s="981">
        <f t="shared" si="14"/>
        <v>0</v>
      </c>
      <c r="W38" s="981">
        <f t="shared" si="15"/>
        <v>0</v>
      </c>
      <c r="X38" s="981">
        <f t="shared" si="16"/>
        <v>11.494972222222223</v>
      </c>
      <c r="Y38" s="981">
        <f t="shared" si="17"/>
        <v>0</v>
      </c>
      <c r="Z38" s="982">
        <f t="shared" si="18"/>
        <v>0</v>
      </c>
      <c r="AA38" s="1254">
        <v>77</v>
      </c>
      <c r="AB38" s="733">
        <v>12</v>
      </c>
      <c r="AC38" s="79"/>
      <c r="AD38" s="3772" t="s">
        <v>1752</v>
      </c>
    </row>
    <row r="39" spans="2:30" s="2664" customFormat="1" ht="15" customHeight="1" x14ac:dyDescent="0.2">
      <c r="B39" s="2651"/>
      <c r="C39" s="2649"/>
      <c r="D39" s="2652"/>
      <c r="E39" s="2652"/>
      <c r="F39" s="2653">
        <f t="shared" si="10"/>
        <v>0</v>
      </c>
      <c r="G39" s="2654"/>
      <c r="H39" s="2655"/>
      <c r="I39" s="2653">
        <f>(F39*H39)+F39*H39*'Preise-Stammdaten'!$N$10%</f>
        <v>0</v>
      </c>
      <c r="J39" s="2656">
        <f t="shared" si="0"/>
        <v>0</v>
      </c>
      <c r="K39" s="2657"/>
      <c r="L39" s="2657"/>
      <c r="M39" s="2657"/>
      <c r="N39" s="2657"/>
      <c r="O39" s="2657"/>
      <c r="P39" s="2657"/>
      <c r="Q39" s="2657"/>
      <c r="R39" s="2657"/>
      <c r="S39" s="2653">
        <f t="shared" si="11"/>
        <v>0</v>
      </c>
      <c r="T39" s="2658">
        <f t="shared" si="12"/>
        <v>0</v>
      </c>
      <c r="U39" s="2659">
        <f t="shared" si="13"/>
        <v>0</v>
      </c>
      <c r="V39" s="2660">
        <f t="shared" si="14"/>
        <v>0</v>
      </c>
      <c r="W39" s="2660">
        <f t="shared" si="15"/>
        <v>0</v>
      </c>
      <c r="X39" s="2660">
        <f t="shared" si="16"/>
        <v>0</v>
      </c>
      <c r="Y39" s="2660">
        <f t="shared" si="17"/>
        <v>0</v>
      </c>
      <c r="Z39" s="2661">
        <f t="shared" si="18"/>
        <v>0</v>
      </c>
      <c r="AA39" s="2985"/>
      <c r="AB39" s="2662"/>
      <c r="AC39" s="2663"/>
    </row>
    <row r="40" spans="2:30" s="528" customFormat="1" ht="15" customHeight="1" x14ac:dyDescent="0.2">
      <c r="B40" s="78"/>
      <c r="C40" s="1897"/>
      <c r="D40" s="87"/>
      <c r="E40" s="87"/>
      <c r="F40" s="247">
        <f t="shared" si="10"/>
        <v>0</v>
      </c>
      <c r="G40" s="1199"/>
      <c r="H40" s="1274"/>
      <c r="I40" s="247">
        <f>(F40*H40)+F40*H40*'Preise-Stammdaten'!$N$10%</f>
        <v>0</v>
      </c>
      <c r="J40" s="579">
        <f t="shared" si="0"/>
        <v>0</v>
      </c>
      <c r="K40" s="1280"/>
      <c r="L40" s="1280"/>
      <c r="M40" s="1280"/>
      <c r="N40" s="1280"/>
      <c r="O40" s="1280"/>
      <c r="P40" s="1280"/>
      <c r="Q40" s="1280"/>
      <c r="R40" s="1280"/>
      <c r="S40" s="247">
        <f t="shared" si="11"/>
        <v>0</v>
      </c>
      <c r="T40" s="979">
        <f t="shared" si="12"/>
        <v>0</v>
      </c>
      <c r="U40" s="980">
        <f t="shared" si="13"/>
        <v>0</v>
      </c>
      <c r="V40" s="981">
        <f t="shared" si="14"/>
        <v>0</v>
      </c>
      <c r="W40" s="981">
        <f t="shared" si="15"/>
        <v>0</v>
      </c>
      <c r="X40" s="981">
        <f t="shared" si="16"/>
        <v>0</v>
      </c>
      <c r="Y40" s="981">
        <f t="shared" si="17"/>
        <v>0</v>
      </c>
      <c r="Z40" s="982">
        <f t="shared" si="18"/>
        <v>0</v>
      </c>
      <c r="AA40" s="1254"/>
      <c r="AB40" s="733"/>
      <c r="AC40" s="79"/>
    </row>
    <row r="41" spans="2:30" s="528" customFormat="1" ht="15" customHeight="1" x14ac:dyDescent="0.2">
      <c r="B41" s="78"/>
      <c r="C41" s="1897"/>
      <c r="D41" s="87"/>
      <c r="E41" s="87"/>
      <c r="F41" s="247">
        <f t="shared" si="10"/>
        <v>0</v>
      </c>
      <c r="G41" s="1199"/>
      <c r="H41" s="1274"/>
      <c r="I41" s="247">
        <f>(F41*H41)+F41*H41*'Preise-Stammdaten'!$N$10%</f>
        <v>0</v>
      </c>
      <c r="J41" s="579">
        <f t="shared" si="0"/>
        <v>0</v>
      </c>
      <c r="K41" s="1280"/>
      <c r="L41" s="1280"/>
      <c r="M41" s="1280"/>
      <c r="N41" s="1280"/>
      <c r="O41" s="1280"/>
      <c r="P41" s="1280"/>
      <c r="Q41" s="1280"/>
      <c r="R41" s="1280"/>
      <c r="S41" s="247">
        <f t="shared" si="11"/>
        <v>0</v>
      </c>
      <c r="T41" s="979">
        <f t="shared" si="12"/>
        <v>0</v>
      </c>
      <c r="U41" s="980">
        <f t="shared" si="13"/>
        <v>0</v>
      </c>
      <c r="V41" s="981">
        <f t="shared" si="14"/>
        <v>0</v>
      </c>
      <c r="W41" s="981">
        <f t="shared" si="15"/>
        <v>0</v>
      </c>
      <c r="X41" s="981">
        <f t="shared" si="16"/>
        <v>0</v>
      </c>
      <c r="Y41" s="981">
        <f t="shared" si="17"/>
        <v>0</v>
      </c>
      <c r="Z41" s="982">
        <f t="shared" si="18"/>
        <v>0</v>
      </c>
      <c r="AA41" s="1254"/>
      <c r="AB41" s="733"/>
      <c r="AC41" s="79"/>
    </row>
    <row r="42" spans="2:30" s="528" customFormat="1" ht="15" customHeight="1" x14ac:dyDescent="0.2">
      <c r="B42" s="78"/>
      <c r="C42" s="1897" t="s">
        <v>108</v>
      </c>
      <c r="D42" s="87">
        <v>10000</v>
      </c>
      <c r="E42" s="87"/>
      <c r="F42" s="247">
        <f t="shared" si="10"/>
        <v>10000</v>
      </c>
      <c r="G42" s="1199">
        <v>15</v>
      </c>
      <c r="H42" s="1274">
        <v>0.15</v>
      </c>
      <c r="I42" s="247">
        <f>(F42*H42)+F42*H42*'Preise-Stammdaten'!$N$10%</f>
        <v>1785</v>
      </c>
      <c r="J42" s="579">
        <f t="shared" si="0"/>
        <v>776.97083333333342</v>
      </c>
      <c r="K42" s="1280">
        <v>50</v>
      </c>
      <c r="L42" s="1280">
        <v>10</v>
      </c>
      <c r="M42" s="1280">
        <v>10</v>
      </c>
      <c r="N42" s="1280">
        <v>5</v>
      </c>
      <c r="O42" s="1280">
        <v>1</v>
      </c>
      <c r="P42" s="1280">
        <v>5</v>
      </c>
      <c r="Q42" s="1280">
        <v>19</v>
      </c>
      <c r="R42" s="1280"/>
      <c r="S42" s="247">
        <f t="shared" si="1"/>
        <v>100</v>
      </c>
      <c r="T42" s="979">
        <f t="shared" si="2"/>
        <v>7.7697083333333339</v>
      </c>
      <c r="U42" s="980">
        <f t="shared" si="13"/>
        <v>7.7697083333333339</v>
      </c>
      <c r="V42" s="981">
        <f t="shared" si="14"/>
        <v>7.7697083333333339</v>
      </c>
      <c r="W42" s="981">
        <f t="shared" si="15"/>
        <v>7.7697083333333339</v>
      </c>
      <c r="X42" s="981">
        <f t="shared" si="16"/>
        <v>7.7697083333333339</v>
      </c>
      <c r="Y42" s="981"/>
      <c r="Z42" s="982">
        <f>IF(Q42=0,0,IF($S42=0,0,$J42/$S42))</f>
        <v>7.7697083333333339</v>
      </c>
      <c r="AA42" s="1254"/>
      <c r="AB42" s="733"/>
      <c r="AC42" s="79"/>
    </row>
    <row r="43" spans="2:30" s="528" customFormat="1" ht="15" customHeight="1" x14ac:dyDescent="0.2">
      <c r="B43" s="81"/>
      <c r="C43" s="1898"/>
      <c r="D43" s="466"/>
      <c r="E43" s="466"/>
      <c r="F43" s="582">
        <f t="shared" si="10"/>
        <v>0</v>
      </c>
      <c r="G43" s="1002"/>
      <c r="H43" s="1275"/>
      <c r="I43" s="691">
        <f>(F43*H43)+F43*H43*'Preise-Stammdaten'!$N$10%</f>
        <v>0</v>
      </c>
      <c r="J43" s="775">
        <f t="shared" si="0"/>
        <v>0</v>
      </c>
      <c r="K43" s="1281"/>
      <c r="L43" s="1281"/>
      <c r="M43" s="1281"/>
      <c r="N43" s="1281"/>
      <c r="O43" s="1281"/>
      <c r="P43" s="1281"/>
      <c r="Q43" s="1281"/>
      <c r="R43" s="1281"/>
      <c r="S43" s="247">
        <f t="shared" si="1"/>
        <v>0</v>
      </c>
      <c r="T43" s="983">
        <f t="shared" si="2"/>
        <v>0</v>
      </c>
      <c r="U43" s="984">
        <f t="shared" si="3"/>
        <v>0</v>
      </c>
      <c r="V43" s="985">
        <f t="shared" si="4"/>
        <v>0</v>
      </c>
      <c r="W43" s="986">
        <f t="shared" si="5"/>
        <v>0</v>
      </c>
      <c r="X43" s="985">
        <f t="shared" si="6"/>
        <v>0</v>
      </c>
      <c r="Y43" s="981">
        <f t="shared" si="7"/>
        <v>0</v>
      </c>
      <c r="Z43" s="987">
        <f t="shared" si="8"/>
        <v>0</v>
      </c>
      <c r="AA43" s="4015"/>
      <c r="AB43" s="734"/>
      <c r="AC43" s="79"/>
    </row>
    <row r="44" spans="2:30" ht="19.5" customHeight="1" x14ac:dyDescent="0.2">
      <c r="B44" s="988"/>
      <c r="C44" s="1899" t="s">
        <v>25</v>
      </c>
      <c r="D44" s="989"/>
      <c r="E44" s="989"/>
      <c r="F44" s="990">
        <f>SUM(F14:F43)</f>
        <v>636090</v>
      </c>
      <c r="G44" s="989"/>
      <c r="H44" s="1276"/>
      <c r="I44" s="991">
        <f>SUM(I14:I43)</f>
        <v>113542.065</v>
      </c>
      <c r="J44" s="990">
        <f>SUM(J14:J43)</f>
        <v>56296.844959722228</v>
      </c>
      <c r="K44" s="989"/>
      <c r="L44" s="989"/>
      <c r="M44" s="989"/>
      <c r="N44" s="989"/>
      <c r="O44" s="989"/>
      <c r="P44" s="989"/>
      <c r="Q44" s="989"/>
      <c r="R44" s="989"/>
      <c r="S44" s="889"/>
      <c r="T44" s="2331">
        <f t="shared" ref="T44:Y44" si="19">SUM(T14:T43)</f>
        <v>687.41942937710439</v>
      </c>
      <c r="U44" s="2330">
        <f t="shared" si="19"/>
        <v>162.25191905092592</v>
      </c>
      <c r="V44" s="992">
        <f t="shared" si="19"/>
        <v>474.92314405092588</v>
      </c>
      <c r="W44" s="992">
        <f t="shared" si="19"/>
        <v>462.14197384259256</v>
      </c>
      <c r="X44" s="992">
        <f t="shared" si="19"/>
        <v>473.63694606481477</v>
      </c>
      <c r="Y44" s="993">
        <f t="shared" si="19"/>
        <v>0</v>
      </c>
      <c r="Z44" s="994">
        <f>SUM(Z14:Z43)</f>
        <v>760.08231247895617</v>
      </c>
      <c r="AB44" s="530"/>
      <c r="AC44" s="530"/>
    </row>
    <row r="45" spans="2:30" s="528" customFormat="1" ht="16.5" customHeight="1" x14ac:dyDescent="0.2">
      <c r="C45" s="1900"/>
      <c r="H45" s="1272"/>
      <c r="AA45" s="526"/>
    </row>
    <row r="46" spans="2:30" ht="15.75" x14ac:dyDescent="0.2">
      <c r="B46" s="957"/>
      <c r="C46" s="1901" t="s">
        <v>109</v>
      </c>
      <c r="D46" s="959" t="s">
        <v>18</v>
      </c>
      <c r="E46" s="959" t="s">
        <v>19</v>
      </c>
      <c r="F46" s="959" t="s">
        <v>20</v>
      </c>
      <c r="G46" s="959" t="s">
        <v>21</v>
      </c>
      <c r="H46" s="995"/>
      <c r="I46" s="996" t="s">
        <v>110</v>
      </c>
      <c r="J46" s="959" t="s">
        <v>111</v>
      </c>
      <c r="K46" s="960" t="s">
        <v>112</v>
      </c>
      <c r="L46" s="961"/>
      <c r="M46" s="961"/>
      <c r="N46" s="961"/>
      <c r="O46" s="961"/>
      <c r="P46" s="961"/>
      <c r="Q46" s="961"/>
      <c r="R46" s="961"/>
      <c r="S46" s="959" t="s">
        <v>25</v>
      </c>
      <c r="T46" s="2332" t="s">
        <v>784</v>
      </c>
      <c r="U46" s="962"/>
      <c r="V46" s="962"/>
      <c r="W46" s="962"/>
      <c r="X46" s="962"/>
      <c r="Y46" s="962"/>
      <c r="Z46" s="963"/>
      <c r="AB46" s="530"/>
      <c r="AC46" s="530"/>
    </row>
    <row r="47" spans="2:30" s="528" customFormat="1" ht="16.5" customHeight="1" x14ac:dyDescent="0.2">
      <c r="B47" s="965"/>
      <c r="C47" s="1895" t="s">
        <v>785</v>
      </c>
      <c r="D47" s="966" t="s">
        <v>28</v>
      </c>
      <c r="E47" s="966" t="s">
        <v>29</v>
      </c>
      <c r="F47" s="966" t="s">
        <v>30</v>
      </c>
      <c r="G47" s="966" t="s">
        <v>31</v>
      </c>
      <c r="H47" s="997"/>
      <c r="I47" s="997" t="s">
        <v>786</v>
      </c>
      <c r="J47" s="966" t="s">
        <v>787</v>
      </c>
      <c r="K47" s="966" t="s">
        <v>33</v>
      </c>
      <c r="L47" s="966" t="s">
        <v>462</v>
      </c>
      <c r="M47" s="966" t="s">
        <v>1173</v>
      </c>
      <c r="N47" s="966" t="s">
        <v>1064</v>
      </c>
      <c r="O47" s="966" t="s">
        <v>1174</v>
      </c>
      <c r="P47" s="966" t="s">
        <v>1175</v>
      </c>
      <c r="Q47" s="966" t="s">
        <v>1175</v>
      </c>
      <c r="R47" s="966" t="s">
        <v>1177</v>
      </c>
      <c r="S47" s="966" t="s">
        <v>1178</v>
      </c>
      <c r="T47" s="968" t="s">
        <v>33</v>
      </c>
      <c r="U47" s="969" t="s">
        <v>462</v>
      </c>
      <c r="V47" s="970" t="s">
        <v>1173</v>
      </c>
      <c r="W47" s="970" t="s">
        <v>1064</v>
      </c>
      <c r="X47" s="970" t="s">
        <v>1174</v>
      </c>
      <c r="Y47" s="970"/>
      <c r="Z47" s="971" t="s">
        <v>1175</v>
      </c>
      <c r="AA47" s="526"/>
    </row>
    <row r="48" spans="2:30" s="528" customFormat="1" ht="16.5" customHeight="1" x14ac:dyDescent="0.2">
      <c r="B48" s="965"/>
      <c r="C48" s="1895" t="s">
        <v>788</v>
      </c>
      <c r="D48" s="967" t="s">
        <v>1181</v>
      </c>
      <c r="E48" s="966" t="s">
        <v>1182</v>
      </c>
      <c r="F48" s="967" t="s">
        <v>1181</v>
      </c>
      <c r="G48" s="966"/>
      <c r="H48" s="997"/>
      <c r="I48" s="997" t="s">
        <v>789</v>
      </c>
      <c r="J48" s="967" t="s">
        <v>790</v>
      </c>
      <c r="K48" s="966" t="s">
        <v>145</v>
      </c>
      <c r="L48" s="966"/>
      <c r="M48" s="966" t="s">
        <v>146</v>
      </c>
      <c r="N48" s="966"/>
      <c r="O48" s="966" t="s">
        <v>147</v>
      </c>
      <c r="P48" s="966" t="s">
        <v>1176</v>
      </c>
      <c r="Q48" s="966" t="s">
        <v>1176</v>
      </c>
      <c r="R48" s="966" t="s">
        <v>150</v>
      </c>
      <c r="S48" s="966"/>
      <c r="T48" s="968" t="s">
        <v>145</v>
      </c>
      <c r="U48" s="969"/>
      <c r="V48" s="970" t="s">
        <v>146</v>
      </c>
      <c r="W48" s="970"/>
      <c r="X48" s="970" t="s">
        <v>147</v>
      </c>
      <c r="Y48" s="970"/>
      <c r="Z48" s="971" t="s">
        <v>1176</v>
      </c>
      <c r="AA48" s="526"/>
    </row>
    <row r="49" spans="2:29" s="528" customFormat="1" ht="16.5" customHeight="1" x14ac:dyDescent="0.2">
      <c r="B49" s="973"/>
      <c r="C49" s="1902"/>
      <c r="D49" s="974" t="s">
        <v>154</v>
      </c>
      <c r="E49" s="974" t="s">
        <v>1047</v>
      </c>
      <c r="F49" s="974" t="s">
        <v>154</v>
      </c>
      <c r="G49" s="974" t="s">
        <v>103</v>
      </c>
      <c r="H49" s="998"/>
      <c r="I49" s="998" t="s">
        <v>791</v>
      </c>
      <c r="J49" s="974" t="s">
        <v>792</v>
      </c>
      <c r="K49" s="974"/>
      <c r="L49" s="974"/>
      <c r="M49" s="974"/>
      <c r="N49" s="974"/>
      <c r="O49" s="974"/>
      <c r="P49" s="974" t="s">
        <v>153</v>
      </c>
      <c r="Q49" s="974" t="s">
        <v>149</v>
      </c>
      <c r="R49" s="974"/>
      <c r="S49" s="974" t="s">
        <v>13</v>
      </c>
      <c r="T49" s="975"/>
      <c r="U49" s="976"/>
      <c r="V49" s="977"/>
      <c r="W49" s="977"/>
      <c r="X49" s="977"/>
      <c r="Y49" s="977"/>
      <c r="Z49" s="978" t="s">
        <v>153</v>
      </c>
      <c r="AA49" s="526"/>
    </row>
    <row r="50" spans="2:29" s="528" customFormat="1" ht="16.5" customHeight="1" x14ac:dyDescent="0.2">
      <c r="B50" s="78"/>
      <c r="C50" s="1897" t="s">
        <v>793</v>
      </c>
      <c r="D50" s="87">
        <v>80000</v>
      </c>
      <c r="E50" s="87">
        <v>10</v>
      </c>
      <c r="F50" s="247">
        <f>(100-E50)/100*D50</f>
        <v>72000</v>
      </c>
      <c r="G50" s="306">
        <v>20</v>
      </c>
      <c r="H50" s="1277"/>
      <c r="I50" s="586">
        <v>1</v>
      </c>
      <c r="J50" s="579">
        <f>IF(G50=0,0,(F50*((100+$Q$6)/100))/G50+(F50*((100+$Q$6)/100))*$Z$7/2/100+(F50*((100+$Q$6)/100))*I50/100)</f>
        <v>6211.8</v>
      </c>
      <c r="K50" s="87">
        <v>50</v>
      </c>
      <c r="L50" s="87">
        <v>10</v>
      </c>
      <c r="M50" s="87">
        <v>10</v>
      </c>
      <c r="N50" s="87">
        <v>5</v>
      </c>
      <c r="O50" s="87">
        <v>1</v>
      </c>
      <c r="P50" s="87">
        <v>5</v>
      </c>
      <c r="Q50" s="87">
        <v>9</v>
      </c>
      <c r="R50" s="87"/>
      <c r="S50" s="247">
        <f>SUM(K50:R50)</f>
        <v>90</v>
      </c>
      <c r="T50" s="979">
        <f t="shared" ref="T50:X53" si="20">IF(K50=0,0,IF($S50=0,0,$J50/$S50))</f>
        <v>69.02</v>
      </c>
      <c r="U50" s="980">
        <f t="shared" si="20"/>
        <v>69.02</v>
      </c>
      <c r="V50" s="981">
        <f t="shared" si="20"/>
        <v>69.02</v>
      </c>
      <c r="W50" s="981">
        <f t="shared" si="20"/>
        <v>69.02</v>
      </c>
      <c r="X50" s="981">
        <f t="shared" si="20"/>
        <v>69.02</v>
      </c>
      <c r="Y50" s="981"/>
      <c r="Z50" s="982">
        <f>IF(P50=0,0,IF($S50=0,0,$J50/$S50))</f>
        <v>69.02</v>
      </c>
      <c r="AA50" s="526"/>
    </row>
    <row r="51" spans="2:29" s="528" customFormat="1" ht="16.5" customHeight="1" x14ac:dyDescent="0.2">
      <c r="B51" s="78"/>
      <c r="C51" s="1897"/>
      <c r="D51" s="87"/>
      <c r="E51" s="87"/>
      <c r="F51" s="247">
        <f>(100-E51)/100*D51</f>
        <v>0</v>
      </c>
      <c r="G51" s="306"/>
      <c r="H51" s="1277"/>
      <c r="I51" s="586"/>
      <c r="J51" s="579">
        <f>IF(G51=0,0,(F51*((100+$Q$6)/100))/G51+(F51*((100+$Q$6)/100))*$Z$7/2/100+(F51*((100+$Q$6)/100))*I51/100)</f>
        <v>0</v>
      </c>
      <c r="K51" s="87"/>
      <c r="L51" s="87"/>
      <c r="M51" s="87"/>
      <c r="N51" s="87"/>
      <c r="O51" s="87"/>
      <c r="P51" s="87"/>
      <c r="Q51" s="87"/>
      <c r="R51" s="87"/>
      <c r="S51" s="247">
        <f>SUM(K51:Q51)</f>
        <v>0</v>
      </c>
      <c r="T51" s="979">
        <f t="shared" si="20"/>
        <v>0</v>
      </c>
      <c r="U51" s="980">
        <f t="shared" si="20"/>
        <v>0</v>
      </c>
      <c r="V51" s="981">
        <f t="shared" si="20"/>
        <v>0</v>
      </c>
      <c r="W51" s="981">
        <f t="shared" si="20"/>
        <v>0</v>
      </c>
      <c r="X51" s="981">
        <f t="shared" si="20"/>
        <v>0</v>
      </c>
      <c r="Y51" s="981"/>
      <c r="Z51" s="982">
        <f>IF(P51=0,0,IF($S51=0,0,$J51/$S51))</f>
        <v>0</v>
      </c>
      <c r="AA51" s="526"/>
    </row>
    <row r="52" spans="2:29" s="528" customFormat="1" ht="16.5" customHeight="1" x14ac:dyDescent="0.2">
      <c r="B52" s="78"/>
      <c r="C52" s="1897"/>
      <c r="D52" s="87"/>
      <c r="E52" s="87"/>
      <c r="F52" s="247">
        <f>(100-E52)/100*D52</f>
        <v>0</v>
      </c>
      <c r="G52" s="306"/>
      <c r="H52" s="1277"/>
      <c r="I52" s="586"/>
      <c r="J52" s="579">
        <f>IF(G52=0,0,(F52*((100+$Q$6)/100))/G52+(F52*((100+$Q$6)/100))*$Z$7/2/100+(F52*((100+$Q$6)/100))*I52/100)</f>
        <v>0</v>
      </c>
      <c r="K52" s="87"/>
      <c r="L52" s="87"/>
      <c r="M52" s="87"/>
      <c r="N52" s="87"/>
      <c r="O52" s="87"/>
      <c r="P52" s="87"/>
      <c r="Q52" s="87"/>
      <c r="R52" s="87"/>
      <c r="S52" s="247">
        <f>SUM(K52:Q52)</f>
        <v>0</v>
      </c>
      <c r="T52" s="979">
        <f t="shared" si="20"/>
        <v>0</v>
      </c>
      <c r="U52" s="980">
        <f t="shared" si="20"/>
        <v>0</v>
      </c>
      <c r="V52" s="981">
        <f t="shared" si="20"/>
        <v>0</v>
      </c>
      <c r="W52" s="981">
        <f t="shared" si="20"/>
        <v>0</v>
      </c>
      <c r="X52" s="981">
        <f t="shared" si="20"/>
        <v>0</v>
      </c>
      <c r="Y52" s="981"/>
      <c r="Z52" s="982">
        <f>IF(P52=0,0,IF($S52=0,0,$J52/$S52))</f>
        <v>0</v>
      </c>
      <c r="AA52" s="526"/>
    </row>
    <row r="53" spans="2:29" s="528" customFormat="1" ht="16.5" customHeight="1" x14ac:dyDescent="0.2">
      <c r="B53" s="81"/>
      <c r="C53" s="1898"/>
      <c r="D53" s="466"/>
      <c r="E53" s="466"/>
      <c r="F53" s="582">
        <f>(100-E53)/100*D53</f>
        <v>0</v>
      </c>
      <c r="G53" s="577"/>
      <c r="H53" s="1278"/>
      <c r="I53" s="587"/>
      <c r="J53" s="580">
        <f>IF(G53=0,0,(F53*((100+$Q$6)/100))/G53+(F53*((100+$Q$6)/100))*$Z$7/2/100+(F53*((100+$Q$6)/100))*I53/100)</f>
        <v>0</v>
      </c>
      <c r="K53" s="466"/>
      <c r="L53" s="466"/>
      <c r="M53" s="466"/>
      <c r="N53" s="466"/>
      <c r="O53" s="466"/>
      <c r="P53" s="466"/>
      <c r="Q53" s="466"/>
      <c r="R53" s="466"/>
      <c r="S53" s="582">
        <f>SUM(K53:Q53)</f>
        <v>0</v>
      </c>
      <c r="T53" s="983">
        <f t="shared" si="20"/>
        <v>0</v>
      </c>
      <c r="U53" s="984">
        <f t="shared" si="20"/>
        <v>0</v>
      </c>
      <c r="V53" s="985">
        <f t="shared" si="20"/>
        <v>0</v>
      </c>
      <c r="W53" s="985">
        <f t="shared" si="20"/>
        <v>0</v>
      </c>
      <c r="X53" s="985">
        <f t="shared" si="20"/>
        <v>0</v>
      </c>
      <c r="Y53" s="985"/>
      <c r="Z53" s="987">
        <f>IF(P53=0,0,IF($S53=0,0,$J53/$S53))</f>
        <v>0</v>
      </c>
      <c r="AA53" s="526"/>
    </row>
    <row r="54" spans="2:29" ht="19.5" customHeight="1" x14ac:dyDescent="0.2">
      <c r="B54" s="988"/>
      <c r="C54" s="1903"/>
      <c r="D54" s="989"/>
      <c r="E54" s="989"/>
      <c r="F54" s="990">
        <f>SUM(F50:F53)</f>
        <v>72000</v>
      </c>
      <c r="G54" s="989"/>
      <c r="H54" s="1276"/>
      <c r="I54" s="989"/>
      <c r="J54" s="990">
        <f>SUM(J50:J53)</f>
        <v>6211.8</v>
      </c>
      <c r="K54" s="989"/>
      <c r="L54" s="989"/>
      <c r="M54" s="989"/>
      <c r="N54" s="989"/>
      <c r="O54" s="989"/>
      <c r="P54" s="989"/>
      <c r="Q54" s="989"/>
      <c r="R54" s="989"/>
      <c r="S54" s="588"/>
      <c r="T54" s="2575">
        <f t="shared" ref="T54:Z54" si="21">SUM(T50:T53)</f>
        <v>69.02</v>
      </c>
      <c r="U54" s="2574">
        <f t="shared" si="21"/>
        <v>69.02</v>
      </c>
      <c r="V54" s="999">
        <f t="shared" si="21"/>
        <v>69.02</v>
      </c>
      <c r="W54" s="999">
        <f t="shared" si="21"/>
        <v>69.02</v>
      </c>
      <c r="X54" s="999">
        <f t="shared" si="21"/>
        <v>69.02</v>
      </c>
      <c r="Y54" s="999"/>
      <c r="Z54" s="1000">
        <f t="shared" si="21"/>
        <v>69.02</v>
      </c>
      <c r="AB54" s="530"/>
      <c r="AC54" s="530"/>
    </row>
    <row r="55" spans="2:29" s="528" customFormat="1" ht="16.5" customHeight="1" x14ac:dyDescent="0.2">
      <c r="H55" s="1272"/>
      <c r="AA55" s="526"/>
    </row>
    <row r="56" spans="2:29" s="528" customFormat="1" ht="16.5" customHeight="1" x14ac:dyDescent="0.2">
      <c r="H56" s="1272"/>
      <c r="AA56" s="526"/>
    </row>
    <row r="57" spans="2:29" s="528" customFormat="1" ht="16.5" customHeight="1" x14ac:dyDescent="0.2">
      <c r="H57" s="1272"/>
      <c r="AA57" s="526"/>
    </row>
    <row r="58" spans="2:29" s="528" customFormat="1" ht="16.5" customHeight="1" x14ac:dyDescent="0.2">
      <c r="H58" s="1272"/>
      <c r="AA58" s="526"/>
    </row>
    <row r="59" spans="2:29" s="528" customFormat="1" ht="16.5" customHeight="1" x14ac:dyDescent="0.2">
      <c r="H59" s="1272"/>
      <c r="AA59" s="526"/>
    </row>
    <row r="60" spans="2:29" s="528" customFormat="1" ht="16.5" customHeight="1" x14ac:dyDescent="0.2">
      <c r="H60" s="1272"/>
      <c r="AA60" s="526"/>
    </row>
    <row r="61" spans="2:29" s="528" customFormat="1" ht="16.5" customHeight="1" x14ac:dyDescent="0.2">
      <c r="H61" s="1272"/>
      <c r="AA61" s="526"/>
    </row>
    <row r="62" spans="2:29" s="528" customFormat="1" ht="16.5" customHeight="1" x14ac:dyDescent="0.2">
      <c r="H62" s="1272"/>
      <c r="AA62" s="526"/>
    </row>
    <row r="63" spans="2:29" s="528" customFormat="1" ht="16.5" customHeight="1" x14ac:dyDescent="0.2">
      <c r="H63" s="1272"/>
      <c r="AA63" s="526"/>
    </row>
    <row r="64" spans="2:29" s="528" customFormat="1" ht="16.5" customHeight="1" x14ac:dyDescent="0.2">
      <c r="H64" s="1272"/>
      <c r="AA64" s="526"/>
    </row>
    <row r="65" spans="8:27" s="528" customFormat="1" ht="16.5" customHeight="1" x14ac:dyDescent="0.2">
      <c r="H65" s="1272"/>
      <c r="AA65" s="526"/>
    </row>
    <row r="66" spans="8:27" s="528" customFormat="1" ht="16.5" customHeight="1" x14ac:dyDescent="0.2">
      <c r="H66" s="1272"/>
      <c r="AA66" s="526"/>
    </row>
    <row r="67" spans="8:27" s="528" customFormat="1" ht="16.5" customHeight="1" x14ac:dyDescent="0.2">
      <c r="H67" s="1272"/>
      <c r="AA67" s="526"/>
    </row>
    <row r="68" spans="8:27" s="528" customFormat="1" ht="16.5" customHeight="1" x14ac:dyDescent="0.2">
      <c r="H68" s="1272"/>
      <c r="AA68" s="526"/>
    </row>
    <row r="69" spans="8:27" s="528" customFormat="1" ht="16.5" customHeight="1" x14ac:dyDescent="0.2">
      <c r="H69" s="1272"/>
      <c r="AA69" s="526"/>
    </row>
    <row r="70" spans="8:27" s="528" customFormat="1" ht="16.5" customHeight="1" x14ac:dyDescent="0.2">
      <c r="H70" s="1272"/>
      <c r="AA70" s="526"/>
    </row>
    <row r="71" spans="8:27" s="528" customFormat="1" ht="16.5" customHeight="1" x14ac:dyDescent="0.2">
      <c r="H71" s="1272"/>
      <c r="AA71" s="526"/>
    </row>
    <row r="72" spans="8:27" s="528" customFormat="1" ht="16.5" customHeight="1" x14ac:dyDescent="0.2">
      <c r="H72" s="1272"/>
      <c r="AA72" s="526"/>
    </row>
    <row r="73" spans="8:27" s="528" customFormat="1" ht="16.5" customHeight="1" x14ac:dyDescent="0.2">
      <c r="H73" s="1272"/>
      <c r="AA73" s="526"/>
    </row>
    <row r="74" spans="8:27" s="528" customFormat="1" ht="16.5" customHeight="1" x14ac:dyDescent="0.2">
      <c r="H74" s="1272"/>
      <c r="AA74" s="526"/>
    </row>
    <row r="75" spans="8:27" s="528" customFormat="1" ht="16.5" customHeight="1" x14ac:dyDescent="0.2">
      <c r="H75" s="1272"/>
      <c r="AA75" s="526"/>
    </row>
    <row r="76" spans="8:27" s="528" customFormat="1" ht="16.5" customHeight="1" x14ac:dyDescent="0.2">
      <c r="H76" s="1272"/>
      <c r="AA76" s="526"/>
    </row>
    <row r="77" spans="8:27" s="528" customFormat="1" ht="16.5" customHeight="1" x14ac:dyDescent="0.2">
      <c r="H77" s="1272"/>
      <c r="AA77" s="526"/>
    </row>
    <row r="78" spans="8:27" s="528" customFormat="1" ht="16.5" customHeight="1" x14ac:dyDescent="0.2">
      <c r="H78" s="1272"/>
      <c r="AA78" s="526"/>
    </row>
    <row r="79" spans="8:27" s="528" customFormat="1" ht="16.5" customHeight="1" x14ac:dyDescent="0.2">
      <c r="H79" s="1272"/>
      <c r="AA79" s="526"/>
    </row>
    <row r="80" spans="8:27" s="528" customFormat="1" ht="16.5" customHeight="1" x14ac:dyDescent="0.2">
      <c r="H80" s="1272"/>
      <c r="AA80" s="526"/>
    </row>
    <row r="81" spans="8:27" s="528" customFormat="1" ht="16.5" customHeight="1" x14ac:dyDescent="0.2">
      <c r="H81" s="1272"/>
      <c r="AA81" s="526"/>
    </row>
    <row r="82" spans="8:27" s="528" customFormat="1" ht="16.5" customHeight="1" x14ac:dyDescent="0.2">
      <c r="H82" s="1272"/>
      <c r="AA82" s="526"/>
    </row>
    <row r="83" spans="8:27" s="528" customFormat="1" ht="16.5" customHeight="1" x14ac:dyDescent="0.2">
      <c r="H83" s="1272"/>
      <c r="AA83" s="526"/>
    </row>
    <row r="84" spans="8:27" s="528" customFormat="1" ht="16.5" customHeight="1" x14ac:dyDescent="0.2">
      <c r="H84" s="1272"/>
      <c r="AA84" s="526"/>
    </row>
    <row r="85" spans="8:27" s="528" customFormat="1" ht="16.5" customHeight="1" x14ac:dyDescent="0.2">
      <c r="H85" s="1272"/>
      <c r="AA85" s="526"/>
    </row>
    <row r="86" spans="8:27" s="528" customFormat="1" ht="16.5" customHeight="1" x14ac:dyDescent="0.2">
      <c r="H86" s="1272"/>
      <c r="AA86" s="526"/>
    </row>
    <row r="87" spans="8:27" s="528" customFormat="1" ht="16.5" customHeight="1" x14ac:dyDescent="0.2">
      <c r="H87" s="1272"/>
      <c r="AA87" s="526"/>
    </row>
    <row r="88" spans="8:27" s="528" customFormat="1" ht="16.5" customHeight="1" x14ac:dyDescent="0.2">
      <c r="H88" s="1272"/>
      <c r="AA88" s="526"/>
    </row>
    <row r="89" spans="8:27" s="528" customFormat="1" ht="16.5" customHeight="1" x14ac:dyDescent="0.2">
      <c r="H89" s="1272"/>
      <c r="AA89" s="526"/>
    </row>
    <row r="90" spans="8:27" s="528" customFormat="1" ht="16.5" customHeight="1" x14ac:dyDescent="0.2">
      <c r="H90" s="1272"/>
      <c r="AA90" s="526"/>
    </row>
    <row r="91" spans="8:27" s="528" customFormat="1" ht="16.5" customHeight="1" x14ac:dyDescent="0.2">
      <c r="H91" s="1272"/>
      <c r="AA91" s="526"/>
    </row>
    <row r="92" spans="8:27" s="528" customFormat="1" ht="16.5" customHeight="1" x14ac:dyDescent="0.2">
      <c r="H92" s="1272"/>
      <c r="AA92" s="526"/>
    </row>
    <row r="93" spans="8:27" s="528" customFormat="1" ht="16.5" customHeight="1" x14ac:dyDescent="0.2">
      <c r="H93" s="1272"/>
      <c r="AA93" s="526"/>
    </row>
    <row r="94" spans="8:27" s="528" customFormat="1" ht="16.5" customHeight="1" x14ac:dyDescent="0.2">
      <c r="H94" s="1272"/>
      <c r="AA94" s="526"/>
    </row>
    <row r="95" spans="8:27" s="528" customFormat="1" ht="16.5" customHeight="1" x14ac:dyDescent="0.2">
      <c r="H95" s="1272"/>
      <c r="AA95" s="526"/>
    </row>
    <row r="96" spans="8:27" s="528" customFormat="1" ht="16.5" customHeight="1" x14ac:dyDescent="0.2">
      <c r="H96" s="1272"/>
      <c r="AA96" s="526"/>
    </row>
    <row r="97" spans="8:27" s="528" customFormat="1" ht="16.5" customHeight="1" x14ac:dyDescent="0.2">
      <c r="H97" s="1272"/>
      <c r="AA97" s="526"/>
    </row>
    <row r="98" spans="8:27" s="528" customFormat="1" ht="16.5" customHeight="1" x14ac:dyDescent="0.2">
      <c r="H98" s="1272"/>
      <c r="AA98" s="526"/>
    </row>
    <row r="99" spans="8:27" s="528" customFormat="1" ht="16.5" customHeight="1" x14ac:dyDescent="0.2">
      <c r="H99" s="1272"/>
      <c r="AA99" s="526"/>
    </row>
    <row r="100" spans="8:27" s="528" customFormat="1" ht="16.5" customHeight="1" x14ac:dyDescent="0.2">
      <c r="H100" s="1272"/>
      <c r="AA100" s="526"/>
    </row>
    <row r="101" spans="8:27" s="528" customFormat="1" ht="16.5" customHeight="1" x14ac:dyDescent="0.2">
      <c r="H101" s="1272"/>
      <c r="AA101" s="526"/>
    </row>
    <row r="102" spans="8:27" s="528" customFormat="1" ht="16.5" customHeight="1" x14ac:dyDescent="0.2">
      <c r="H102" s="1272"/>
      <c r="AA102" s="526"/>
    </row>
    <row r="103" spans="8:27" s="528" customFormat="1" ht="16.5" customHeight="1" x14ac:dyDescent="0.2">
      <c r="H103" s="1272"/>
      <c r="AA103" s="526"/>
    </row>
    <row r="104" spans="8:27" s="528" customFormat="1" ht="16.5" customHeight="1" x14ac:dyDescent="0.2">
      <c r="H104" s="1272"/>
      <c r="AA104" s="526"/>
    </row>
    <row r="105" spans="8:27" s="528" customFormat="1" ht="16.5" customHeight="1" x14ac:dyDescent="0.2">
      <c r="H105" s="1272"/>
      <c r="AA105" s="526"/>
    </row>
    <row r="106" spans="8:27" s="528" customFormat="1" ht="16.5" customHeight="1" x14ac:dyDescent="0.2">
      <c r="H106" s="1272"/>
      <c r="AA106" s="526"/>
    </row>
    <row r="107" spans="8:27" s="528" customFormat="1" ht="16.5" customHeight="1" x14ac:dyDescent="0.2">
      <c r="H107" s="1272"/>
      <c r="AA107" s="526"/>
    </row>
    <row r="108" spans="8:27" s="528" customFormat="1" ht="16.5" customHeight="1" x14ac:dyDescent="0.2">
      <c r="H108" s="1272"/>
      <c r="AA108" s="526"/>
    </row>
    <row r="109" spans="8:27" s="528" customFormat="1" ht="16.5" customHeight="1" x14ac:dyDescent="0.2">
      <c r="H109" s="1272"/>
      <c r="AA109" s="526"/>
    </row>
    <row r="110" spans="8:27" s="528" customFormat="1" ht="16.5" customHeight="1" x14ac:dyDescent="0.2">
      <c r="H110" s="1272"/>
      <c r="AA110" s="526"/>
    </row>
    <row r="111" spans="8:27" s="528" customFormat="1" ht="16.5" customHeight="1" x14ac:dyDescent="0.2">
      <c r="H111" s="1272"/>
      <c r="AA111" s="526"/>
    </row>
    <row r="112" spans="8:27" s="528" customFormat="1" ht="16.5" customHeight="1" x14ac:dyDescent="0.2">
      <c r="H112" s="1272"/>
      <c r="AA112" s="526"/>
    </row>
    <row r="113" spans="8:27" s="528" customFormat="1" ht="16.5" customHeight="1" x14ac:dyDescent="0.2">
      <c r="H113" s="1272"/>
      <c r="AA113" s="526"/>
    </row>
    <row r="114" spans="8:27" s="528" customFormat="1" ht="16.5" customHeight="1" x14ac:dyDescent="0.2">
      <c r="H114" s="1272"/>
      <c r="AA114" s="526"/>
    </row>
    <row r="115" spans="8:27" s="528" customFormat="1" ht="16.5" customHeight="1" x14ac:dyDescent="0.2">
      <c r="H115" s="1272"/>
      <c r="AA115" s="526"/>
    </row>
    <row r="116" spans="8:27" s="528" customFormat="1" ht="16.5" customHeight="1" x14ac:dyDescent="0.2">
      <c r="H116" s="1272"/>
      <c r="AA116" s="526"/>
    </row>
    <row r="117" spans="8:27" s="528" customFormat="1" ht="16.5" customHeight="1" x14ac:dyDescent="0.2">
      <c r="H117" s="1272"/>
      <c r="AA117" s="526"/>
    </row>
    <row r="118" spans="8:27" s="528" customFormat="1" ht="16.5" customHeight="1" x14ac:dyDescent="0.2">
      <c r="H118" s="1272"/>
      <c r="AA118" s="526"/>
    </row>
    <row r="119" spans="8:27" s="528" customFormat="1" ht="16.5" customHeight="1" x14ac:dyDescent="0.2">
      <c r="H119" s="1272"/>
      <c r="AA119" s="526"/>
    </row>
    <row r="120" spans="8:27" s="528" customFormat="1" ht="16.5" customHeight="1" x14ac:dyDescent="0.2">
      <c r="H120" s="1272"/>
      <c r="AA120" s="526"/>
    </row>
    <row r="121" spans="8:27" s="528" customFormat="1" ht="16.5" customHeight="1" x14ac:dyDescent="0.2">
      <c r="H121" s="1272"/>
      <c r="AA121" s="526"/>
    </row>
  </sheetData>
  <sheetProtection sheet="1" objects="1" scenarios="1"/>
  <mergeCells count="4">
    <mergeCell ref="J9:J12"/>
    <mergeCell ref="H9:H10"/>
    <mergeCell ref="G1:I1"/>
    <mergeCell ref="G2:I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4" firstPageNumber="15" orientation="landscape" useFirstPageNumber="1" horizontalDpi="300" verticalDpi="360" r:id="rId1"/>
  <headerFooter alignWithMargins="0">
    <oddFooter>&amp;L&amp;12LEL Schwäbisch Gmünd (Abtlg. II)
LAZBW Aulendorf&amp;C&amp;12 17&amp;R&amp;12&amp;F
&amp;A</oddFooter>
  </headerFooter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7"/>
  <dimension ref="A1:CA73"/>
  <sheetViews>
    <sheetView showGridLines="0" showZeros="0" zoomScaleNormal="100" workbookViewId="0">
      <pane xSplit="10" ySplit="5" topLeftCell="K30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8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684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1394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49.894957983193279</v>
      </c>
      <c r="M10" s="286"/>
      <c r="N10" s="811">
        <f>IF(R10=TRUE,IF(M8=0,0,1/M8*N9),0)</f>
        <v>64.863445378151255</v>
      </c>
      <c r="O10" s="173"/>
      <c r="P10" s="722">
        <f>IF(R10=TRUE,IF(O8=0,0,1/O8*P9),0)</f>
        <v>79.831932773109244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514.10580316666665</v>
      </c>
      <c r="M17" s="2600">
        <f>K17</f>
        <v>1</v>
      </c>
      <c r="N17" s="2591">
        <f>M17*(N33*(1-$AC$14)+N34*(1-$AC$15)+N35*(1-$AC$16)+N36*(1-$AC$17))</f>
        <v>668.33754411666655</v>
      </c>
      <c r="O17" s="2601">
        <f>K17</f>
        <v>1</v>
      </c>
      <c r="P17" s="2590">
        <f>O17*(P33*(1-$AC$14)+P34*(1-$AC$15)+P35*(1-$AC$16)+P36*(1-$AC$17))</f>
        <v>822.56928506666657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160.5</v>
      </c>
      <c r="M27" s="804"/>
      <c r="N27" s="786">
        <f>SUM(N29:N30)</f>
        <v>160.5</v>
      </c>
      <c r="O27" s="330"/>
      <c r="P27" s="325">
        <f>SUM(P29:P30)</f>
        <v>160.5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150</v>
      </c>
      <c r="I29" s="711">
        <f>H29*($H$27+100)/100</f>
        <v>160.5</v>
      </c>
      <c r="J29" s="91"/>
      <c r="K29" s="440">
        <v>1</v>
      </c>
      <c r="L29" s="337">
        <f>$I29*K29</f>
        <v>160.5</v>
      </c>
      <c r="M29" s="440">
        <v>1</v>
      </c>
      <c r="N29" s="791">
        <f>$I29*M29</f>
        <v>160.5</v>
      </c>
      <c r="O29" s="440">
        <v>1</v>
      </c>
      <c r="P29" s="337">
        <f>$I29*O29</f>
        <v>160.5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591.93733666666674</v>
      </c>
      <c r="M31" s="819"/>
      <c r="N31" s="786">
        <f>SUM(N33:N36)</f>
        <v>769.51853766666659</v>
      </c>
      <c r="O31" s="334"/>
      <c r="P31" s="325">
        <f>SUM(P33:P36)</f>
        <v>947.09973866666667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>
        <v>0</v>
      </c>
      <c r="I33"/>
      <c r="J33" s="172"/>
      <c r="K33" s="336">
        <f>G33*$K$9+H33</f>
        <v>151.05000000000001</v>
      </c>
      <c r="L33" s="337">
        <f>K33*$E33</f>
        <v>259.438445</v>
      </c>
      <c r="M33" s="820">
        <f>G33*$M$9+H33</f>
        <v>196.36500000000001</v>
      </c>
      <c r="N33" s="791">
        <f>M33*$E33</f>
        <v>337.26997850000004</v>
      </c>
      <c r="O33" s="336">
        <f>G33*$O$9+H33</f>
        <v>241.68</v>
      </c>
      <c r="P33" s="337">
        <f>O33*$E33</f>
        <v>415.10151200000001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0.77</v>
      </c>
      <c r="H34" s="386"/>
      <c r="I34"/>
      <c r="J34" s="172"/>
      <c r="K34" s="336">
        <f>G34*$K$9+H34</f>
        <v>73.150000000000006</v>
      </c>
      <c r="L34" s="337">
        <f>K34*$E34</f>
        <v>82.696074999999993</v>
      </c>
      <c r="M34" s="820">
        <f>G34*$M$9+H34</f>
        <v>95.094999999999999</v>
      </c>
      <c r="N34" s="791">
        <f>M34*$E34</f>
        <v>107.50489749999998</v>
      </c>
      <c r="O34" s="336">
        <f>G34*$O$9+H34</f>
        <v>117.04</v>
      </c>
      <c r="P34" s="337">
        <f>O34*$E34</f>
        <v>132.31371999999999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2.36</v>
      </c>
      <c r="H35" s="386"/>
      <c r="I35"/>
      <c r="J35" s="172"/>
      <c r="K35" s="336">
        <f>G35*$K$9+H35</f>
        <v>224.2</v>
      </c>
      <c r="L35" s="337">
        <f>K35*$E35</f>
        <v>235.67156666666665</v>
      </c>
      <c r="M35" s="820">
        <f>G35*$M$9+H35</f>
        <v>291.45999999999998</v>
      </c>
      <c r="N35" s="791">
        <f>M35*$E35</f>
        <v>306.37303666666662</v>
      </c>
      <c r="O35" s="336">
        <f>G35*$O$9+H35</f>
        <v>358.71999999999997</v>
      </c>
      <c r="P35" s="337">
        <f>O35*$E35</f>
        <v>377.07450666666659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0.25</v>
      </c>
      <c r="H36" s="387"/>
      <c r="I36" s="36"/>
      <c r="J36" s="36"/>
      <c r="K36" s="338">
        <f>G36*$K$9+H36</f>
        <v>23.75</v>
      </c>
      <c r="L36" s="333">
        <f>K36*$E36</f>
        <v>14.13125</v>
      </c>
      <c r="M36" s="821">
        <f>G36*$M$9+H36</f>
        <v>30.875</v>
      </c>
      <c r="N36" s="792">
        <f>M36*$E36</f>
        <v>18.370625</v>
      </c>
      <c r="O36" s="338">
        <f>G36*$O$9+H36</f>
        <v>38</v>
      </c>
      <c r="P36" s="333">
        <f>O36*$E36</f>
        <v>22.61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334.7382360185</v>
      </c>
      <c r="M42" s="823"/>
      <c r="N42" s="786">
        <f>SUM(W45:W55)</f>
        <v>378.72896451868996</v>
      </c>
      <c r="O42" s="425"/>
      <c r="P42" s="325">
        <f>SUM(Z45:Z55)</f>
        <v>422.71969301887998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0.6785714285714286</v>
      </c>
      <c r="L50" s="337">
        <f t="shared" si="0"/>
        <v>109.12187541520001</v>
      </c>
      <c r="M50" s="375">
        <f>N9/500</f>
        <v>0.88214285714285712</v>
      </c>
      <c r="N50" s="791">
        <f t="shared" si="1"/>
        <v>141.85843803976002</v>
      </c>
      <c r="O50" s="375">
        <f>P9/500</f>
        <v>1.0857142857142859</v>
      </c>
      <c r="P50" s="337">
        <f t="shared" si="2"/>
        <v>174.59500066432003</v>
      </c>
      <c r="Q50" s="528"/>
      <c r="R50" s="1348">
        <f t="shared" si="3"/>
        <v>5.347142857142857</v>
      </c>
      <c r="S50" s="471" t="e">
        <f>K50*#REF!</f>
        <v>#REF!</v>
      </c>
      <c r="T50" s="258">
        <f t="shared" si="4"/>
        <v>109.12187541520001</v>
      </c>
      <c r="U50" s="1349">
        <f t="shared" si="5"/>
        <v>6.9512857142857136</v>
      </c>
      <c r="V50" s="1350" t="e">
        <f>M50*#REF!</f>
        <v>#REF!</v>
      </c>
      <c r="W50" s="827">
        <f t="shared" si="6"/>
        <v>141.85843803976002</v>
      </c>
      <c r="X50" s="1351">
        <f t="shared" si="7"/>
        <v>8.5554285714285729</v>
      </c>
      <c r="Y50" s="471" t="e">
        <f>O50*#REF!</f>
        <v>#REF!</v>
      </c>
      <c r="Z50" s="258">
        <f t="shared" si="8"/>
        <v>174.59500066432003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0.6785714285714286</v>
      </c>
      <c r="L51" s="337">
        <f t="shared" si="0"/>
        <v>37.513886252099994</v>
      </c>
      <c r="M51" s="375">
        <f>N9/500</f>
        <v>0.88214285714285712</v>
      </c>
      <c r="N51" s="791">
        <f t="shared" si="1"/>
        <v>48.768052127729987</v>
      </c>
      <c r="O51" s="375">
        <f>P9/500</f>
        <v>1.0857142857142859</v>
      </c>
      <c r="P51" s="337">
        <f t="shared" si="2"/>
        <v>60.022218003359995</v>
      </c>
      <c r="Q51" s="528"/>
      <c r="R51" s="1348">
        <f t="shared" si="3"/>
        <v>1.4453571428571428</v>
      </c>
      <c r="S51" s="471" t="e">
        <f>K51*#REF!</f>
        <v>#REF!</v>
      </c>
      <c r="T51" s="258">
        <f t="shared" si="4"/>
        <v>37.513886252099994</v>
      </c>
      <c r="U51" s="1349">
        <f t="shared" si="5"/>
        <v>1.8789642857142856</v>
      </c>
      <c r="V51" s="1350" t="e">
        <f>M51*#REF!</f>
        <v>#REF!</v>
      </c>
      <c r="W51" s="827">
        <f t="shared" si="6"/>
        <v>48.768052127729987</v>
      </c>
      <c r="X51" s="1351">
        <f t="shared" si="7"/>
        <v>2.3125714285714287</v>
      </c>
      <c r="Y51" s="471" t="e">
        <f>O51*#REF!</f>
        <v>#REF!</v>
      </c>
      <c r="Z51" s="258">
        <f t="shared" si="8"/>
        <v>60.022218003359995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10.842499999999999</v>
      </c>
      <c r="L56" s="341"/>
      <c r="M56" s="797">
        <f>SUM($U$45:$U$55)</f>
        <v>12.88025</v>
      </c>
      <c r="N56" s="798"/>
      <c r="O56" s="340">
        <f>SUM($X$45:$X$55)</f>
        <v>14.918000000000001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19.516500000000001</v>
      </c>
      <c r="L57" s="343"/>
      <c r="M57" s="799">
        <f>IF(M56+(M56*$G$57/100)&gt;M56+10,M56+10,M56+(M56*$G$57/100))</f>
        <v>22.88025</v>
      </c>
      <c r="N57" s="800"/>
      <c r="O57" s="342">
        <f>IF(O56+(O56*$G$57/100)&gt;O56+10,O56+10,O56+(O56*$G$57/100))</f>
        <v>24.917999999999999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336.11805000000004</v>
      </c>
      <c r="M58" s="826"/>
      <c r="N58" s="786">
        <f>SUM(N60:N62)</f>
        <v>401.55096500000002</v>
      </c>
      <c r="O58" s="344"/>
      <c r="P58" s="325">
        <f>SUM(P60:P62)</f>
        <v>466.98388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14.100659999999998</v>
      </c>
      <c r="M65" s="1357"/>
      <c r="N65" s="786">
        <f>M66*$H66/100</f>
        <v>18.330857999999999</v>
      </c>
      <c r="O65" s="347"/>
      <c r="P65" s="325">
        <f>O66*$H66/100</f>
        <v>22.561055999999997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1.9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2" firstPageNumber="15" orientation="portrait" useFirstPageNumber="1" horizontalDpi="300" verticalDpi="300" r:id="rId1"/>
  <headerFooter alignWithMargins="0">
    <oddFooter>&amp;L&amp;12LEL Schwäbisch Gmünd (Abtlg. II)
LAZBW Aulendorf&amp;C&amp;12 114&amp;R&amp;12&amp;F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80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5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6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7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8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9" sqref="U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'48)Zuhirse HF Biogas ex Silo(a)'!J2</f>
        <v>2022</v>
      </c>
      <c r="K2" s="2504" t="s">
        <v>858</v>
      </c>
      <c r="L2" s="2502"/>
      <c r="M2" s="2505"/>
      <c r="N2" s="2529"/>
      <c r="O2" s="2530" t="str">
        <f>'48)Zuhirse HF Biogas ex Silo(a)'!M2</f>
        <v>Zuckerhirse HF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7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'48)Zuhirse HF Biogas ex Silo(a)'!H3</f>
        <v>HF = Hauptfrucht; 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'48)Zuhirse HF Biogas ex Silo(a)'!K5</f>
        <v>100</v>
      </c>
      <c r="N6" s="1735">
        <f>'48)Zuhirse HF Biogas ex Silo(a)'!M5</f>
        <v>130</v>
      </c>
      <c r="O6" s="1743">
        <f>'48)Zuhirse HF Biogas ex Silo(a)'!O5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'48)Zuhirse HF Biogas ex Silo(a)'!K9</f>
        <v>95</v>
      </c>
      <c r="N7" s="1736">
        <f>'48)Zuhirse HF Biogas ex Silo(a)'!M9</f>
        <v>123.5</v>
      </c>
      <c r="O7" s="1744">
        <f>'48)Zuhirse HF Biogas ex Silo(a)'!O9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'48)Zuhirse HF Biogas ex Silo(a)'!L9</f>
        <v>339.28571428571428</v>
      </c>
      <c r="N8" s="1737">
        <f>'48)Zuhirse HF Biogas ex Silo(a)'!N9</f>
        <v>441.07142857142856</v>
      </c>
      <c r="O8" s="1583">
        <f>'48)Zuhirse HF Biogas ex Silo(a)'!P9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'48)Zuhirse HF Biogas ex Silo(a)'!K11</f>
        <v>88.35</v>
      </c>
      <c r="N9" s="1562">
        <f>'48)Zuhirse HF Biogas ex Silo(a)'!M11</f>
        <v>114.855</v>
      </c>
      <c r="O9" s="1747">
        <f>'48)Zuhirse HF Biogas ex Silo(a)'!O11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'48)Zuhirse HF Biogas ex Silo(a)'!L11</f>
        <v>294.5</v>
      </c>
      <c r="N10" s="1582">
        <f>'48)Zuhirse HF Biogas ex Silo(a)'!N11</f>
        <v>382.85</v>
      </c>
      <c r="O10" s="2014">
        <f>'48)Zuhirse HF Biogas ex Silo(a)'!P11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'48)Zuhirse HF Biogas ex Silo(a)'!L12</f>
        <v>43.308823529411768</v>
      </c>
      <c r="N11" s="1818">
        <f>'48)Zuhirse HF Biogas ex Silo(a)'!N12</f>
        <v>56.301470588235297</v>
      </c>
      <c r="O11" s="1819">
        <f>'48)Zuhirse HF Biogas ex Silo(a)'!P12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'48)Zuhirse HF Biogas ex Silo(a)'!K15</f>
        <v>2473.7999999999997</v>
      </c>
      <c r="N12" s="1738">
        <f>'48)Zuhirse HF Biogas ex Silo(a)'!M15</f>
        <v>3215.94</v>
      </c>
      <c r="O12" s="1745">
        <f>'48)Zuhirse HF Biogas ex Silo(a)'!O15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'48)Zuhirse HF Biogas ex Silo(a)'!K16</f>
        <v>89.056799999999996</v>
      </c>
      <c r="N13" s="2077">
        <f>'48)Zuhirse HF Biogas ex Silo(a)'!M16</f>
        <v>115.77384000000001</v>
      </c>
      <c r="O13" s="2078">
        <f>'48)Zuhirse HF Biogas ex Silo(a)'!O16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'48)Zuhirse HF Biogas ex Silo(a)'!L24</f>
        <v>270</v>
      </c>
      <c r="N15" s="3338">
        <f>'48)Zuhirse HF Biogas ex Silo(a)'!N24</f>
        <v>270</v>
      </c>
      <c r="O15" s="3341">
        <f>'48)Zuhirse HF Biogas ex Silo(a)'!P24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'48)Zuhirse HF Biogas ex Silo(a)'!L18</f>
        <v>0</v>
      </c>
      <c r="N16" s="1736">
        <f>'48)Zuhirse HF Biogas ex Silo(a)'!N18</f>
        <v>0</v>
      </c>
      <c r="O16" s="3343">
        <f>'48)Zuhirse HF Biogas ex Silo(a)'!P18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'48)Zuhirse HF Biogas ex Silo(a)'!L27</f>
        <v>160.5</v>
      </c>
      <c r="N19" s="2072">
        <f>'48)Zuhirse HF Biogas ex Silo(a)'!N27</f>
        <v>160.5</v>
      </c>
      <c r="O19" s="2072">
        <f>'48)Zuhirse HF Biogas ex Silo(a)'!P27</f>
        <v>160.5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'48)Zuhirse HF Biogas ex Silo(a)'!L31-'48)Zuhirse HF Biogas ex Silo(a)'!L17</f>
        <v>77.831533500000091</v>
      </c>
      <c r="N20" s="1567">
        <f>'48)Zuhirse HF Biogas ex Silo(a)'!N31-'48)Zuhirse HF Biogas ex Silo(a)'!N17</f>
        <v>101.18099355000004</v>
      </c>
      <c r="O20" s="1567">
        <f>'48)Zuhirse HF Biogas ex Silo(a)'!P31-'48)Zuhirse HF Biogas ex Silo(a)'!P17</f>
        <v>124.5304536000001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'48)Zuhirse HF Biogas ex Silo(a)'!L37</f>
        <v>35.997499999999995</v>
      </c>
      <c r="N21" s="1567">
        <f>'48)Zuhirse HF Biogas ex Silo(a)'!N37</f>
        <v>35.997499999999995</v>
      </c>
      <c r="O21" s="1574">
        <f>'48)Zuhirse HF Biogas ex Silo(a)'!P37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'48)Zuhirse HF Biogas ex Silo(a)'!L65</f>
        <v>14.100659999999998</v>
      </c>
      <c r="N22" s="1567">
        <f>'48)Zuhirse HF Biogas ex Silo(a)'!N65</f>
        <v>18.330857999999999</v>
      </c>
      <c r="O22" s="1574">
        <f>'48)Zuhirse HF Biogas ex Silo(a)'!P65</f>
        <v>22.561055999999997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'48)Zuhirse HF Biogas ex Silo(a)'!L67</f>
        <v>59.5</v>
      </c>
      <c r="N23" s="1567">
        <f>'48)Zuhirse HF Biogas ex Silo(a)'!N67</f>
        <v>59.5</v>
      </c>
      <c r="O23" s="1574">
        <f>'48)Zuhirse HF Biogas ex Silo(a)'!P67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'48)Zuhirse HF Biogas ex Silo(a)'!L42</f>
        <v>334.7382360185</v>
      </c>
      <c r="N24" s="1567">
        <f>'48)Zuhirse HF Biogas ex Silo(a)'!N42</f>
        <v>378.72896451868996</v>
      </c>
      <c r="O24" s="1574">
        <f>'48)Zuhirse HF Biogas ex Silo(a)'!P42</f>
        <v>422.71969301887998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'48)Zuhirse HF Biogas ex Silo(a)'!L58</f>
        <v>336.11805000000004</v>
      </c>
      <c r="N25" s="1567">
        <f>'48)Zuhirse HF Biogas ex Silo(a)'!N58</f>
        <v>401.55096500000002</v>
      </c>
      <c r="O25" s="1574">
        <f>'48)Zuhirse HF Biogas ex Silo(a)'!P58</f>
        <v>466.98388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'48)Zuhirse HF Biogas ex Silo(a)'!L63</f>
        <v>0</v>
      </c>
      <c r="N26" s="1980">
        <f>'48)Zuhirse HF Biogas ex Silo(a)'!N63</f>
        <v>0</v>
      </c>
      <c r="O26" s="1981">
        <f>'48)Zuhirse HF Biogas ex Silo(a)'!P63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1018.7859795185002</v>
      </c>
      <c r="N27" s="1775">
        <f>SUM(N19:N26)</f>
        <v>1155.7892810686899</v>
      </c>
      <c r="O27" s="2055">
        <f>SUM(O19:O26)</f>
        <v>1292.79258261888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-1018.7859795185002</v>
      </c>
      <c r="N28" s="2060">
        <f>-N27</f>
        <v>-1155.7892810686899</v>
      </c>
      <c r="O28" s="2061">
        <f>-O27</f>
        <v>-1292.79258261888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M27*'48)Zuhirse HF Biogas ex Silo(a)'!$L$70*'48)Zuhirse HF Biogas ex Silo(a)'!$P$70/12/100</f>
        <v>6.3674123719906257</v>
      </c>
      <c r="N30" s="1980">
        <f>N27*'48)Zuhirse HF Biogas ex Silo(a)'!$L$70*'48)Zuhirse HF Biogas ex Silo(a)'!$P$70/12/100</f>
        <v>7.2236830066793116</v>
      </c>
      <c r="O30" s="1981">
        <f>O27*'48)Zuhirse HF Biogas ex Silo(a)'!$L$70*'48)Zuhirse HF Biogas ex Silo(a)'!$P$70/12/100</f>
        <v>8.0799536413680002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-755.15339189049087</v>
      </c>
      <c r="N31" s="1769">
        <f>N28+N29-N30</f>
        <v>-893.01296407536915</v>
      </c>
      <c r="O31" s="1776">
        <f>O28+O29-O30</f>
        <v>-1030.8725362602481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-0.30526048665635497</v>
      </c>
      <c r="N32" s="1561">
        <f>IF(N12=0,0,N31/N12)</f>
        <v>-0.27768334113054632</v>
      </c>
      <c r="O32" s="2047">
        <f>IF(O12=0,0,O31/O12)</f>
        <v>-0.26044762517691611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-8.479457962676527</v>
      </c>
      <c r="N33" s="1576">
        <f>IF(N13=0,0,N31/N13)</f>
        <v>-7.7134261425151749</v>
      </c>
      <c r="O33" s="2052">
        <f>IF(O13=0,0,O31/O13)</f>
        <v>-7.2346562549143361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'48)Zuhirse HF Biogas ex Silo(a)'!K57</f>
        <v>19.516500000000001</v>
      </c>
      <c r="N35" s="2396">
        <f>'48)Zuhirse HF Biogas ex Silo(a)'!M57</f>
        <v>22.88025</v>
      </c>
      <c r="O35" s="2398">
        <f>'48)Zuhirse HF Biogas ex Silo(a)'!O57</f>
        <v>24.917999999999999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'48)Zuhirse HF Biogas ex Silo(a)'!L10</f>
        <v>49.894957983193279</v>
      </c>
      <c r="N36" s="2431">
        <f>'48)Zuhirse HF Biogas ex Silo(a)'!N10</f>
        <v>64.863445378151255</v>
      </c>
      <c r="O36" s="2432">
        <f>'48)Zuhirse HF Biogas ex Silo(a)'!P10</f>
        <v>79.831932773109244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341.53874999999999</v>
      </c>
      <c r="N37" s="1567">
        <f>$J$37*N35</f>
        <v>400.40437500000002</v>
      </c>
      <c r="O37" s="1574">
        <f>$J$37*O35</f>
        <v>436.065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242.44791666666669</v>
      </c>
      <c r="N38" s="2433">
        <f>N36*$I$36</f>
        <v>315.18229166666663</v>
      </c>
      <c r="O38" s="2429">
        <f>O36*$I$36</f>
        <v>387.91666666666669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1566.7298107175925</v>
      </c>
      <c r="N43" s="1991">
        <f>SUM(N37:N42)</f>
        <v>1388.3298107175924</v>
      </c>
      <c r="O43" s="1994">
        <f>SUM(O37:O42)</f>
        <v>1496.7248107175926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2591.8832026080836</v>
      </c>
      <c r="N46" s="2041">
        <f>N27+N30+N43</f>
        <v>2551.3427747929618</v>
      </c>
      <c r="O46" s="2080">
        <f>O27+O30+O43</f>
        <v>2797.597346977841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-2591.8832026080836</v>
      </c>
      <c r="N47" s="2227">
        <f>N45-N46</f>
        <v>-2551.3427747929618</v>
      </c>
      <c r="O47" s="2228">
        <f>O45-O46</f>
        <v>-2797.597346977841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-2321.8832026080836</v>
      </c>
      <c r="N49" s="1991">
        <f>N47+N48</f>
        <v>-2281.3427747929618</v>
      </c>
      <c r="O49" s="1994">
        <f>O47+O48</f>
        <v>-2527.597346977841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2321.8832026080836</v>
      </c>
      <c r="N51" s="1771">
        <f>N46-N48</f>
        <v>2281.3427747929618</v>
      </c>
      <c r="O51" s="3358">
        <f>O46-O48</f>
        <v>2527.597346977841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7.8841534893313536</v>
      </c>
      <c r="N52" s="2335">
        <f>IF(N10=0,0,N$51/N10)</f>
        <v>5.9588423006215532</v>
      </c>
      <c r="O52" s="2336">
        <f>IF(O10=0,0,O$51/O10)</f>
        <v>5.3641709401057742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26.280511631104513</v>
      </c>
      <c r="N53" s="2335">
        <f>IF(N9=0,0,N$51/N9)</f>
        <v>19.862807668738512</v>
      </c>
      <c r="O53" s="2336">
        <f>IF(O9=0,0,O$51/O9)</f>
        <v>17.880569800352578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53.612243727453198</v>
      </c>
      <c r="N54" s="2335">
        <f t="shared" si="3"/>
        <v>40.520127644226562</v>
      </c>
      <c r="O54" s="2336">
        <f t="shared" si="3"/>
        <v>36.476362392719267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0.93858970111087547</v>
      </c>
      <c r="N55" s="2219">
        <f t="shared" si="3"/>
        <v>0.7093859881692326</v>
      </c>
      <c r="O55" s="2220">
        <f t="shared" si="3"/>
        <v>0.63859177858402072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26.071936141968763</v>
      </c>
      <c r="N56" s="2219">
        <f>IF(N13=0,0,N$51/N13)</f>
        <v>19.705166338034235</v>
      </c>
      <c r="O56" s="2220">
        <f>IF(O13=0,0,O$51/O13)</f>
        <v>17.738660516222797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0.26071936141968766</v>
      </c>
      <c r="N57" s="2222">
        <f>N51/$N$12*10/$F$57</f>
        <v>0.19705166338034241</v>
      </c>
      <c r="O57" s="2223">
        <f>O51/$O$12*10/$F$57</f>
        <v>0.17738660516222798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2079.4352859414171</v>
      </c>
      <c r="N58" s="1769">
        <f>N51-N38</f>
        <v>1966.1604831262953</v>
      </c>
      <c r="O58" s="1776">
        <f>O51-O38</f>
        <v>2139.6806803111745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23.536336003864371</v>
      </c>
      <c r="N59" s="3416">
        <f>N58/N9</f>
        <v>17.118632041498369</v>
      </c>
      <c r="O59" s="3417">
        <f>O58/O9</f>
        <v>15.136394173112437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0.84058342870944192</v>
      </c>
      <c r="N60" s="2130">
        <f>IF(N12=0,0,N$58/N12)</f>
        <v>0.61137971576779893</v>
      </c>
      <c r="O60" s="2217">
        <f>IF(O12=0,0,O$58/O12)</f>
        <v>0.54058550618258705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0.23349539686373388</v>
      </c>
      <c r="N61" s="2130">
        <f>N58/$N$12*10/$F$57</f>
        <v>0.16982769882438861</v>
      </c>
      <c r="O61" s="3422">
        <f>O58/$O$12*10/$F$57</f>
        <v>0.15016264060627418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23.349539686373383</v>
      </c>
      <c r="N62" s="1874">
        <f>IF(N13=0,0,N$58/N13)</f>
        <v>16.982769882438859</v>
      </c>
      <c r="O62" s="2032">
        <f>IF(O13=0,0,O$58/O13)</f>
        <v>15.016264060627419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354.29710587199071</v>
      </c>
      <c r="N64" s="1772">
        <f>SUM(N19:N23)+N30</f>
        <v>382.73303455667934</v>
      </c>
      <c r="O64" s="1773">
        <f>SUM(O19:O23)+O30</f>
        <v>411.16896324136809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0.14321978570296334</v>
      </c>
      <c r="N65" s="2031">
        <f>IF(N12=0,0,N64/N12)</f>
        <v>0.11901124851728556</v>
      </c>
      <c r="O65" s="2032">
        <f>IF(O12=0,0,O64/O12)</f>
        <v>0.10388091277623697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1531.3089085696158</v>
      </c>
      <c r="N66" s="2038">
        <f>N24+N25+N26+N39+N37</f>
        <v>1655.6074485696158</v>
      </c>
      <c r="O66" s="2039">
        <f>O24+O25+O26+O39+O37</f>
        <v>1800.6917170698059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0.61901079657596247</v>
      </c>
      <c r="N67" s="2168">
        <f>IF(N12=0,0,N66/N12)</f>
        <v>0.51481291584097211</v>
      </c>
      <c r="O67" s="2187">
        <f>IF(O12=0,0,O66/O12)</f>
        <v>0.45494070788609775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Aulendorf&amp;C&amp;12 115&amp;R&amp;12&amp;F
&amp;A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9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697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722.62622670000007</v>
      </c>
      <c r="M17" s="2600">
        <f>K17</f>
        <v>1</v>
      </c>
      <c r="N17" s="2591">
        <f>M17*(N33*(1-$AC$14)+N34*(1-$AC$15)+N35*(1-$AC$16)+N36*(1-$AC$17))</f>
        <v>802.9180296666666</v>
      </c>
      <c r="O17" s="2601">
        <f>K17</f>
        <v>1</v>
      </c>
      <c r="P17" s="2590">
        <f>O17*(P33*(1-$AC$14)+P34*(1-$AC$15)+P35*(1-$AC$16)+P36*(1-$AC$17))</f>
        <v>883.20983263333324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219.35000000000002</v>
      </c>
      <c r="M27" s="804"/>
      <c r="N27" s="786">
        <f>SUM(N29:N30)</f>
        <v>219.35000000000002</v>
      </c>
      <c r="O27" s="330"/>
      <c r="P27" s="325">
        <f>SUM(P29:P30)</f>
        <v>219.35000000000002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50</v>
      </c>
      <c r="I29" s="711">
        <f>H29*($H$27+100)/100</f>
        <v>53.5</v>
      </c>
      <c r="J29" s="91"/>
      <c r="K29" s="440">
        <v>1.7</v>
      </c>
      <c r="L29" s="337">
        <f>$I29*K29</f>
        <v>90.95</v>
      </c>
      <c r="M29" s="440">
        <v>1.7</v>
      </c>
      <c r="N29" s="791">
        <f>$I29*M29</f>
        <v>90.95</v>
      </c>
      <c r="O29" s="440">
        <v>1.7</v>
      </c>
      <c r="P29" s="337">
        <f>$I29*O29</f>
        <v>90.95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120</v>
      </c>
      <c r="I30" s="712">
        <f>H30*($H$27+100)/100</f>
        <v>128.4</v>
      </c>
      <c r="J30" s="92"/>
      <c r="K30" s="441">
        <v>1</v>
      </c>
      <c r="L30" s="333">
        <f>$I30*K30</f>
        <v>128.4</v>
      </c>
      <c r="M30" s="441">
        <v>1</v>
      </c>
      <c r="N30" s="792">
        <f>$I30*M30</f>
        <v>128.4</v>
      </c>
      <c r="O30" s="441">
        <v>1</v>
      </c>
      <c r="P30" s="333">
        <f>$I30*O30</f>
        <v>128.4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836.28963600000009</v>
      </c>
      <c r="M31" s="819"/>
      <c r="N31" s="786">
        <f>SUM(N33:N36)</f>
        <v>929.21070666666651</v>
      </c>
      <c r="O31" s="334"/>
      <c r="P31" s="325">
        <f>SUM(P33:P36)</f>
        <v>1022.1317773333333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220.59</v>
      </c>
      <c r="L33" s="337">
        <f>K33*$E33</f>
        <v>378.87803100000002</v>
      </c>
      <c r="M33" s="820">
        <f>G33*$M$9+H33</f>
        <v>245.1</v>
      </c>
      <c r="N33" s="791">
        <f>M33*$E33</f>
        <v>420.97559000000001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0.66</v>
      </c>
      <c r="H34" s="386"/>
      <c r="I34"/>
      <c r="J34" s="172"/>
      <c r="K34" s="336">
        <f>G34*$K$9+H34</f>
        <v>112.86</v>
      </c>
      <c r="L34" s="337">
        <f>K34*$E34</f>
        <v>127.58822999999998</v>
      </c>
      <c r="M34" s="820">
        <f>G34*$M$9+H34</f>
        <v>125.4</v>
      </c>
      <c r="N34" s="791">
        <f>M34*$E34</f>
        <v>141.76469999999998</v>
      </c>
      <c r="O34" s="336">
        <f>G34*$O$9+H34</f>
        <v>137.94</v>
      </c>
      <c r="P34" s="337">
        <f>O34*$E34</f>
        <v>155.94116999999997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1.75</v>
      </c>
      <c r="H35" s="386"/>
      <c r="I35"/>
      <c r="J35" s="172"/>
      <c r="K35" s="336">
        <f>G35*$K$9+H35</f>
        <v>299.25</v>
      </c>
      <c r="L35" s="337">
        <f>K35*$E35</f>
        <v>314.56162499999999</v>
      </c>
      <c r="M35" s="820">
        <f>G35*$M$9+H35</f>
        <v>332.5</v>
      </c>
      <c r="N35" s="791">
        <f>M35*$E35</f>
        <v>349.51291666666663</v>
      </c>
      <c r="O35" s="336">
        <f>G35*$O$9+H35</f>
        <v>365.75</v>
      </c>
      <c r="P35" s="337">
        <f>O35*$E35</f>
        <v>384.46420833333332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25.65</v>
      </c>
      <c r="L36" s="333">
        <f>K36*$E36</f>
        <v>15.261749999999999</v>
      </c>
      <c r="M36" s="821">
        <f>G36*$M$9+H36</f>
        <v>28.5</v>
      </c>
      <c r="N36" s="792">
        <f>M36*$E36</f>
        <v>16.9575</v>
      </c>
      <c r="O36" s="338">
        <f>G36*$O$9+H36</f>
        <v>31.349999999999998</v>
      </c>
      <c r="P36" s="333">
        <f>O36*$E36</f>
        <v>18.653249999999996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81.515000000000001</v>
      </c>
      <c r="O37" s="339"/>
      <c r="P37" s="325">
        <f>SUM(P39:P41)</f>
        <v>81.515000000000001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0.45</v>
      </c>
      <c r="N39" s="791">
        <f>$I39*M39</f>
        <v>45.517500000000005</v>
      </c>
      <c r="O39" s="165">
        <v>0.45</v>
      </c>
      <c r="P39" s="337">
        <f>$I39*O39</f>
        <v>45.517500000000005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232.8741013348</v>
      </c>
      <c r="M42" s="823"/>
      <c r="N42" s="786">
        <f>SUM(W45:W55)</f>
        <v>237.4340195648</v>
      </c>
      <c r="O42" s="425"/>
      <c r="P42" s="325">
        <f>SUM(Z45:Z55)</f>
        <v>237.4340195648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0.95</v>
      </c>
      <c r="L49" s="337">
        <f t="shared" si="0"/>
        <v>86.638446369999997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1.3774999999999999</v>
      </c>
      <c r="S49" s="471" t="e">
        <f>K49*#REF!</f>
        <v>#REF!</v>
      </c>
      <c r="T49" s="258">
        <f t="shared" si="4"/>
        <v>86.638446369999997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5.2575000000000003</v>
      </c>
      <c r="L56" s="341"/>
      <c r="M56" s="797">
        <f>SUM($U$45:$U$55)</f>
        <v>5.33</v>
      </c>
      <c r="N56" s="798"/>
      <c r="O56" s="340">
        <f>SUM($X$45:$X$55)</f>
        <v>5.33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9.4634999999999998</v>
      </c>
      <c r="L57" s="343"/>
      <c r="M57" s="799">
        <f>IF(M56+(M56*$G$57/100)&gt;M56+10,M56+10,M56+(M56*$G$57/100))</f>
        <v>9.5939999999999994</v>
      </c>
      <c r="N57" s="800"/>
      <c r="O57" s="342">
        <f>IF(O56+(O56*$G$57/100)&gt;O56+10,O56+10,O56+(O56*$G$57/100))</f>
        <v>9.5939999999999994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230.75766000000002</v>
      </c>
      <c r="M58" s="826"/>
      <c r="N58" s="786">
        <f>SUM(N60:N62)</f>
        <v>256.3974</v>
      </c>
      <c r="O58" s="344"/>
      <c r="P58" s="325">
        <f>SUM(P60:P62)</f>
        <v>282.03714000000002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Aulendorf&amp;C&amp;12 116&amp;9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0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U11" sqref="U11:U12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'49)GPS+Zuckerhirse Biogas aF(a)'!J2</f>
        <v>2022</v>
      </c>
      <c r="K2" s="2504" t="s">
        <v>858</v>
      </c>
      <c r="L2" s="2502"/>
      <c r="M2" s="2505"/>
      <c r="N2" s="2529"/>
      <c r="O2" s="2530" t="str">
        <f>'49)GPS+Zuckerhirse Biogas aF(a)'!M2</f>
        <v>GPS + Zuckerhirse Biog.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50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'49)GPS+Zuckerhirse Biogas aF(a)'!H3</f>
        <v>Silage für Biogasanlage, Erstfrucht Triticale-GPS, Zweitfrucht Zuckerhirse; Rücklieferung Gärrest unter 100% Anrechung Netto-Nährstoffe (30% N-Verluste); ab Feld;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'49)GPS+Zuckerhirse Biogas aF(a)'!K5</f>
        <v>180</v>
      </c>
      <c r="N6" s="1735">
        <f>'49)GPS+Zuckerhirse Biogas aF(a)'!M5</f>
        <v>200</v>
      </c>
      <c r="O6" s="1743">
        <f>'49)GPS+Zuckerhirse Biogas aF(a)'!O5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'49)GPS+Zuckerhirse Biogas aF(a)'!K9</f>
        <v>171</v>
      </c>
      <c r="N7" s="1736">
        <f>'49)GPS+Zuckerhirse Biogas aF(a)'!M9</f>
        <v>190</v>
      </c>
      <c r="O7" s="1744">
        <f>'49)GPS+Zuckerhirse Biogas aF(a)'!O9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'49)GPS+Zuckerhirse Biogas aF(a)'!L9</f>
        <v>551.61290322580646</v>
      </c>
      <c r="N8" s="1737">
        <f>'49)GPS+Zuckerhirse Biogas aF(a)'!N9</f>
        <v>612.90322580645159</v>
      </c>
      <c r="O8" s="1583">
        <f>'49)GPS+Zuckerhirse Biogas aF(a)'!P9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'49)GPS+Zuckerhirse Biogas aF(a)'!K11</f>
        <v>159.03</v>
      </c>
      <c r="N9" s="1562">
        <f>'49)GPS+Zuckerhirse Biogas aF(a)'!M11</f>
        <v>176.7</v>
      </c>
      <c r="O9" s="1747">
        <f>'49)GPS+Zuckerhirse Biogas aF(a)'!O11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'49)GPS+Zuckerhirse Biogas aF(a)'!L11</f>
        <v>481.90909090909093</v>
      </c>
      <c r="N10" s="1582">
        <f>'49)GPS+Zuckerhirse Biogas aF(a)'!N11</f>
        <v>535.4545454545455</v>
      </c>
      <c r="O10" s="2014">
        <f>'49)GPS+Zuckerhirse Biogas aF(a)'!P11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'49)GPS+Zuckerhirse Biogas aF(a)'!L12</f>
        <v>70.868983957219257</v>
      </c>
      <c r="N11" s="1818">
        <f>'49)GPS+Zuckerhirse Biogas aF(a)'!N12</f>
        <v>78.743315508021396</v>
      </c>
      <c r="O11" s="1819">
        <f>'49)GPS+Zuckerhirse Biogas aF(a)'!P12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'49)GPS+Zuckerhirse Biogas aF(a)'!K15</f>
        <v>4611.87</v>
      </c>
      <c r="N12" s="1738">
        <f>'49)GPS+Zuckerhirse Biogas aF(a)'!M15</f>
        <v>5124.2999999999993</v>
      </c>
      <c r="O12" s="1745">
        <f>'49)GPS+Zuckerhirse Biogas aF(a)'!O15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'49)GPS+Zuckerhirse Biogas aF(a)'!K16</f>
        <v>166.02731999999997</v>
      </c>
      <c r="N13" s="2077">
        <f>'49)GPS+Zuckerhirse Biogas aF(a)'!M16</f>
        <v>184.47479999999996</v>
      </c>
      <c r="O13" s="2078">
        <f>'49)GPS+Zuckerhirse Biogas aF(a)'!O16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'49)GPS+Zuckerhirse Biogas aF(a)'!L24</f>
        <v>270</v>
      </c>
      <c r="N15" s="3338">
        <f>'49)GPS+Zuckerhirse Biogas aF(a)'!N24</f>
        <v>270</v>
      </c>
      <c r="O15" s="3341">
        <f>'49)GPS+Zuckerhirse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'49)GPS+Zuckerhirse Biogas aF(a)'!L18</f>
        <v>0</v>
      </c>
      <c r="N16" s="1736">
        <f>'49)GPS+Zuckerhirse Biogas aF(a)'!N18</f>
        <v>0</v>
      </c>
      <c r="O16" s="3343">
        <f>'49)GPS+Zuckerhirse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'49)GPS+Zuckerhirse Biogas aF(a)'!L27</f>
        <v>219.35000000000002</v>
      </c>
      <c r="N19" s="2072">
        <f>'49)GPS+Zuckerhirse Biogas aF(a)'!N27</f>
        <v>219.35000000000002</v>
      </c>
      <c r="O19" s="2072">
        <f>'49)GPS+Zuckerhirse Biogas aF(a)'!P27</f>
        <v>219.35000000000002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'49)GPS+Zuckerhirse Biogas aF(a)'!L31-'49)GPS+Zuckerhirse Biogas aF(a)'!L17</f>
        <v>113.66340930000001</v>
      </c>
      <c r="N20" s="1567">
        <f>'49)GPS+Zuckerhirse Biogas aF(a)'!N31-'49)GPS+Zuckerhirse Biogas aF(a)'!N17</f>
        <v>126.29267699999991</v>
      </c>
      <c r="O20" s="1567">
        <f>'49)GPS+Zuckerhirse Biogas aF(a)'!P31-'49)GPS+Zuckerhirse Biogas aF(a)'!P17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'49)GPS+Zuckerhirse Biogas aF(a)'!L37</f>
        <v>81.515000000000001</v>
      </c>
      <c r="N21" s="1567">
        <f>'49)GPS+Zuckerhirse Biogas aF(a)'!N37</f>
        <v>81.515000000000001</v>
      </c>
      <c r="O21" s="1574">
        <f>'49)GPS+Zuckerhirse Biogas aF(a)'!P37</f>
        <v>81.515000000000001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'49)GPS+Zuckerhirse Biogas aF(a)'!L65</f>
        <v>16.602732</v>
      </c>
      <c r="N22" s="1567">
        <f>'49)GPS+Zuckerhirse Biogas aF(a)'!N65</f>
        <v>18.447479999999995</v>
      </c>
      <c r="O22" s="1574">
        <f>'49)GPS+Zuckerhirse Biogas aF(a)'!P65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'49)GPS+Zuckerhirse Biogas aF(a)'!L67</f>
        <v>0</v>
      </c>
      <c r="N23" s="1567">
        <f>'49)GPS+Zuckerhirse Biogas aF(a)'!N67</f>
        <v>0</v>
      </c>
      <c r="O23" s="1574">
        <f>'49)GPS+Zuckerhirse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'49)GPS+Zuckerhirse Biogas aF(a)'!L42</f>
        <v>232.8741013348</v>
      </c>
      <c r="N24" s="1567">
        <f>'49)GPS+Zuckerhirse Biogas aF(a)'!N42</f>
        <v>237.4340195648</v>
      </c>
      <c r="O24" s="1574">
        <f>'49)GPS+Zuckerhirse Biogas aF(a)'!P42</f>
        <v>237.4340195648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'49)GPS+Zuckerhirse Biogas aF(a)'!L58</f>
        <v>230.75766000000002</v>
      </c>
      <c r="N25" s="1567">
        <f>'49)GPS+Zuckerhirse Biogas aF(a)'!N58</f>
        <v>256.3974</v>
      </c>
      <c r="O25" s="1574">
        <f>'49)GPS+Zuckerhirse Biogas aF(a)'!P58</f>
        <v>282.03714000000002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'49)GPS+Zuckerhirse Biogas aF(a)'!L63</f>
        <v>0</v>
      </c>
      <c r="N26" s="1980">
        <f>'49)GPS+Zuckerhirse Biogas aF(a)'!N63</f>
        <v>0</v>
      </c>
      <c r="O26" s="1981">
        <f>'49)GPS+Zuckerhirse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894.76290263479996</v>
      </c>
      <c r="N27" s="1775">
        <f>SUM(N19:N26)</f>
        <v>939.43657656479991</v>
      </c>
      <c r="O27" s="2055">
        <f>SUM(O19:O26)</f>
        <v>979.55033226480009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-894.76290263479996</v>
      </c>
      <c r="N28" s="2060">
        <f>-N27</f>
        <v>-939.43657656479991</v>
      </c>
      <c r="O28" s="2061">
        <f>-O27</f>
        <v>-979.55033226480009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M27*'49)GPS+Zuckerhirse Biogas aF(a)'!$L$70*'49)GPS+Zuckerhirse Biogas aF(a)'!$P$70/12/100</f>
        <v>5.5922681414674988</v>
      </c>
      <c r="N30" s="1980">
        <f>N27*'49)GPS+Zuckerhirse Biogas aF(a)'!$L$70*'49)GPS+Zuckerhirse Biogas aF(a)'!$P$70/12/100</f>
        <v>5.8714786035299991</v>
      </c>
      <c r="O30" s="1981">
        <f>O27*'49)GPS+Zuckerhirse Biogas aF(a)'!$L$70*'49)GPS+Zuckerhirse Biogas aF(a)'!$P$70/12/100</f>
        <v>6.1221895766550007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-630.35517077626741</v>
      </c>
      <c r="N31" s="1769">
        <f>N28+N29-N30</f>
        <v>-675.30805516832993</v>
      </c>
      <c r="O31" s="1776">
        <f>O28+O29-O30</f>
        <v>-715.67252184145514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-0.13668103627731645</v>
      </c>
      <c r="N32" s="1561">
        <f>IF(N12=0,0,N31/N12)</f>
        <v>-0.1317854253592354</v>
      </c>
      <c r="O32" s="2047">
        <f>IF(O12=0,0,O31/O12)</f>
        <v>-0.12696590431712271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-3.7966954521476799</v>
      </c>
      <c r="N33" s="1576">
        <f>IF(N13=0,0,N31/N13)</f>
        <v>-3.6607062599787619</v>
      </c>
      <c r="O33" s="2052">
        <f>IF(O13=0,0,O31/O13)</f>
        <v>-3.5268306754756313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'49)GPS+Zuckerhirse Biogas aF(a)'!K57</f>
        <v>9.4634999999999998</v>
      </c>
      <c r="N35" s="2396">
        <f>'49)GPS+Zuckerhirse Biogas aF(a)'!M57</f>
        <v>9.5939999999999994</v>
      </c>
      <c r="O35" s="2398">
        <f>'49)GPS+Zuckerhirse Biogas aF(a)'!O57</f>
        <v>9.5939999999999994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'49)GPS+Zuckerhirse Biogas aF(a)'!L10</f>
        <v>0</v>
      </c>
      <c r="N36" s="2431">
        <f>'49)GPS+Zuckerhirse Biogas aF(a)'!N10</f>
        <v>0</v>
      </c>
      <c r="O36" s="2432">
        <f>'49)GPS+Zuckerhirse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165.61124999999998</v>
      </c>
      <c r="N37" s="1567">
        <f>$J$37*N35</f>
        <v>167.89499999999998</v>
      </c>
      <c r="O37" s="1574">
        <f>$J$37*O35</f>
        <v>167.89499999999998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1114.3896690509259</v>
      </c>
      <c r="N43" s="1991">
        <f>SUM(N37:N42)</f>
        <v>806.67341905092576</v>
      </c>
      <c r="O43" s="1994">
        <f>SUM(O37:O42)</f>
        <v>806.67341905092576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2014.7448398271933</v>
      </c>
      <c r="N46" s="2041">
        <f>N27+N30+N43</f>
        <v>1751.9814742192557</v>
      </c>
      <c r="O46" s="2080">
        <f>O27+O30+O43</f>
        <v>1792.3459408923809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-2014.7448398271933</v>
      </c>
      <c r="N47" s="2227">
        <f>N45-N46</f>
        <v>-1751.9814742192557</v>
      </c>
      <c r="O47" s="2228">
        <f>O45-O46</f>
        <v>-1792.3459408923809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-1744.7448398271933</v>
      </c>
      <c r="N49" s="1991">
        <f>N47+N48</f>
        <v>-1481.9814742192557</v>
      </c>
      <c r="O49" s="1994">
        <f>O47+O48</f>
        <v>-1522.3459408923809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1744.7448398271933</v>
      </c>
      <c r="N51" s="1771">
        <f>N46-N48</f>
        <v>1481.9814742192557</v>
      </c>
      <c r="O51" s="3358">
        <f>O46-O48</f>
        <v>1522.3459408923809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3.1629877213241517</v>
      </c>
      <c r="N52" s="2335">
        <f>IF(N8=0,0,N$51/N8)</f>
        <v>2.4179697737261541</v>
      </c>
      <c r="O52" s="2336">
        <f>IF(O8=0,0,O$51/O8)</f>
        <v>2.2580250797925263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10.203186197819845</v>
      </c>
      <c r="N53" s="2335">
        <f>IF(N7=0,0,N$51/N7)</f>
        <v>7.7999024958908194</v>
      </c>
      <c r="O53" s="2336">
        <f>IF(O7=0,0,O$51/O7)</f>
        <v>7.2839518702984734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24.619300890223364</v>
      </c>
      <c r="N54" s="2335">
        <f t="shared" si="3"/>
        <v>18.82040989331075</v>
      </c>
      <c r="O54" s="2336">
        <f t="shared" si="3"/>
        <v>17.57547096446212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0.37831613636706873</v>
      </c>
      <c r="N55" s="2219">
        <f t="shared" si="3"/>
        <v>0.28920661831259997</v>
      </c>
      <c r="O55" s="2220">
        <f t="shared" si="3"/>
        <v>0.27007607972927222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10.508781565751912</v>
      </c>
      <c r="N56" s="2219">
        <f>IF(N13=0,0,N$51/N13)</f>
        <v>8.0335171753499992</v>
      </c>
      <c r="O56" s="2220">
        <f>IF(O13=0,0,O$51/O13)</f>
        <v>7.5021133258131201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0.10508781565751908</v>
      </c>
      <c r="N57" s="2222">
        <f>N51/$N$12*10/$F$57</f>
        <v>8.0335171753499982E-2</v>
      </c>
      <c r="O57" s="2223">
        <f>O51/$O$12*10/$F$57</f>
        <v>7.5021133258131173E-2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1744.7448398271933</v>
      </c>
      <c r="N58" s="1769">
        <f>N51-N38</f>
        <v>1481.9814742192557</v>
      </c>
      <c r="O58" s="1776">
        <f>O51-O38</f>
        <v>1522.3459408923809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10.203186197819845</v>
      </c>
      <c r="N59" s="3416">
        <f>N58/N7</f>
        <v>7.7999024958908194</v>
      </c>
      <c r="O59" s="3417">
        <f>O58/O7</f>
        <v>7.2839518702984734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0.37831613636706873</v>
      </c>
      <c r="N60" s="2130">
        <f>IF(N12=0,0,N$58/N12)</f>
        <v>0.28920661831259997</v>
      </c>
      <c r="O60" s="2217">
        <f>IF(O12=0,0,O$58/O12)</f>
        <v>0.27007607972927222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0.10508781565751908</v>
      </c>
      <c r="N61" s="2130">
        <f>N58/$N$12*10/$F$57</f>
        <v>8.0335171753499982E-2</v>
      </c>
      <c r="O61" s="3422">
        <f>O58/$O$12*10/$F$57</f>
        <v>7.5021133258131173E-2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10.508781565751912</v>
      </c>
      <c r="N62" s="1874">
        <f>IF(N13=0,0,N$58/N13)</f>
        <v>8.0335171753499992</v>
      </c>
      <c r="O62" s="2032">
        <f>IF(O13=0,0,O$58/O13)</f>
        <v>7.5021133258131201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436.72340944146754</v>
      </c>
      <c r="N64" s="1772">
        <f>SUM(N19:N23)+N30</f>
        <v>451.47663560352993</v>
      </c>
      <c r="O64" s="1773">
        <f>SUM(O19:O23)+O30</f>
        <v>466.20136227665506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9.4695516014429618E-2</v>
      </c>
      <c r="N65" s="2031">
        <f>IF(N12=0,0,N64/N12)</f>
        <v>8.8105035927547176E-2</v>
      </c>
      <c r="O65" s="2032">
        <f>IF(O12=0,0,O64/O12)</f>
        <v>8.2707768915072213E-2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1074.7613486157259</v>
      </c>
      <c r="N66" s="2038">
        <f>N24+N25+N26+N39+N37</f>
        <v>1102.6848386157258</v>
      </c>
      <c r="O66" s="2039">
        <f>O24+O25+O26+O39+O37</f>
        <v>1128.3245786157258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0.23304242067008088</v>
      </c>
      <c r="N67" s="2168">
        <f>IF(N12=0,0,N66/N12)</f>
        <v>0.21518740874182346</v>
      </c>
      <c r="O67" s="2187">
        <f>IF(O12=0,0,O66/O12)</f>
        <v>0.20017360750217339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Aulendorf&amp;C&amp;12 117&amp;9
&amp;R&amp;12&amp;F
&amp;A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3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9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683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0.2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1395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81.119544592030365</v>
      </c>
      <c r="M10" s="286"/>
      <c r="N10" s="811">
        <f>IF(R10=TRUE,IF(M8=0,0,1/M8*N9),0)</f>
        <v>90.132827324478171</v>
      </c>
      <c r="O10" s="173"/>
      <c r="P10" s="722">
        <f>IF(R10=TRUE,IF(O8=0,0,1/O8*P9),0)</f>
        <v>99.146110056926005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722.62622670000007</v>
      </c>
      <c r="M17" s="2600">
        <f>K17</f>
        <v>1</v>
      </c>
      <c r="N17" s="2591">
        <f>M17*(N33*(1-$AC$14)+N34*(1-$AC$15)+N35*(1-$AC$16)+N36*(1-$AC$17))</f>
        <v>802.9180296666666</v>
      </c>
      <c r="O17" s="2601">
        <f>K17</f>
        <v>1</v>
      </c>
      <c r="P17" s="2590">
        <f>O17*(P33*(1-$AC$14)+P34*(1-$AC$15)+P35*(1-$AC$16)+P36*(1-$AC$17))</f>
        <v>883.20983263333324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239.68</v>
      </c>
      <c r="M27" s="804"/>
      <c r="N27" s="786">
        <f>SUM(N29:N30)</f>
        <v>239.68</v>
      </c>
      <c r="O27" s="330"/>
      <c r="P27" s="325">
        <f>SUM(P29:P30)</f>
        <v>239.68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52</v>
      </c>
      <c r="I29" s="711">
        <f>H29*($H$27+100)/100</f>
        <v>55.64</v>
      </c>
      <c r="J29" s="91"/>
      <c r="K29" s="440">
        <v>2</v>
      </c>
      <c r="L29" s="337">
        <f>$I29*K29</f>
        <v>111.28</v>
      </c>
      <c r="M29" s="440">
        <v>2</v>
      </c>
      <c r="N29" s="791">
        <f>$I29*M29</f>
        <v>111.28</v>
      </c>
      <c r="O29" s="440">
        <v>2</v>
      </c>
      <c r="P29" s="337">
        <f>$I29*O29</f>
        <v>111.28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120</v>
      </c>
      <c r="I30" s="712">
        <f>H30*($H$27+100)/100</f>
        <v>128.4</v>
      </c>
      <c r="J30" s="92"/>
      <c r="K30" s="441">
        <v>1</v>
      </c>
      <c r="L30" s="333">
        <f>$I30*K30</f>
        <v>128.4</v>
      </c>
      <c r="M30" s="441">
        <v>1</v>
      </c>
      <c r="N30" s="792">
        <f>$I30*M30</f>
        <v>128.4</v>
      </c>
      <c r="O30" s="441">
        <v>1</v>
      </c>
      <c r="P30" s="333">
        <f>$I30*O30</f>
        <v>128.4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836.28963600000009</v>
      </c>
      <c r="M31" s="819"/>
      <c r="N31" s="786">
        <f>SUM(N33:N36)</f>
        <v>929.21070666666651</v>
      </c>
      <c r="O31" s="334"/>
      <c r="P31" s="325">
        <f>SUM(P33:P36)</f>
        <v>1022.1317773333333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220.59</v>
      </c>
      <c r="L33" s="337">
        <f>K33*$E33</f>
        <v>378.87803100000002</v>
      </c>
      <c r="M33" s="820">
        <f>G33*$M$9+H33</f>
        <v>245.1</v>
      </c>
      <c r="N33" s="791">
        <f>M33*$E33</f>
        <v>420.97559000000001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0.66</v>
      </c>
      <c r="H34" s="386"/>
      <c r="I34"/>
      <c r="J34" s="172"/>
      <c r="K34" s="336">
        <f>G34*$K$9+H34</f>
        <v>112.86</v>
      </c>
      <c r="L34" s="337">
        <f>K34*$E34</f>
        <v>127.58822999999998</v>
      </c>
      <c r="M34" s="820">
        <f>G34*$M$9+H34</f>
        <v>125.4</v>
      </c>
      <c r="N34" s="791">
        <f>M34*$E34</f>
        <v>141.76469999999998</v>
      </c>
      <c r="O34" s="336">
        <f>G34*$O$9+H34</f>
        <v>137.94</v>
      </c>
      <c r="P34" s="337">
        <f>O34*$E34</f>
        <v>155.94116999999997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1.75</v>
      </c>
      <c r="H35" s="386"/>
      <c r="I35"/>
      <c r="J35" s="172"/>
      <c r="K35" s="336">
        <f>G35*$K$9+H35</f>
        <v>299.25</v>
      </c>
      <c r="L35" s="337">
        <f>K35*$E35</f>
        <v>314.56162499999999</v>
      </c>
      <c r="M35" s="820">
        <f>G35*$M$9+H35</f>
        <v>332.5</v>
      </c>
      <c r="N35" s="791">
        <f>M35*$E35</f>
        <v>349.51291666666663</v>
      </c>
      <c r="O35" s="336">
        <f>G35*$O$9+H35</f>
        <v>365.75</v>
      </c>
      <c r="P35" s="337">
        <f>O35*$E35</f>
        <v>384.46420833333332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25.65</v>
      </c>
      <c r="L36" s="333">
        <f>K36*$E36</f>
        <v>15.261749999999999</v>
      </c>
      <c r="M36" s="821">
        <f>G36*$M$9+H36</f>
        <v>28.5</v>
      </c>
      <c r="N36" s="792">
        <f>M36*$E36</f>
        <v>16.9575</v>
      </c>
      <c r="O36" s="338">
        <f>G36*$O$9+H36</f>
        <v>31.349999999999998</v>
      </c>
      <c r="P36" s="333">
        <f>O36*$E36</f>
        <v>18.653249999999996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81.515000000000001</v>
      </c>
      <c r="O37" s="339"/>
      <c r="P37" s="325">
        <f>SUM(P39:P41)</f>
        <v>81.515000000000001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0.45</v>
      </c>
      <c r="N39" s="791">
        <f>$I39*M39</f>
        <v>45.517500000000005</v>
      </c>
      <c r="O39" s="165">
        <v>0.45</v>
      </c>
      <c r="P39" s="337">
        <f>$I39*O39</f>
        <v>45.517500000000005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475.83538692066838</v>
      </c>
      <c r="M42" s="823"/>
      <c r="N42" s="786">
        <f>SUM(W45:W55)</f>
        <v>502.32442773798704</v>
      </c>
      <c r="O42" s="425"/>
      <c r="P42" s="325">
        <f>SUM(Z45:Z55)</f>
        <v>528.8134685553058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1</v>
      </c>
      <c r="L49" s="337">
        <f t="shared" si="0"/>
        <v>91.198364600000005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1.45</v>
      </c>
      <c r="S49" s="471" t="e">
        <f>K49*#REF!</f>
        <v>#REF!</v>
      </c>
      <c r="T49" s="258">
        <f t="shared" si="4"/>
        <v>91.198364600000005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1.1032258064516129</v>
      </c>
      <c r="L51" s="337">
        <f t="shared" si="0"/>
        <v>177.41104906213164</v>
      </c>
      <c r="M51" s="375">
        <f>N9/500</f>
        <v>1.2258064516129032</v>
      </c>
      <c r="N51" s="791">
        <f t="shared" si="1"/>
        <v>197.1233878468129</v>
      </c>
      <c r="O51" s="375">
        <f>P9/500</f>
        <v>1.3483870967741935</v>
      </c>
      <c r="P51" s="337">
        <f t="shared" si="2"/>
        <v>216.8357266314942</v>
      </c>
      <c r="Q51" s="528"/>
      <c r="R51" s="1348">
        <f t="shared" si="3"/>
        <v>8.69341935483871</v>
      </c>
      <c r="S51" s="471" t="e">
        <f>K51*#REF!</f>
        <v>#REF!</v>
      </c>
      <c r="T51" s="258">
        <f t="shared" si="4"/>
        <v>177.41104906213164</v>
      </c>
      <c r="U51" s="1349">
        <f t="shared" si="5"/>
        <v>9.6593548387096781</v>
      </c>
      <c r="V51" s="1350" t="e">
        <f>M51*#REF!</f>
        <v>#REF!</v>
      </c>
      <c r="W51" s="827">
        <f t="shared" si="6"/>
        <v>197.1233878468129</v>
      </c>
      <c r="X51" s="1351">
        <f t="shared" si="7"/>
        <v>10.625290322580645</v>
      </c>
      <c r="Y51" s="471" t="e">
        <f>O51*#REF!</f>
        <v>#REF!</v>
      </c>
      <c r="Z51" s="258">
        <f t="shared" si="8"/>
        <v>216.8357266314942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55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1.1032258064516129</v>
      </c>
      <c r="L52" s="337">
        <f t="shared" si="0"/>
        <v>60.990318293736763</v>
      </c>
      <c r="M52" s="375">
        <f>N9/500</f>
        <v>1.2258064516129032</v>
      </c>
      <c r="N52" s="791">
        <f t="shared" si="1"/>
        <v>67.76702032637418</v>
      </c>
      <c r="O52" s="375">
        <f>P9/500</f>
        <v>1.3483870967741935</v>
      </c>
      <c r="P52" s="337">
        <f t="shared" si="2"/>
        <v>74.543722359011596</v>
      </c>
      <c r="Q52" s="528"/>
      <c r="R52" s="1348">
        <f t="shared" si="3"/>
        <v>2.3498709677419356</v>
      </c>
      <c r="S52" s="471" t="e">
        <f>K52*#REF!</f>
        <v>#REF!</v>
      </c>
      <c r="T52" s="258">
        <f t="shared" si="4"/>
        <v>60.990318293736763</v>
      </c>
      <c r="U52" s="1349">
        <f t="shared" si="5"/>
        <v>2.6109677419354838</v>
      </c>
      <c r="V52" s="1350" t="e">
        <f>M52*#REF!</f>
        <v>#REF!</v>
      </c>
      <c r="W52" s="827">
        <f t="shared" si="6"/>
        <v>67.76702032637418</v>
      </c>
      <c r="X52" s="1351">
        <f t="shared" si="7"/>
        <v>2.8720645161290319</v>
      </c>
      <c r="Y52" s="471" t="e">
        <f>O52*#REF!</f>
        <v>#REF!</v>
      </c>
      <c r="Z52" s="258">
        <f t="shared" si="8"/>
        <v>74.543722359011596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16.373290322580644</v>
      </c>
      <c r="L56" s="341"/>
      <c r="M56" s="797">
        <f>SUM($U$45:$U$55)</f>
        <v>17.600322580645162</v>
      </c>
      <c r="N56" s="798"/>
      <c r="O56" s="340">
        <f>SUM($X$45:$X$55)</f>
        <v>18.827354838709677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26.373290322580644</v>
      </c>
      <c r="L57" s="343"/>
      <c r="M57" s="799">
        <f>IF(M56+(M56*$G$57/100)&gt;M56+10,M56+10,M56+(M56*$G$57/100))</f>
        <v>27.600322580645162</v>
      </c>
      <c r="N57" s="800"/>
      <c r="O57" s="342">
        <f>IF(O56+(O56*$G$57/100)&gt;O56+10,O56+10,O56+(O56*$G$57/100))</f>
        <v>28.827354838709677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584.18766000000005</v>
      </c>
      <c r="M58" s="826"/>
      <c r="N58" s="786">
        <f>SUM(N60:N62)</f>
        <v>649.09739999999999</v>
      </c>
      <c r="O58" s="344"/>
      <c r="P58" s="325">
        <f>SUM(P60:P62)</f>
        <v>714.00714000000005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165</v>
      </c>
      <c r="I60" s="3013">
        <f>H60*($H$58+100)/100</f>
        <v>196.35</v>
      </c>
      <c r="J60" s="400"/>
      <c r="K60" s="3014">
        <v>1.8</v>
      </c>
      <c r="L60" s="3015">
        <f>K60*I60</f>
        <v>353.43</v>
      </c>
      <c r="M60" s="3014">
        <v>2</v>
      </c>
      <c r="N60" s="3016">
        <f>M60*I60</f>
        <v>392.7</v>
      </c>
      <c r="O60" s="3014">
        <v>2.2000000000000002</v>
      </c>
      <c r="P60" s="3015">
        <f>O60*I60</f>
        <v>431.97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71.400000000000006</v>
      </c>
      <c r="M67" s="830"/>
      <c r="N67" s="786">
        <f>SUM(N68:N69)</f>
        <v>71.400000000000006</v>
      </c>
      <c r="O67" s="330"/>
      <c r="P67" s="325">
        <f>SUM(P68:P69)</f>
        <v>71.400000000000006</v>
      </c>
      <c r="Q67" s="1166"/>
    </row>
    <row r="68" spans="1:79" s="51" customFormat="1" ht="15" customHeight="1" x14ac:dyDescent="0.2">
      <c r="A68" s="195" t="s">
        <v>552</v>
      </c>
      <c r="B68" s="937">
        <v>5</v>
      </c>
      <c r="C68" s="104"/>
      <c r="D68" s="137" t="str">
        <f>IF($B68=0,0,VLOOKUP($B68,'Preise-Stammdaten'!$B$61:'Preise-Stammdaten'!$N$66,2))</f>
        <v>Zwei-Kulturen-Nutzung: Folie, Anstrich, Säcke</v>
      </c>
      <c r="E68" s="8"/>
      <c r="F68" s="105"/>
      <c r="G68" s="105"/>
      <c r="H68" s="1377"/>
      <c r="I68" s="1374">
        <f>IF($B68=0,0,VLOOKUP($B68,'Preise-Stammdaten'!$B$61:$N$66,13))</f>
        <v>71.400000000000006</v>
      </c>
      <c r="J68" s="146"/>
      <c r="K68" s="1181"/>
      <c r="L68" s="713">
        <f>$I$68</f>
        <v>71.400000000000006</v>
      </c>
      <c r="M68" s="1181"/>
      <c r="N68" s="831">
        <f>$I$68</f>
        <v>71.400000000000006</v>
      </c>
      <c r="O68" s="1181"/>
      <c r="P68" s="713">
        <f>$I$68</f>
        <v>71.400000000000006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Aulendorf&amp;C&amp;12 118&amp;9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14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4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'50)GPS+Zuckhi. Biogas ex S(a)'!J2</f>
        <v>2022</v>
      </c>
      <c r="K2" s="2504" t="s">
        <v>858</v>
      </c>
      <c r="L2" s="2502"/>
      <c r="M2" s="2505"/>
      <c r="N2" s="2529"/>
      <c r="O2" s="2530" t="str">
        <f>'50)GPS+Zuckhi. Biogas ex S(a)'!M2</f>
        <v>GPS + Zuckerhirse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8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'50)GPS+Zuckhi. Biogas ex S(a)'!H3</f>
        <v>Silage für Biogasanlage; 1.Frucht: Triticale-GPS; 2.Frucht: Zuckerhirse;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'50)GPS+Zuckhi. Biogas ex S(a)'!K5</f>
        <v>180</v>
      </c>
      <c r="N6" s="1735">
        <f>'50)GPS+Zuckhi. Biogas ex S(a)'!M5</f>
        <v>200</v>
      </c>
      <c r="O6" s="1743">
        <f>'50)GPS+Zuckhi. Biogas ex S(a)'!O5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'50)GPS+Zuckhi. Biogas ex S(a)'!K9</f>
        <v>171</v>
      </c>
      <c r="N7" s="1736">
        <f>'50)GPS+Zuckhi. Biogas ex S(a)'!M9</f>
        <v>190</v>
      </c>
      <c r="O7" s="1744">
        <f>'50)GPS+Zuckhi. Biogas ex S(a)'!O9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'50)GPS+Zuckhi. Biogas ex S(a)'!L9</f>
        <v>551.61290322580646</v>
      </c>
      <c r="N8" s="1737">
        <f>'50)GPS+Zuckhi. Biogas ex S(a)'!N9</f>
        <v>612.90322580645159</v>
      </c>
      <c r="O8" s="1583">
        <f>'50)GPS+Zuckhi. Biogas ex S(a)'!P9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'50)GPS+Zuckhi. Biogas ex S(a)'!K11</f>
        <v>159.03</v>
      </c>
      <c r="N9" s="1562">
        <f>'50)GPS+Zuckhi. Biogas ex S(a)'!M11</f>
        <v>176.7</v>
      </c>
      <c r="O9" s="1747">
        <f>'50)GPS+Zuckhi. Biogas ex S(a)'!O11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'50)GPS+Zuckhi. Biogas ex S(a)'!L11</f>
        <v>481.90909090909093</v>
      </c>
      <c r="N10" s="1582">
        <f>'50)GPS+Zuckhi. Biogas ex S(a)'!N11</f>
        <v>535.4545454545455</v>
      </c>
      <c r="O10" s="2014">
        <f>'50)GPS+Zuckhi. Biogas ex S(a)'!P11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'50)GPS+Zuckhi. Biogas ex S(a)'!L12</f>
        <v>70.868983957219257</v>
      </c>
      <c r="N11" s="1818">
        <f>'50)GPS+Zuckhi. Biogas ex S(a)'!N12</f>
        <v>78.743315508021396</v>
      </c>
      <c r="O11" s="1819">
        <f>'50)GPS+Zuckhi. Biogas ex S(a)'!P12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'50)GPS+Zuckhi. Biogas ex S(a)'!K15</f>
        <v>4611.87</v>
      </c>
      <c r="N12" s="1738">
        <f>'50)GPS+Zuckhi. Biogas ex S(a)'!M15</f>
        <v>5124.2999999999993</v>
      </c>
      <c r="O12" s="1745">
        <f>'50)GPS+Zuckhi. Biogas ex S(a)'!O15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'50)GPS+Zuckhi. Biogas ex S(a)'!K16</f>
        <v>166.02731999999997</v>
      </c>
      <c r="N13" s="2077">
        <f>'50)GPS+Zuckhi. Biogas ex S(a)'!M16</f>
        <v>184.47479999999996</v>
      </c>
      <c r="O13" s="2078">
        <f>'50)GPS+Zuckhi. Biogas ex S(a)'!O16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'50)GPS+Zuckhi. Biogas ex S(a)'!L24</f>
        <v>270</v>
      </c>
      <c r="N15" s="3338">
        <f>'50)GPS+Zuckhi. Biogas ex S(a)'!N24</f>
        <v>270</v>
      </c>
      <c r="O15" s="3341">
        <f>'50)GPS+Zuckhi.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'50)GPS+Zuckhi. Biogas ex S(a)'!L18</f>
        <v>0</v>
      </c>
      <c r="N16" s="1736">
        <f>'50)GPS+Zuckhi. Biogas ex S(a)'!N18</f>
        <v>0</v>
      </c>
      <c r="O16" s="3343">
        <f>'50)GPS+Zuckhi.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'50)GPS+Zuckhi. Biogas ex S(a)'!L27</f>
        <v>239.68</v>
      </c>
      <c r="N19" s="2072">
        <f>'50)GPS+Zuckhi. Biogas ex S(a)'!N27</f>
        <v>239.68</v>
      </c>
      <c r="O19" s="2073">
        <f>'50)GPS+Zuckhi. Biogas ex S(a)'!P27</f>
        <v>239.68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'50)GPS+Zuckhi. Biogas ex S(a)'!L31-'50)GPS+Zuckhi. Biogas ex S(a)'!L17</f>
        <v>113.66340930000001</v>
      </c>
      <c r="N20" s="1567">
        <f>'50)GPS+Zuckhi. Biogas ex S(a)'!N31-'50)GPS+Zuckhi. Biogas ex S(a)'!N17</f>
        <v>126.29267699999991</v>
      </c>
      <c r="O20" s="1574">
        <f>'50)GPS+Zuckhi. Biogas ex S(a)'!P31-'50)GPS+Zuckhi. Biogas ex S(a)'!P17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'50)GPS+Zuckhi. Biogas ex S(a)'!L37</f>
        <v>81.515000000000001</v>
      </c>
      <c r="N21" s="1567">
        <f>'50)GPS+Zuckhi. Biogas ex S(a)'!N37</f>
        <v>81.515000000000001</v>
      </c>
      <c r="O21" s="1574">
        <f>'50)GPS+Zuckhi. Biogas ex S(a)'!P37</f>
        <v>81.515000000000001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'50)GPS+Zuckhi. Biogas ex S(a)'!L65</f>
        <v>16.602732</v>
      </c>
      <c r="N22" s="1567">
        <f>'50)GPS+Zuckhi. Biogas ex S(a)'!N65</f>
        <v>18.447479999999995</v>
      </c>
      <c r="O22" s="1574">
        <f>'50)GPS+Zuckhi. Biogas ex S(a)'!P65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'50)GPS+Zuckhi. Biogas ex S(a)'!L67</f>
        <v>71.400000000000006</v>
      </c>
      <c r="N23" s="1567">
        <f>'50)GPS+Zuckhi. Biogas ex S(a)'!N67</f>
        <v>71.400000000000006</v>
      </c>
      <c r="O23" s="1574">
        <f>'50)GPS+Zuckhi. Biogas ex S(a)'!P67</f>
        <v>71.400000000000006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'50)GPS+Zuckhi. Biogas ex S(a)'!L42</f>
        <v>475.83538692066838</v>
      </c>
      <c r="N24" s="1567">
        <f>'50)GPS+Zuckhi. Biogas ex S(a)'!N42</f>
        <v>502.32442773798704</v>
      </c>
      <c r="O24" s="1574">
        <f>'50)GPS+Zuckhi. Biogas ex S(a)'!P42</f>
        <v>528.8134685553058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'50)GPS+Zuckhi. Biogas ex S(a)'!L58</f>
        <v>584.18766000000005</v>
      </c>
      <c r="N25" s="1567">
        <f>'50)GPS+Zuckhi. Biogas ex S(a)'!N58</f>
        <v>649.09739999999999</v>
      </c>
      <c r="O25" s="1574">
        <f>'50)GPS+Zuckhi. Biogas ex S(a)'!P58</f>
        <v>714.00714000000005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'50)GPS+Zuckhi. Biogas ex S(a)'!L63</f>
        <v>0</v>
      </c>
      <c r="N26" s="1980">
        <f>'50)GPS+Zuckhi. Biogas ex S(a)'!N63</f>
        <v>0</v>
      </c>
      <c r="O26" s="1981">
        <f>'50)GPS+Zuckhi.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1582.8841882206684</v>
      </c>
      <c r="N27" s="1775">
        <f>SUM(N19:N26)</f>
        <v>1688.7569847379868</v>
      </c>
      <c r="O27" s="2055">
        <f>SUM(O19:O26)</f>
        <v>1794.6297812553062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-1582.8841882206684</v>
      </c>
      <c r="N28" s="2060">
        <f>-N27</f>
        <v>-1688.7569847379868</v>
      </c>
      <c r="O28" s="2061">
        <f>-O27</f>
        <v>-1794.6297812553062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M27*'50)GPS+Zuckhi. Biogas ex S(a)'!$L$70*'50)GPS+Zuckhi. Biogas ex S(a)'!$P$70/12/100</f>
        <v>9.8930261763791769</v>
      </c>
      <c r="N30" s="1980">
        <f>N27*'50)GPS+Zuckhi. Biogas ex S(a)'!$L$70*'50)GPS+Zuckhi. Biogas ex S(a)'!$P$70/12/100</f>
        <v>10.554731154612416</v>
      </c>
      <c r="O30" s="1981">
        <f>O27*'50)GPS+Zuckhi. Biogas ex S(a)'!$L$70*'50)GPS+Zuckhi. Biogas ex S(a)'!$P$70/12/100</f>
        <v>11.216436132845665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'50)GPS+Zuckhi. Biogas ex S(a)'!Q18+'50)GPS+Zuckhi. Biogas ex S(a)'!Q24</f>
        <v>0</v>
      </c>
      <c r="AA30" s="3309">
        <f>'50)GPS+Zuckhi. Biogas ex S(a)'!R18+'50)GPS+Zuckhi. Biogas ex S(a)'!R24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-1322.7772143970476</v>
      </c>
      <c r="N31" s="1769">
        <f>N28+N29-N30</f>
        <v>-1429.3117158925993</v>
      </c>
      <c r="O31" s="1776">
        <f>O28+O29-O30</f>
        <v>-1535.8462173881519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-0.28682014332516909</v>
      </c>
      <c r="N32" s="1561">
        <f>IF(N12=0,0,N31/N12)</f>
        <v>-0.27892818841453459</v>
      </c>
      <c r="O32" s="2047">
        <f>IF(O12=0,0,O31/O12)</f>
        <v>-0.27247113439674275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-7.9672262034769208</v>
      </c>
      <c r="N33" s="1576">
        <f>IF(N13=0,0,N31/N13)</f>
        <v>-7.7480052337370724</v>
      </c>
      <c r="O33" s="2052">
        <f>IF(O13=0,0,O31/O13)</f>
        <v>-7.5686426221317449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'50)GPS+Zuckhi. Biogas ex S(a)'!K57</f>
        <v>26.373290322580644</v>
      </c>
      <c r="N35" s="2396">
        <f>'50)GPS+Zuckhi. Biogas ex S(a)'!M57</f>
        <v>27.600322580645162</v>
      </c>
      <c r="O35" s="2398">
        <f>'50)GPS+Zuckhi. Biogas ex S(a)'!O57</f>
        <v>28.827354838709677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'50)GPS+Zuckhi. Biogas ex S(a)'!L10</f>
        <v>81.119544592030365</v>
      </c>
      <c r="N36" s="2431">
        <f>'50)GPS+Zuckhi. Biogas ex S(a)'!N10</f>
        <v>90.132827324478171</v>
      </c>
      <c r="O36" s="2432">
        <f>'50)GPS+Zuckhi. Biogas ex S(a)'!P10</f>
        <v>99.146110056926005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461.53258064516126</v>
      </c>
      <c r="N37" s="1567">
        <f>$J$37*N35</f>
        <v>483.00564516129032</v>
      </c>
      <c r="O37" s="1574">
        <f>$J$37*O35</f>
        <v>504.47870967741937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394.17338709677421</v>
      </c>
      <c r="N38" s="2433">
        <f>N36*$I$36</f>
        <v>437.97043010752685</v>
      </c>
      <c r="O38" s="2429">
        <f>O36*$I$36</f>
        <v>481.76747311827961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1838.4491117928612</v>
      </c>
      <c r="N43" s="1991">
        <f>SUM(N37:N42)</f>
        <v>1593.7192193197429</v>
      </c>
      <c r="O43" s="1994">
        <f>SUM(O37:O42)</f>
        <v>1658.9893268466249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3431.2263261899088</v>
      </c>
      <c r="N46" s="2041">
        <f>N27+N30+N43</f>
        <v>3293.0309352123422</v>
      </c>
      <c r="O46" s="2080">
        <f>O27+O30+O43</f>
        <v>3464.8355442347765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-3431.2263261899088</v>
      </c>
      <c r="N47" s="2227">
        <f>N45-N46</f>
        <v>-3293.0309352123422</v>
      </c>
      <c r="O47" s="2228">
        <f>O45-O46</f>
        <v>-3464.8355442347765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-3161.2263261899088</v>
      </c>
      <c r="N49" s="1991">
        <f>N47+N48</f>
        <v>-3023.0309352123422</v>
      </c>
      <c r="O49" s="1994">
        <f>O47+O48</f>
        <v>-3194.8355442347765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3161.2263261899088</v>
      </c>
      <c r="N51" s="1771">
        <f>N46-N48</f>
        <v>3023.0309352123422</v>
      </c>
      <c r="O51" s="3358">
        <f>O46-O48</f>
        <v>3194.8355442347765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6.559798073587813</v>
      </c>
      <c r="N52" s="2335">
        <f>IF(N10=0,0,N$51/N10)</f>
        <v>5.6457284019245773</v>
      </c>
      <c r="O52" s="2336">
        <f>IF(O10=0,0,O$51/O10)</f>
        <v>5.4241690054919802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19.878175980569129</v>
      </c>
      <c r="N53" s="2335">
        <f>IF(N9=0,0,N$51/N9)</f>
        <v>17.108267884619934</v>
      </c>
      <c r="O53" s="2336">
        <f>IF(O9=0,0,O$51/O9)</f>
        <v>16.436875774218123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44.606626900397124</v>
      </c>
      <c r="N54" s="2335">
        <f t="shared" si="3"/>
        <v>38.39095313308713</v>
      </c>
      <c r="O54" s="2336">
        <f t="shared" si="3"/>
        <v>36.884349237345468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0.68545434415755624</v>
      </c>
      <c r="N55" s="2219">
        <f t="shared" si="3"/>
        <v>0.58994027188344611</v>
      </c>
      <c r="O55" s="2220">
        <f t="shared" si="3"/>
        <v>0.5667888198006249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19.040398448821009</v>
      </c>
      <c r="N56" s="2219">
        <f>IF(N13=0,0,N$51/N13)</f>
        <v>16.38722977454017</v>
      </c>
      <c r="O56" s="2220">
        <f>IF(O13=0,0,O$51/O13)</f>
        <v>15.744133883350694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0.19040398448821005</v>
      </c>
      <c r="N57" s="2222">
        <f>N51/$N$12*10/$F$57</f>
        <v>0.16387229774540168</v>
      </c>
      <c r="O57" s="2223">
        <f>O51/$O$12*10/$F$57</f>
        <v>0.15744133883350692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2767.0529390931347</v>
      </c>
      <c r="N58" s="1769">
        <f>N51-N38</f>
        <v>2585.0605051048155</v>
      </c>
      <c r="O58" s="1776">
        <f>O51-O38</f>
        <v>2713.0680711164969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17.399565736610292</v>
      </c>
      <c r="N59" s="3416">
        <f>N58/N9</f>
        <v>14.629657640661096</v>
      </c>
      <c r="O59" s="3417">
        <f>O58/O9</f>
        <v>13.958265530259283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0.59998502540035492</v>
      </c>
      <c r="N60" s="2130">
        <f>IF(N12=0,0,N$58/N12)</f>
        <v>0.50447095312624479</v>
      </c>
      <c r="O60" s="2217">
        <f>IF(O12=0,0,O$58/O12)</f>
        <v>0.48131950104342353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0.16666250705565414</v>
      </c>
      <c r="N61" s="2130">
        <f>N58/$N$12*10/$F$57</f>
        <v>0.14013082031284579</v>
      </c>
      <c r="O61" s="3422">
        <f>O58/$O$12*10/$F$57</f>
        <v>0.13369986140095097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16.666250705565417</v>
      </c>
      <c r="N62" s="1874">
        <f>IF(N13=0,0,N$58/N13)</f>
        <v>14.013082031284577</v>
      </c>
      <c r="O62" s="2032">
        <f>IF(O13=0,0,O$58/O13)</f>
        <v>13.369986140095101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532.75416747637917</v>
      </c>
      <c r="N64" s="1772">
        <f>SUM(N19:N23)+N30</f>
        <v>547.88988815461232</v>
      </c>
      <c r="O64" s="1773">
        <f>SUM(O19:O23)+O30</f>
        <v>563.02560883284571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0.11551803660475668</v>
      </c>
      <c r="N65" s="2031">
        <f>IF(N12=0,0,N64/N12)</f>
        <v>0.10691994773034608</v>
      </c>
      <c r="O65" s="2032">
        <f>IF(O12=0,0,O64/O12)</f>
        <v>9.9885147742191954E-2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2022.9678124340742</v>
      </c>
      <c r="N66" s="2038">
        <f>N24+N25+N26+N39+N37</f>
        <v>2109.3506169502034</v>
      </c>
      <c r="O66" s="2039">
        <f>O24+O25+O26+O39+O37</f>
        <v>2222.2224622836511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0.43864371988674317</v>
      </c>
      <c r="N67" s="2168">
        <f>IF(N12=0,0,N66/N12)</f>
        <v>0.41163683175266935</v>
      </c>
      <c r="O67" s="2187">
        <f>IF(O12=0,0,O66/O12)</f>
        <v>0.39423964998920491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Aulendorf&amp;C&amp;12 119&amp;9
&amp;R&amp;12&amp;F
&amp;A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5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Q12" sqref="Q1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9.85546875" style="530" customWidth="1"/>
    <col min="19" max="19" width="11.140625" style="530" customWidth="1"/>
    <col min="20" max="20" width="7.42578125" style="530" customWidth="1"/>
    <col min="21" max="21" width="8.85546875" style="530" customWidth="1"/>
    <col min="22" max="22" width="10.5703125" style="530" customWidth="1"/>
    <col min="23" max="23" width="7.42578125" style="530" customWidth="1"/>
    <col min="24" max="24" width="10.42578125" style="530" customWidth="1"/>
    <col min="25" max="25" width="11.85546875" style="530" customWidth="1"/>
    <col min="26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1816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125</v>
      </c>
      <c r="L5" s="417"/>
      <c r="M5" s="370">
        <v>150</v>
      </c>
      <c r="N5" s="2261"/>
      <c r="O5" s="370">
        <v>175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25</v>
      </c>
      <c r="L7" s="706">
        <v>27</v>
      </c>
      <c r="M7" s="702">
        <v>25</v>
      </c>
      <c r="N7" s="706">
        <v>27</v>
      </c>
      <c r="O7" s="702">
        <v>25</v>
      </c>
      <c r="P7" s="706">
        <v>27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118.75</v>
      </c>
      <c r="L9" s="721">
        <f>IF(K7=0,0,K9/K7*100)</f>
        <v>475</v>
      </c>
      <c r="M9" s="809">
        <f>M5*(100-M6)/100</f>
        <v>142.5</v>
      </c>
      <c r="N9" s="810">
        <f>IF(M7=0,0,M9/M7*100)</f>
        <v>570</v>
      </c>
      <c r="O9" s="720">
        <f>O5*(100-O6)/100</f>
        <v>166.25</v>
      </c>
      <c r="P9" s="721">
        <f>IF(O7=0,0,O9/O7*100)</f>
        <v>665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67.857142857142847</v>
      </c>
      <c r="M10" s="286"/>
      <c r="N10" s="811">
        <f>IF(R10=TRUE,IF(M8=0,0,1/M8*N9),0)</f>
        <v>81.428571428571431</v>
      </c>
      <c r="O10" s="173"/>
      <c r="P10" s="722">
        <f>IF(R10=TRUE,IF(O8=0,0,1/O8*P9),0)</f>
        <v>95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110.4375</v>
      </c>
      <c r="L11" s="709">
        <f>IF(L7=0,0,K11/L7*100)</f>
        <v>409.02777777777777</v>
      </c>
      <c r="M11" s="812">
        <f>M9*(100-N6)/100</f>
        <v>132.52500000000001</v>
      </c>
      <c r="N11" s="813">
        <f>IF(N7=0,0,M11/N7*100)</f>
        <v>490.83333333333331</v>
      </c>
      <c r="O11" s="708">
        <f>O9*(100-P6)/100</f>
        <v>154.61250000000001</v>
      </c>
      <c r="P11" s="709">
        <f>IF(P7=0,0,O11/P7*100)</f>
        <v>572.63888888888891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58.432539682539677</v>
      </c>
      <c r="M12" s="801"/>
      <c r="N12" s="814">
        <f>IF(N8=0,0,1/N8*N11)</f>
        <v>70.119047619047606</v>
      </c>
      <c r="O12" s="487"/>
      <c r="P12" s="502">
        <f>IF(P8=0,0,1/P8*P11)</f>
        <v>81.805555555555557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27</v>
      </c>
      <c r="L13" s="418"/>
      <c r="M13" s="499">
        <v>27</v>
      </c>
      <c r="N13" s="784"/>
      <c r="O13" s="499">
        <v>27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0.97199999999999998</v>
      </c>
      <c r="L14" s="418"/>
      <c r="M14" s="815">
        <f>M13*$G14</f>
        <v>0.97199999999999998</v>
      </c>
      <c r="N14" s="784"/>
      <c r="O14" s="513">
        <f>O13*$G14</f>
        <v>0.97199999999999998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2981.8125</v>
      </c>
      <c r="L15" s="418"/>
      <c r="M15" s="816">
        <f>M$11*M13</f>
        <v>3578.1750000000002</v>
      </c>
      <c r="N15" s="784"/>
      <c r="O15" s="497">
        <f>O$11*O13</f>
        <v>4174.5375000000004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107.34524999999999</v>
      </c>
      <c r="L16" s="417"/>
      <c r="M16" s="817">
        <f>M$11*M14</f>
        <v>128.8143</v>
      </c>
      <c r="N16" s="428"/>
      <c r="O16" s="498">
        <f>O$11*O14</f>
        <v>150.28335000000001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921.08618000000001</v>
      </c>
      <c r="M17" s="2600">
        <f>K17</f>
        <v>1</v>
      </c>
      <c r="N17" s="2591">
        <f>M17*(N33*(1-$AC$14)+N34*(1-$AC$15)+N35*(1-$AC$16)+N36*(1-$AC$17))</f>
        <v>1105.3034159999997</v>
      </c>
      <c r="O17" s="2601">
        <f>K17</f>
        <v>1</v>
      </c>
      <c r="P17" s="2590">
        <f>O17*(P33*(1-$AC$14)+P34*(1-$AC$15)+P35*(1-$AC$16)+P36*(1-$AC$17))</f>
        <v>1289.5206519999997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319.39500000000004</v>
      </c>
      <c r="M27" s="804"/>
      <c r="N27" s="786">
        <f>SUM(N29:N30)</f>
        <v>319.39500000000004</v>
      </c>
      <c r="O27" s="330"/>
      <c r="P27" s="325">
        <f>SUM(P29:P30)</f>
        <v>319.39500000000004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0.5</v>
      </c>
      <c r="L29" s="337">
        <f>$I29*K29</f>
        <v>36.914999999999999</v>
      </c>
      <c r="M29" s="440">
        <v>0.5</v>
      </c>
      <c r="N29" s="791">
        <f>$I29*M29</f>
        <v>36.914999999999999</v>
      </c>
      <c r="O29" s="440">
        <v>0.5</v>
      </c>
      <c r="P29" s="337">
        <f>$I29*O29</f>
        <v>36.914999999999999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>
        <v>440</v>
      </c>
      <c r="I30" s="712">
        <f>H30*($H$27+100)/100</f>
        <v>470.8</v>
      </c>
      <c r="J30" s="92"/>
      <c r="K30" s="441">
        <v>0.6</v>
      </c>
      <c r="L30" s="333">
        <f>$I30*K30</f>
        <v>282.48</v>
      </c>
      <c r="M30" s="441">
        <v>0.6</v>
      </c>
      <c r="N30" s="792">
        <f>$I30*M30</f>
        <v>282.48</v>
      </c>
      <c r="O30" s="441">
        <v>0.6</v>
      </c>
      <c r="P30" s="333">
        <f>$I30*O30</f>
        <v>282.48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1045.9103375</v>
      </c>
      <c r="M31" s="819"/>
      <c r="N31" s="786">
        <f>SUM(N33:N36)</f>
        <v>1255.0924049999999</v>
      </c>
      <c r="O31" s="334"/>
      <c r="P31" s="325">
        <f>SUM(P33:P36)</f>
        <v>1464.2744724999998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2.04</v>
      </c>
      <c r="H33" s="386">
        <v>0</v>
      </c>
      <c r="I33"/>
      <c r="J33" s="172"/>
      <c r="K33" s="336">
        <f>G33*$K$9+H33</f>
        <v>242.25</v>
      </c>
      <c r="L33" s="337">
        <f>K33*$E33</f>
        <v>416.08052500000002</v>
      </c>
      <c r="M33" s="820">
        <f>G33*$M$9+H33</f>
        <v>290.7</v>
      </c>
      <c r="N33" s="791">
        <f>M33*$E33</f>
        <v>499.29662999999999</v>
      </c>
      <c r="O33" s="336">
        <f>G33*$O$9+H33</f>
        <v>339.15000000000003</v>
      </c>
      <c r="P33" s="337">
        <f>O33*$E33</f>
        <v>582.51273500000002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0.52</v>
      </c>
      <c r="H34" s="386"/>
      <c r="I34"/>
      <c r="J34" s="172"/>
      <c r="K34" s="336">
        <f>G34*$K$9+H34</f>
        <v>61.75</v>
      </c>
      <c r="L34" s="337">
        <f>K34*$E34</f>
        <v>69.808374999999984</v>
      </c>
      <c r="M34" s="820">
        <f>G34*$M$9+H34</f>
        <v>74.100000000000009</v>
      </c>
      <c r="N34" s="791">
        <f>M34*$E34</f>
        <v>83.770049999999998</v>
      </c>
      <c r="O34" s="336">
        <f>G34*$O$9+H34</f>
        <v>86.45</v>
      </c>
      <c r="P34" s="337">
        <f>O34*$E34</f>
        <v>97.731724999999983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4.26</v>
      </c>
      <c r="H35" s="386"/>
      <c r="I35"/>
      <c r="J35" s="172"/>
      <c r="K35" s="336">
        <f>G35*$K$9+H35</f>
        <v>505.875</v>
      </c>
      <c r="L35" s="337">
        <f>K35*$E35</f>
        <v>531.7589375</v>
      </c>
      <c r="M35" s="820">
        <f>G35*$M$9+H35</f>
        <v>607.04999999999995</v>
      </c>
      <c r="N35" s="791">
        <f>M35*$E35</f>
        <v>638.11072499999989</v>
      </c>
      <c r="O35" s="336">
        <f>G35*$O$9+H35</f>
        <v>708.22499999999991</v>
      </c>
      <c r="P35" s="337">
        <f>O35*$E35</f>
        <v>744.46251249999989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0.4</v>
      </c>
      <c r="H36" s="387"/>
      <c r="I36" s="36"/>
      <c r="J36" s="36"/>
      <c r="K36" s="338">
        <f>G36*$K$9+H36</f>
        <v>47.5</v>
      </c>
      <c r="L36" s="333">
        <f>K36*$E36</f>
        <v>28.262499999999999</v>
      </c>
      <c r="M36" s="821">
        <f>G36*$M$9+H36</f>
        <v>57</v>
      </c>
      <c r="N36" s="792">
        <f>M36*$E36</f>
        <v>33.914999999999999</v>
      </c>
      <c r="O36" s="338">
        <f>G36*$O$9+H36</f>
        <v>66.5</v>
      </c>
      <c r="P36" s="333">
        <f>O36*$E36</f>
        <v>39.567499999999995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>
        <v>2</v>
      </c>
      <c r="C39" s="104"/>
      <c r="D39" s="128" t="s">
        <v>737</v>
      </c>
      <c r="E39" s="129"/>
      <c r="F39" s="129"/>
      <c r="G39" s="129"/>
      <c r="H39" s="426"/>
      <c r="I39" s="426">
        <f>H39*($H$37+100)/100</f>
        <v>0</v>
      </c>
      <c r="J39" s="118"/>
      <c r="K39" s="165">
        <v>4</v>
      </c>
      <c r="L39" s="337">
        <f>$I39*K39</f>
        <v>0</v>
      </c>
      <c r="M39" s="165">
        <v>4</v>
      </c>
      <c r="N39" s="791">
        <f>$I39*M39</f>
        <v>0</v>
      </c>
      <c r="O39" s="165">
        <v>4</v>
      </c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>
        <v>12</v>
      </c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>
        <v>16</v>
      </c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207.53283283919998</v>
      </c>
      <c r="M42" s="823"/>
      <c r="N42" s="786">
        <f>SUM(W45:W55)</f>
        <v>207.53283283919998</v>
      </c>
      <c r="O42" s="425"/>
      <c r="P42" s="325">
        <f>SUM(Z45:Z55)</f>
        <v>207.53283283919998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12</v>
      </c>
      <c r="C48" s="155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0.74</v>
      </c>
      <c r="J48" s="470">
        <f>IF($B48=0,0,VLOOKUP($B48,Arbeitsgänge!$B$27:$T$80,14))</f>
        <v>31.804107536</v>
      </c>
      <c r="K48" s="375">
        <v>1</v>
      </c>
      <c r="L48" s="337">
        <f t="shared" si="0"/>
        <v>31.804107536</v>
      </c>
      <c r="M48" s="375">
        <v>1</v>
      </c>
      <c r="N48" s="791">
        <f t="shared" si="1"/>
        <v>31.804107536</v>
      </c>
      <c r="O48" s="375">
        <v>1</v>
      </c>
      <c r="P48" s="337">
        <f t="shared" si="2"/>
        <v>31.804107536</v>
      </c>
      <c r="Q48" s="528"/>
      <c r="R48" s="1348">
        <f t="shared" si="3"/>
        <v>0.74</v>
      </c>
      <c r="S48" s="471" t="e">
        <f>K48*#REF!</f>
        <v>#REF!</v>
      </c>
      <c r="T48" s="258">
        <f t="shared" si="4"/>
        <v>31.804107536</v>
      </c>
      <c r="U48" s="1349">
        <f t="shared" si="5"/>
        <v>0.74</v>
      </c>
      <c r="V48" s="1350" t="e">
        <f>M48*#REF!</f>
        <v>#REF!</v>
      </c>
      <c r="W48" s="827">
        <f t="shared" si="6"/>
        <v>31.804107536</v>
      </c>
      <c r="X48" s="1351">
        <f t="shared" si="7"/>
        <v>0.74</v>
      </c>
      <c r="Y48" s="471" t="e">
        <f>O48*#REF!</f>
        <v>#REF!</v>
      </c>
      <c r="Z48" s="258">
        <f t="shared" si="8"/>
        <v>31.804107536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55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46</v>
      </c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47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4.75</v>
      </c>
      <c r="L56" s="341"/>
      <c r="M56" s="797">
        <f>SUM($U$45:$U$55)</f>
        <v>4.75</v>
      </c>
      <c r="N56" s="798"/>
      <c r="O56" s="340">
        <f>SUM($X$45:$X$55)</f>
        <v>4.75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8.5500000000000007</v>
      </c>
      <c r="L57" s="343"/>
      <c r="M57" s="799">
        <f>IF(M56+(M56*$G$57/100)&gt;M56+10,M56+10,M56+(M56*$G$57/100))</f>
        <v>8.5500000000000007</v>
      </c>
      <c r="N57" s="800"/>
      <c r="O57" s="342">
        <f>IF(O56+(O56*$G$57/100)&gt;O56+10,O56+10,O56+(O56*$G$57/100))</f>
        <v>8.5500000000000007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179.78341500000002</v>
      </c>
      <c r="M58" s="826"/>
      <c r="N58" s="786">
        <f>SUM(N60:N62)</f>
        <v>215.74009800000005</v>
      </c>
      <c r="O58" s="344"/>
      <c r="P58" s="325">
        <f>SUM(P60:P62)</f>
        <v>251.69678100000004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33.573</v>
      </c>
      <c r="L62" s="308">
        <f>K62*I62</f>
        <v>179.78341500000002</v>
      </c>
      <c r="M62" s="2626">
        <f>M11/($V$63)/10*($V$65*M17)</f>
        <v>40.287600000000005</v>
      </c>
      <c r="N62" s="828">
        <f>M62*I62</f>
        <v>215.74009800000005</v>
      </c>
      <c r="O62" s="2626">
        <f>O11/($V$63)/10*($V$65*O17)</f>
        <v>47.002200000000002</v>
      </c>
      <c r="P62" s="308">
        <f>O62*I62</f>
        <v>251.69678100000004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17.890874999999998</v>
      </c>
      <c r="M65" s="1357"/>
      <c r="N65" s="786">
        <f>M66*$H66/100</f>
        <v>21.469050000000003</v>
      </c>
      <c r="O65" s="347"/>
      <c r="P65" s="325">
        <f>O66*$H66/100</f>
        <v>25.047225000000005</v>
      </c>
      <c r="Q65" s="529"/>
      <c r="R65" s="529"/>
      <c r="S65" s="1167"/>
      <c r="T65" s="2598"/>
      <c r="U65" s="2598"/>
      <c r="V65" s="2599">
        <v>0.76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</v>
      </c>
      <c r="I66" s="74"/>
      <c r="J66" s="361" t="s">
        <v>266</v>
      </c>
      <c r="K66" s="3181">
        <f>K15*0.3</f>
        <v>894.54374999999993</v>
      </c>
      <c r="L66" s="348"/>
      <c r="M66" s="3181">
        <f>M15*0.3</f>
        <v>1073.4525000000001</v>
      </c>
      <c r="N66" s="789"/>
      <c r="O66" s="3181">
        <f>O15*0.3</f>
        <v>1252.3612500000002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Aulendorf&amp;C&amp;12 120&amp;9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2" r:id="rId31" name="Drop Down 28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3" r:id="rId32" name="Drop Down 29">
              <controlPr defaultSize="0" autoLine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4" r:id="rId33" name="Drop Down 30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180975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5" r:id="rId34" name="Check Box 31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6" r:id="rId35" name="Check Box 3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6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Q41" sqref="Q41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'51) GPS Weidelgras Biog aF(a)'!J2</f>
        <v>2022</v>
      </c>
      <c r="K2" s="2504" t="s">
        <v>858</v>
      </c>
      <c r="L2" s="2502"/>
      <c r="M2" s="2505"/>
      <c r="N2" s="2529"/>
      <c r="O2" s="2530" t="str">
        <f>'51) GPS Weidelgras Biog aF(a)'!M2</f>
        <v>GPS + Weidelgras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3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'51) GPS Weidelgras Biog aF(a)'!H3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'51) GPS Weidelgras Biog aF(a)'!K5</f>
        <v>125</v>
      </c>
      <c r="N6" s="1735">
        <f>'51) GPS Weidelgras Biog aF(a)'!M5</f>
        <v>150</v>
      </c>
      <c r="O6" s="1743">
        <f>'51) GPS Weidelgras Biog aF(a)'!O5</f>
        <v>175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'51) GPS Weidelgras Biog aF(a)'!K9</f>
        <v>118.75</v>
      </c>
      <c r="N7" s="1736">
        <f>'51) GPS Weidelgras Biog aF(a)'!M9</f>
        <v>142.5</v>
      </c>
      <c r="O7" s="1744">
        <f>'51) GPS Weidelgras Biog aF(a)'!O9</f>
        <v>166.25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'51) GPS Weidelgras Biog aF(a)'!L9</f>
        <v>475</v>
      </c>
      <c r="N8" s="1737">
        <f>'51) GPS Weidelgras Biog aF(a)'!N9</f>
        <v>570</v>
      </c>
      <c r="O8" s="1583">
        <f>'51) GPS Weidelgras Biog aF(a)'!P9</f>
        <v>665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'51) GPS Weidelgras Biog aF(a)'!K11</f>
        <v>110.4375</v>
      </c>
      <c r="N9" s="1562">
        <f>'51) GPS Weidelgras Biog aF(a)'!M11</f>
        <v>132.52500000000001</v>
      </c>
      <c r="O9" s="1747">
        <f>'51) GPS Weidelgras Biog aF(a)'!O11</f>
        <v>154.61250000000001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'51) GPS Weidelgras Biog aF(a)'!L11</f>
        <v>409.02777777777777</v>
      </c>
      <c r="N10" s="1582">
        <f>'51) GPS Weidelgras Biog aF(a)'!N11</f>
        <v>490.83333333333331</v>
      </c>
      <c r="O10" s="2014">
        <f>'51) GPS Weidelgras Biog aF(a)'!P11</f>
        <v>572.63888888888891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'51) GPS Weidelgras Biog aF(a)'!L12</f>
        <v>58.432539682539677</v>
      </c>
      <c r="N11" s="1818">
        <f>'51) GPS Weidelgras Biog aF(a)'!N12</f>
        <v>70.119047619047606</v>
      </c>
      <c r="O11" s="1819">
        <f>'51) GPS Weidelgras Biog aF(a)'!P12</f>
        <v>81.805555555555557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'51) GPS Weidelgras Biog aF(a)'!K15</f>
        <v>2981.8125</v>
      </c>
      <c r="N12" s="1738">
        <f>'51) GPS Weidelgras Biog aF(a)'!M15</f>
        <v>3578.1750000000002</v>
      </c>
      <c r="O12" s="1745">
        <f>'51) GPS Weidelgras Biog aF(a)'!O15</f>
        <v>4174.5375000000004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'51) GPS Weidelgras Biog aF(a)'!K16</f>
        <v>107.34524999999999</v>
      </c>
      <c r="N13" s="2077">
        <f>'51) GPS Weidelgras Biog aF(a)'!M16</f>
        <v>128.8143</v>
      </c>
      <c r="O13" s="2078">
        <f>'51) GPS Weidelgras Biog aF(a)'!O16</f>
        <v>150.28335000000001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'51) GPS Weidelgras Biog aF(a)'!L24</f>
        <v>270</v>
      </c>
      <c r="N15" s="3338">
        <f>'51) GPS Weidelgras Biog aF(a)'!N24</f>
        <v>270</v>
      </c>
      <c r="O15" s="3341">
        <f>'51) GPS Weidelgras Biog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'51) GPS Weidelgras Biog aF(a)'!L18</f>
        <v>0</v>
      </c>
      <c r="N16" s="1736">
        <f>'51) GPS Weidelgras Biog aF(a)'!N18</f>
        <v>0</v>
      </c>
      <c r="O16" s="3343">
        <f>'51) GPS Weidelgras Biog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'51) GPS Weidelgras Biog aF(a)'!L27</f>
        <v>319.39500000000004</v>
      </c>
      <c r="N19" s="2072">
        <f>'51) GPS Weidelgras Biog aF(a)'!N27</f>
        <v>319.39500000000004</v>
      </c>
      <c r="O19" s="2073">
        <f>'51) GPS Weidelgras Biog aF(a)'!P27</f>
        <v>319.39500000000004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'51) GPS Weidelgras Biog aF(a)'!L31-'51) GPS Weidelgras Biog aF(a)'!L17</f>
        <v>124.82415749999996</v>
      </c>
      <c r="N20" s="1567">
        <f>'51) GPS Weidelgras Biog aF(a)'!N31-'51) GPS Weidelgras Biog aF(a)'!N17</f>
        <v>149.78898900000013</v>
      </c>
      <c r="O20" s="1574">
        <f>'51) GPS Weidelgras Biog aF(a)'!P31-'51) GPS Weidelgras Biog aF(a)'!P17</f>
        <v>174.75382050000007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'51) GPS Weidelgras Biog aF(a)'!L37</f>
        <v>0</v>
      </c>
      <c r="N21" s="1567">
        <f>'51) GPS Weidelgras Biog aF(a)'!N37</f>
        <v>0</v>
      </c>
      <c r="O21" s="1574">
        <f>'51) GPS Weidelgras Biog aF(a)'!P37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'51) GPS Weidelgras Biog aF(a)'!L65</f>
        <v>17.890874999999998</v>
      </c>
      <c r="N22" s="1567">
        <f>'51) GPS Weidelgras Biog aF(a)'!N65</f>
        <v>21.469050000000003</v>
      </c>
      <c r="O22" s="1574">
        <f>'51) GPS Weidelgras Biog aF(a)'!P65</f>
        <v>25.047225000000005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'51) GPS Weidelgras Biog aF(a)'!L67</f>
        <v>0</v>
      </c>
      <c r="N23" s="1567">
        <f>'51) GPS Weidelgras Biog aF(a)'!N67</f>
        <v>0</v>
      </c>
      <c r="O23" s="1574">
        <f>'51) GPS Weidelgras Biog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'51) GPS Weidelgras Biog aF(a)'!L42</f>
        <v>207.53283283919998</v>
      </c>
      <c r="N24" s="1567">
        <f>'51) GPS Weidelgras Biog aF(a)'!N42</f>
        <v>207.53283283919998</v>
      </c>
      <c r="O24" s="1574">
        <f>'51) GPS Weidelgras Biog aF(a)'!P42</f>
        <v>207.53283283919998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'51) GPS Weidelgras Biog aF(a)'!L58</f>
        <v>179.78341500000002</v>
      </c>
      <c r="N25" s="1567">
        <f>'51) GPS Weidelgras Biog aF(a)'!N58</f>
        <v>215.74009800000005</v>
      </c>
      <c r="O25" s="1574">
        <f>'51) GPS Weidelgras Biog aF(a)'!P58</f>
        <v>251.69678100000004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'51) GPS Weidelgras Biog aF(a)'!L63</f>
        <v>0</v>
      </c>
      <c r="N26" s="1980">
        <f>'51) GPS Weidelgras Biog aF(a)'!N63</f>
        <v>0</v>
      </c>
      <c r="O26" s="1981">
        <f>'51) GPS Weidelgras Biog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849.42628033919993</v>
      </c>
      <c r="N27" s="1775">
        <f>SUM(N19:N26)</f>
        <v>913.92596983920021</v>
      </c>
      <c r="O27" s="2055">
        <f>SUM(O19:O26)</f>
        <v>978.42565933920014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-849.42628033919993</v>
      </c>
      <c r="N28" s="2060">
        <f>-N27</f>
        <v>-913.92596983920021</v>
      </c>
      <c r="O28" s="2061">
        <f>-O27</f>
        <v>-978.42565933920014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M27*'51) GPS Weidelgras Biog aF(a)'!$L$70*'51) GPS Weidelgras Biog aF(a)'!$P$70/12/100</f>
        <v>5.3089142521199992</v>
      </c>
      <c r="N30" s="1980">
        <f>N27*'51) GPS Weidelgras Biog aF(a)'!$L$70*'51) GPS Weidelgras Biog aF(a)'!$P$70/12/100</f>
        <v>5.7120373114950018</v>
      </c>
      <c r="O30" s="1981">
        <f>O27*'51) GPS Weidelgras Biog aF(a)'!$L$70*'51) GPS Weidelgras Biog aF(a)'!$P$70/12/100</f>
        <v>6.1151603708700009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-584.7351945913199</v>
      </c>
      <c r="N31" s="1769">
        <f>N28+N29-N30</f>
        <v>-649.63800715069522</v>
      </c>
      <c r="O31" s="1776">
        <f>O28+O29-O30</f>
        <v>-714.54081971007008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-0.19610059136559388</v>
      </c>
      <c r="N32" s="1561">
        <f>IF(N12=0,0,N31/N12)</f>
        <v>-0.18155568331640995</v>
      </c>
      <c r="O32" s="2047">
        <f>IF(O12=0,0,O31/O12)</f>
        <v>-0.17116646328127846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-5.4472386490442748</v>
      </c>
      <c r="N33" s="1576">
        <f>IF(N13=0,0,N31/N13)</f>
        <v>-5.0432134254558321</v>
      </c>
      <c r="O33" s="2052">
        <f>IF(O13=0,0,O31/O13)</f>
        <v>-4.7546239800355128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'51) GPS Weidelgras Biog aF(a)'!K57</f>
        <v>8.5500000000000007</v>
      </c>
      <c r="N35" s="2396">
        <f>'51) GPS Weidelgras Biog aF(a)'!M57</f>
        <v>8.5500000000000007</v>
      </c>
      <c r="O35" s="2398">
        <f>'51) GPS Weidelgras Biog aF(a)'!O57</f>
        <v>8.5500000000000007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'51) GPS Weidelgras Biog aF(a)'!L10</f>
        <v>67.857142857142847</v>
      </c>
      <c r="N36" s="2431">
        <f>'51) GPS Weidelgras Biog aF(a)'!N10</f>
        <v>81.428571428571431</v>
      </c>
      <c r="O36" s="2432">
        <f>'51) GPS Weidelgras Biog aF(a)'!P10</f>
        <v>95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149.625</v>
      </c>
      <c r="N37" s="1567">
        <f>$J$37*N35</f>
        <v>149.625</v>
      </c>
      <c r="O37" s="1574">
        <f>$J$37*O35</f>
        <v>149.625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329.72916666666663</v>
      </c>
      <c r="N38" s="2433">
        <f>N36*$I$36</f>
        <v>395.67500000000001</v>
      </c>
      <c r="O38" s="2429">
        <f>O36*$I$36</f>
        <v>461.62083333333334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'Sonst-Festk'!$L39</f>
        <v>310</v>
      </c>
      <c r="O41" s="1574">
        <f>'Sonst-Festk'!$L39</f>
        <v>310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1462.0973107175926</v>
      </c>
      <c r="N43" s="1991">
        <f>SUM(N37:N42)</f>
        <v>1528.0431440509258</v>
      </c>
      <c r="O43" s="1994">
        <f>SUM(O37:O42)</f>
        <v>1593.9889773842592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2316.8325053089125</v>
      </c>
      <c r="N46" s="2041">
        <f>N27+N30+N43</f>
        <v>2447.6811512016211</v>
      </c>
      <c r="O46" s="2080">
        <f>O27+O30+O43</f>
        <v>2578.5297970943293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-2316.8325053089125</v>
      </c>
      <c r="N47" s="2227">
        <f>N45-N46</f>
        <v>-2447.6811512016211</v>
      </c>
      <c r="O47" s="2228">
        <f>O45-O46</f>
        <v>-2578.5297970943293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-2046.8325053089125</v>
      </c>
      <c r="N49" s="1991">
        <f>N47+N48</f>
        <v>-2177.6811512016211</v>
      </c>
      <c r="O49" s="1994">
        <f>O47+O48</f>
        <v>-2308.5297970943293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2046.8325053089125</v>
      </c>
      <c r="N51" s="1771">
        <f>N46-N48</f>
        <v>2177.6811512016211</v>
      </c>
      <c r="O51" s="3358">
        <f>O46-O48</f>
        <v>2308.5297970943293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5.0041405902289204</v>
      </c>
      <c r="N52" s="2335">
        <f>IF(N10=0,0,N$51/N10)</f>
        <v>4.4367018360644233</v>
      </c>
      <c r="O52" s="2336">
        <f>IF(O10=0,0,O$51/O10)</f>
        <v>4.0313884402326385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18.53385403788489</v>
      </c>
      <c r="N53" s="2335">
        <f>IF(N9=0,0,N$51/N9)</f>
        <v>16.432229022460827</v>
      </c>
      <c r="O53" s="2336">
        <f>IF(O9=0,0,O$51/O9)</f>
        <v>14.931068297157921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35.028984131602442</v>
      </c>
      <c r="N54" s="2335">
        <f t="shared" si="3"/>
        <v>31.056912852450967</v>
      </c>
      <c r="O54" s="2336">
        <f t="shared" si="3"/>
        <v>28.219719081628472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0.68643903844018106</v>
      </c>
      <c r="N55" s="2219">
        <f t="shared" si="3"/>
        <v>0.6086010749059565</v>
      </c>
      <c r="O55" s="2220">
        <f t="shared" si="3"/>
        <v>0.55300252952436746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19.067751067782808</v>
      </c>
      <c r="N56" s="2219">
        <f>IF(N13=0,0,N$51/N13)</f>
        <v>16.905585414054347</v>
      </c>
      <c r="O56" s="2220">
        <f>IF(O13=0,0,O$51/O13)</f>
        <v>15.361181375676873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0.19067751067782807</v>
      </c>
      <c r="N57" s="2222">
        <f>N51/$N$12*10/$F$57</f>
        <v>0.16905585414054347</v>
      </c>
      <c r="O57" s="2223">
        <f>O51/$O$12*10/$F$57</f>
        <v>0.15361181375676874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1717.1033386422459</v>
      </c>
      <c r="N58" s="1769">
        <f>N51-N38</f>
        <v>1782.0061512016212</v>
      </c>
      <c r="O58" s="1776">
        <f>O51-O38</f>
        <v>1846.9089637609959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15.548190955447614</v>
      </c>
      <c r="N59" s="3416">
        <f>N58/N9</f>
        <v>13.44656594002355</v>
      </c>
      <c r="O59" s="3417">
        <f>O58/O9</f>
        <v>11.945405214720646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0.57585892427583762</v>
      </c>
      <c r="N60" s="2130">
        <f>IF(N12=0,0,N$58/N12)</f>
        <v>0.49802096074161301</v>
      </c>
      <c r="O60" s="2217">
        <f>IF(O12=0,0,O$58/O12)</f>
        <v>0.44242241536002391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0.15996081229884376</v>
      </c>
      <c r="N61" s="2130">
        <f>N58/$N$12*10/$F$57</f>
        <v>0.13833915576155917</v>
      </c>
      <c r="O61" s="3422">
        <f>O58/$O$12*10/$F$57</f>
        <v>0.12289511537778441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15.996081229884378</v>
      </c>
      <c r="N62" s="1874">
        <f>IF(N13=0,0,N$58/N13)</f>
        <v>13.833915576155917</v>
      </c>
      <c r="O62" s="2032">
        <f>IF(O13=0,0,O$58/O13)</f>
        <v>12.289511537778441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467.41894675212001</v>
      </c>
      <c r="N64" s="1772">
        <f>SUM(N19:N23)+N30</f>
        <v>496.36507631149516</v>
      </c>
      <c r="O64" s="1773">
        <f>SUM(O19:O23)+O30</f>
        <v>525.31120587087003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0.15675665279158901</v>
      </c>
      <c r="N65" s="2031">
        <f>IF(N12=0,0,N64/N12)</f>
        <v>0.13872017894918362</v>
      </c>
      <c r="O65" s="2032">
        <f>IF(O12=0,0,O64/O12)</f>
        <v>0.12583698334746543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1011.8643918901259</v>
      </c>
      <c r="N66" s="2038">
        <f>N24+N25+N26+N39+N37</f>
        <v>1047.8210748901261</v>
      </c>
      <c r="O66" s="2039">
        <f>O24+O25+O26+O39+O37</f>
        <v>1083.7777578901259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0.33934541219145264</v>
      </c>
      <c r="N67" s="2168">
        <f>IF(N12=0,0,N66/N12)</f>
        <v>0.29283673238176611</v>
      </c>
      <c r="O67" s="2187">
        <f>IF(O12=0,0,O66/O12)</f>
        <v>0.25961624680341855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Aulendorf&amp;C&amp;12 121&amp;9
&amp;R&amp;12&amp;F
&amp;A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7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8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682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110</v>
      </c>
      <c r="L5" s="417"/>
      <c r="M5" s="370">
        <v>140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25</v>
      </c>
      <c r="L7" s="706">
        <v>27</v>
      </c>
      <c r="M7" s="702">
        <v>25</v>
      </c>
      <c r="N7" s="706">
        <v>27</v>
      </c>
      <c r="O7" s="702">
        <v>25</v>
      </c>
      <c r="P7" s="706">
        <v>27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104.5</v>
      </c>
      <c r="L9" s="721">
        <f>IF(K7=0,0,K9/K7*100)</f>
        <v>418</v>
      </c>
      <c r="M9" s="809">
        <f>M5*(100-M6)/100</f>
        <v>133</v>
      </c>
      <c r="N9" s="810">
        <f>IF(M7=0,0,M9/M7*100)</f>
        <v>532</v>
      </c>
      <c r="O9" s="720">
        <f>O5*(100-O6)/100</f>
        <v>152</v>
      </c>
      <c r="P9" s="721">
        <f>IF(O7=0,0,O9/O7*100)</f>
        <v>608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59.714285714285708</v>
      </c>
      <c r="M10" s="286"/>
      <c r="N10" s="811">
        <f>IF(R10=TRUE,IF(M8=0,0,1/M8*N9),0)</f>
        <v>76</v>
      </c>
      <c r="O10" s="173"/>
      <c r="P10" s="722">
        <f>IF(R10=TRUE,IF(O8=0,0,1/O8*P9),0)</f>
        <v>86.857142857142847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97.185000000000002</v>
      </c>
      <c r="L11" s="709">
        <f>IF(L7=0,0,K11/L7*100)</f>
        <v>359.94444444444446</v>
      </c>
      <c r="M11" s="812">
        <f>M9*(100-N6)/100</f>
        <v>123.69</v>
      </c>
      <c r="N11" s="813">
        <f>IF(N7=0,0,M11/N7*100)</f>
        <v>458.11111111111114</v>
      </c>
      <c r="O11" s="708">
        <f>O9*(100-P6)/100</f>
        <v>141.36000000000001</v>
      </c>
      <c r="P11" s="709">
        <f>IF(P7=0,0,O11/P7*100)</f>
        <v>523.55555555555554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51.420634920634917</v>
      </c>
      <c r="M12" s="801"/>
      <c r="N12" s="814">
        <f>IF(N8=0,0,1/N8*N11)</f>
        <v>65.444444444444443</v>
      </c>
      <c r="O12" s="487"/>
      <c r="P12" s="502">
        <f>IF(P8=0,0,1/P8*P11)</f>
        <v>74.793650793650784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2721.1800000000003</v>
      </c>
      <c r="L15" s="418"/>
      <c r="M15" s="816">
        <f>M$11*M13</f>
        <v>3463.3199999999997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97.962479999999999</v>
      </c>
      <c r="L16" s="417"/>
      <c r="M16" s="817">
        <f>M$11*M14</f>
        <v>124.67952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621.41602856666657</v>
      </c>
      <c r="M17" s="2600">
        <f>K17</f>
        <v>1</v>
      </c>
      <c r="N17" s="2591">
        <f>M17*(N33*(1-$AC$14)+N34*(1-$AC$15)+N35*(1-$AC$16)+N36*(1-$AC$17))</f>
        <v>790.89312726666662</v>
      </c>
      <c r="O17" s="2601">
        <f>K17</f>
        <v>1</v>
      </c>
      <c r="P17" s="2590">
        <f>O17*(P33*(1-$AC$14)+P34*(1-$AC$15)+P35*(1-$AC$16)+P36*(1-$AC$17))</f>
        <v>903.87785973333314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183.93299999999999</v>
      </c>
      <c r="M27" s="804"/>
      <c r="N27" s="786">
        <f>SUM(N29:N30)</f>
        <v>183.93299999999999</v>
      </c>
      <c r="O27" s="330"/>
      <c r="P27" s="325">
        <f>SUM(P29:P30)</f>
        <v>183.93299999999999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63</v>
      </c>
      <c r="I29" s="711">
        <f>H29*($H$27+100)/100</f>
        <v>67.41</v>
      </c>
      <c r="J29" s="91"/>
      <c r="K29" s="440">
        <v>1.3</v>
      </c>
      <c r="L29" s="337">
        <f>$I29*K29</f>
        <v>87.632999999999996</v>
      </c>
      <c r="M29" s="440">
        <v>1.3</v>
      </c>
      <c r="N29" s="791">
        <f>$I29*M29</f>
        <v>87.632999999999996</v>
      </c>
      <c r="O29" s="440">
        <v>1.3</v>
      </c>
      <c r="P29" s="337">
        <f>$I29*O29</f>
        <v>87.632999999999996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180</v>
      </c>
      <c r="I30" s="712">
        <f>H30*($H$27+100)/100</f>
        <v>192.6</v>
      </c>
      <c r="J30" s="92"/>
      <c r="K30" s="441">
        <v>0.5</v>
      </c>
      <c r="L30" s="333">
        <f>$I30*K30</f>
        <v>96.3</v>
      </c>
      <c r="M30" s="441">
        <v>0.5</v>
      </c>
      <c r="N30" s="792">
        <f>$I30*M30</f>
        <v>96.3</v>
      </c>
      <c r="O30" s="441">
        <v>0.5</v>
      </c>
      <c r="P30" s="333">
        <f>$I30*O30</f>
        <v>96.3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709.72300116666656</v>
      </c>
      <c r="M31" s="819"/>
      <c r="N31" s="786">
        <f>SUM(N33:N36)</f>
        <v>903.28381966666655</v>
      </c>
      <c r="O31" s="334"/>
      <c r="P31" s="325">
        <f>SUM(P33:P36)</f>
        <v>1032.3243653333334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1.64</v>
      </c>
      <c r="H33" s="386">
        <v>0</v>
      </c>
      <c r="I33"/>
      <c r="J33" s="172"/>
      <c r="K33" s="336">
        <f>G33*$K$9+H33</f>
        <v>171.38</v>
      </c>
      <c r="L33" s="337">
        <f>K33*$E33</f>
        <v>294.35657533333335</v>
      </c>
      <c r="M33" s="820">
        <f>G33*$M$9+H33</f>
        <v>218.11999999999998</v>
      </c>
      <c r="N33" s="791">
        <f>M33*$E33</f>
        <v>374.6356413333333</v>
      </c>
      <c r="O33" s="336">
        <f>G33*$O$9+H33</f>
        <v>249.27999999999997</v>
      </c>
      <c r="P33" s="337">
        <f>O33*$E33</f>
        <v>428.15501866666665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0.55000000000000004</v>
      </c>
      <c r="H34" s="386"/>
      <c r="I34"/>
      <c r="J34" s="172"/>
      <c r="K34" s="336">
        <f>G34*$K$9+H34</f>
        <v>57.475000000000001</v>
      </c>
      <c r="L34" s="337">
        <f>K34*$E34</f>
        <v>64.975487499999986</v>
      </c>
      <c r="M34" s="820">
        <f>G34*$M$9+H34</f>
        <v>73.150000000000006</v>
      </c>
      <c r="N34" s="791">
        <f>M34*$E34</f>
        <v>82.696074999999993</v>
      </c>
      <c r="O34" s="336">
        <f>G34*$O$9+H34</f>
        <v>83.600000000000009</v>
      </c>
      <c r="P34" s="337">
        <f>O34*$E34</f>
        <v>94.509799999999998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3.02</v>
      </c>
      <c r="H35" s="386"/>
      <c r="I35"/>
      <c r="J35" s="172"/>
      <c r="K35" s="336">
        <f>G35*$K$9+H35</f>
        <v>315.58999999999997</v>
      </c>
      <c r="L35" s="337">
        <f>K35*$E35</f>
        <v>331.73768833333327</v>
      </c>
      <c r="M35" s="820">
        <f>G35*$M$9+H35</f>
        <v>401.66</v>
      </c>
      <c r="N35" s="791">
        <f>M35*$E35</f>
        <v>422.2116033333333</v>
      </c>
      <c r="O35" s="336">
        <f>G35*$O$9+H35</f>
        <v>459.04</v>
      </c>
      <c r="P35" s="337">
        <f>O35*$E35</f>
        <v>482.52754666666664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31.349999999999998</v>
      </c>
      <c r="L36" s="333">
        <f>K36*$E36</f>
        <v>18.653249999999996</v>
      </c>
      <c r="M36" s="821">
        <f>G36*$M$9+H36</f>
        <v>39.9</v>
      </c>
      <c r="N36" s="792">
        <f>M36*$E36</f>
        <v>23.740499999999997</v>
      </c>
      <c r="O36" s="338">
        <f>G36*$O$9+H36</f>
        <v>45.6</v>
      </c>
      <c r="P36" s="333">
        <f>O36*$E36</f>
        <v>27.131999999999998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95.2</v>
      </c>
      <c r="M37" s="793"/>
      <c r="N37" s="786">
        <f>SUM(N39:N41)</f>
        <v>95.2</v>
      </c>
      <c r="O37" s="339"/>
      <c r="P37" s="325">
        <f>SUM(P39:P41)</f>
        <v>95.2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737</v>
      </c>
      <c r="E39" s="129"/>
      <c r="F39" s="129"/>
      <c r="G39" s="129"/>
      <c r="H39" s="426">
        <v>20</v>
      </c>
      <c r="I39" s="426">
        <f>H39*($H$37+100)/100</f>
        <v>23.8</v>
      </c>
      <c r="J39" s="118"/>
      <c r="K39" s="165">
        <v>4</v>
      </c>
      <c r="L39" s="337">
        <f>$I39*K39</f>
        <v>95.2</v>
      </c>
      <c r="M39" s="165">
        <v>4</v>
      </c>
      <c r="N39" s="791">
        <f>$I39*M39</f>
        <v>95.2</v>
      </c>
      <c r="O39" s="165">
        <v>4</v>
      </c>
      <c r="P39" s="337">
        <f>$I39*O39</f>
        <v>95.2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418.59935736731353</v>
      </c>
      <c r="M42" s="823"/>
      <c r="N42" s="786">
        <f>SUM(W45:W55)</f>
        <v>467.86897328752639</v>
      </c>
      <c r="O42" s="425"/>
      <c r="P42" s="325">
        <f>SUM(Z45:Z55)</f>
        <v>500.71538390100153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</v>
      </c>
      <c r="C47" s="1554"/>
      <c r="D47" s="137"/>
      <c r="E47" s="8"/>
      <c r="F47" s="8"/>
      <c r="G47" s="731"/>
      <c r="H47" s="726" t="str">
        <f>IF($B47=0,0,VLOOKUP($B47,Arbeitsgänge!$B$27:$T$80,7))</f>
        <v>120 Kw</v>
      </c>
      <c r="I47" s="727">
        <f>IF($B47=0,0,VLOOKUP($B47,Arbeitsgänge!$B$27:$T$80,12))</f>
        <v>1.45</v>
      </c>
      <c r="J47" s="470">
        <f>IF($B47=0,0,VLOOKUP($B47,Arbeitsgänge!$B$27:$T$80,14))</f>
        <v>91.198364600000005</v>
      </c>
      <c r="K47" s="375">
        <v>1</v>
      </c>
      <c r="L47" s="337">
        <f t="shared" si="0"/>
        <v>91.198364600000005</v>
      </c>
      <c r="M47" s="375">
        <v>1</v>
      </c>
      <c r="N47" s="791">
        <f t="shared" si="1"/>
        <v>91.198364600000005</v>
      </c>
      <c r="O47" s="375">
        <v>1</v>
      </c>
      <c r="P47" s="337">
        <f t="shared" si="2"/>
        <v>91.198364600000005</v>
      </c>
      <c r="Q47" s="528"/>
      <c r="R47" s="1348">
        <f t="shared" si="3"/>
        <v>1.45</v>
      </c>
      <c r="S47" s="471" t="e">
        <f>K47*#REF!</f>
        <v>#REF!</v>
      </c>
      <c r="T47" s="258">
        <f t="shared" si="4"/>
        <v>91.198364600000005</v>
      </c>
      <c r="U47" s="1349">
        <f t="shared" si="5"/>
        <v>1.45</v>
      </c>
      <c r="V47" s="1350" t="e">
        <f>M47*#REF!</f>
        <v>#REF!</v>
      </c>
      <c r="W47" s="827">
        <f t="shared" si="6"/>
        <v>91.198364600000005</v>
      </c>
      <c r="X47" s="1351">
        <f t="shared" si="7"/>
        <v>1.45</v>
      </c>
      <c r="Y47" s="471" t="e">
        <f>O47*#REF!</f>
        <v>#REF!</v>
      </c>
      <c r="Z47" s="258">
        <f t="shared" si="8"/>
        <v>91.198364600000005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3</v>
      </c>
      <c r="C48" s="155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1.02</v>
      </c>
      <c r="J48" s="470">
        <f>IF($B48=0,0,VLOOKUP($B48,Arbeitsgänge!$B$27:$T$80,14))</f>
        <v>32.484850928</v>
      </c>
      <c r="K48" s="375">
        <v>1</v>
      </c>
      <c r="L48" s="337">
        <f t="shared" si="0"/>
        <v>32.484850928</v>
      </c>
      <c r="M48" s="375">
        <v>1</v>
      </c>
      <c r="N48" s="791">
        <f t="shared" si="1"/>
        <v>32.484850928</v>
      </c>
      <c r="O48" s="375">
        <v>1</v>
      </c>
      <c r="P48" s="337">
        <f t="shared" si="2"/>
        <v>32.484850928</v>
      </c>
      <c r="Q48" s="528"/>
      <c r="R48" s="1348">
        <f t="shared" si="3"/>
        <v>1.02</v>
      </c>
      <c r="S48" s="471" t="e">
        <f>K48*#REF!</f>
        <v>#REF!</v>
      </c>
      <c r="T48" s="258">
        <f t="shared" si="4"/>
        <v>32.484850928</v>
      </c>
      <c r="U48" s="1349">
        <f t="shared" si="5"/>
        <v>1.02</v>
      </c>
      <c r="V48" s="1350" t="e">
        <f>M48*#REF!</f>
        <v>#REF!</v>
      </c>
      <c r="W48" s="827">
        <f t="shared" si="6"/>
        <v>32.484850928</v>
      </c>
      <c r="X48" s="1351">
        <f t="shared" si="7"/>
        <v>1.02</v>
      </c>
      <c r="Y48" s="471" t="e">
        <f>O48*#REF!</f>
        <v>#REF!</v>
      </c>
      <c r="Z48" s="258">
        <f t="shared" si="8"/>
        <v>32.484850928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10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0.55000000000000004</v>
      </c>
      <c r="J49" s="470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554"/>
      <c r="D50" s="137"/>
      <c r="E50" s="8"/>
      <c r="F50" s="8"/>
      <c r="G50" s="731"/>
      <c r="H50" s="726" t="str">
        <f>IF($B50=0,0,VLOOKUP($B50,Arbeitsgänge!$B$27:$T$80,7))</f>
        <v>45 kW</v>
      </c>
      <c r="I50" s="727">
        <f>IF($B50=0,0,VLOOKUP($B50,Arbeitsgänge!$B$27:$T$80,12))</f>
        <v>0.37</v>
      </c>
      <c r="J50" s="470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554"/>
      <c r="D51" s="137"/>
      <c r="E51" s="8"/>
      <c r="F51" s="8"/>
      <c r="G51" s="731"/>
      <c r="H51" s="726" t="str">
        <f>IF($B51=0,0,VLOOKUP($B51,Arbeitsgänge!$B$27:$T$80,7))</f>
        <v>54 kW</v>
      </c>
      <c r="I51" s="727">
        <f>IF($B51=0,0,VLOOKUP($B51,Arbeitsgänge!$B$27:$T$80,12))</f>
        <v>0.22</v>
      </c>
      <c r="J51" s="470">
        <f>IF($B51=0,0,VLOOKUP($B51,Arbeitsgänge!$B$27:$T$80,14))</f>
        <v>4.4729452375999994</v>
      </c>
      <c r="K51" s="375">
        <v>1</v>
      </c>
      <c r="L51" s="337">
        <f t="shared" si="0"/>
        <v>4.4729452375999994</v>
      </c>
      <c r="M51" s="375">
        <v>1</v>
      </c>
      <c r="N51" s="791">
        <f t="shared" si="1"/>
        <v>4.4729452375999994</v>
      </c>
      <c r="O51" s="375">
        <v>1</v>
      </c>
      <c r="P51" s="337">
        <f t="shared" si="2"/>
        <v>4.4729452375999994</v>
      </c>
      <c r="Q51" s="528"/>
      <c r="R51" s="1348">
        <f t="shared" si="3"/>
        <v>0.22</v>
      </c>
      <c r="S51" s="471" t="e">
        <f>K51*#REF!</f>
        <v>#REF!</v>
      </c>
      <c r="T51" s="258">
        <f t="shared" si="4"/>
        <v>4.4729452375999994</v>
      </c>
      <c r="U51" s="1349">
        <f t="shared" si="5"/>
        <v>0.22</v>
      </c>
      <c r="V51" s="1350" t="e">
        <f>M51*#REF!</f>
        <v>#REF!</v>
      </c>
      <c r="W51" s="827">
        <f t="shared" si="6"/>
        <v>4.4729452375999994</v>
      </c>
      <c r="X51" s="1351">
        <f t="shared" si="7"/>
        <v>0.22</v>
      </c>
      <c r="Y51" s="471" t="e">
        <f>O51*#REF!</f>
        <v>#REF!</v>
      </c>
      <c r="Z51" s="258">
        <f t="shared" si="8"/>
        <v>4.4729452375999994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55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7.88</v>
      </c>
      <c r="J52" s="470">
        <f>IF($B52=0,0,VLOOKUP($B52,Arbeitsgänge!$B$27:$T$80,14))</f>
        <v>160.81118482240001</v>
      </c>
      <c r="K52" s="375">
        <f>L9/500</f>
        <v>0.83599999999999997</v>
      </c>
      <c r="L52" s="337">
        <f t="shared" si="0"/>
        <v>134.4381505115264</v>
      </c>
      <c r="M52" s="375">
        <f>N9/500</f>
        <v>1.0640000000000001</v>
      </c>
      <c r="N52" s="791">
        <f t="shared" si="1"/>
        <v>171.10310065103363</v>
      </c>
      <c r="O52" s="375">
        <f>P9/500</f>
        <v>1.216</v>
      </c>
      <c r="P52" s="337">
        <f t="shared" si="2"/>
        <v>195.54640074403841</v>
      </c>
      <c r="Q52" s="528"/>
      <c r="R52" s="1348">
        <f t="shared" si="3"/>
        <v>6.5876799999999998</v>
      </c>
      <c r="S52" s="471" t="e">
        <f>K52*#REF!</f>
        <v>#REF!</v>
      </c>
      <c r="T52" s="258">
        <f t="shared" si="4"/>
        <v>134.4381505115264</v>
      </c>
      <c r="U52" s="1349">
        <f t="shared" si="5"/>
        <v>8.3843200000000007</v>
      </c>
      <c r="V52" s="1350" t="e">
        <f>M52*#REF!</f>
        <v>#REF!</v>
      </c>
      <c r="W52" s="827">
        <f t="shared" si="6"/>
        <v>171.10310065103363</v>
      </c>
      <c r="X52" s="1351">
        <f t="shared" si="7"/>
        <v>9.5820799999999995</v>
      </c>
      <c r="Y52" s="471" t="e">
        <f>O52*#REF!</f>
        <v>#REF!</v>
      </c>
      <c r="Z52" s="258">
        <f t="shared" si="8"/>
        <v>195.54640074403841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554"/>
      <c r="D53" s="137" t="str">
        <f>IF($B53=0,0,VLOOKUP($B53,Arbeitsgänge!$B$27:$O$75,2))</f>
        <v>Mais/GPS-Silage festwalzen 50 t FM/ha</v>
      </c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2.13</v>
      </c>
      <c r="J53" s="470">
        <f>IF($B53=0,0,VLOOKUP($B53,Arbeitsgänge!$B$27:$T$80,14))</f>
        <v>55.283621845199988</v>
      </c>
      <c r="K53" s="375">
        <f>L9/500</f>
        <v>0.83599999999999997</v>
      </c>
      <c r="L53" s="337">
        <f t="shared" si="0"/>
        <v>46.217107862587191</v>
      </c>
      <c r="M53" s="375">
        <f>N9/500</f>
        <v>1.0640000000000001</v>
      </c>
      <c r="N53" s="791">
        <f t="shared" si="1"/>
        <v>58.821773643292794</v>
      </c>
      <c r="O53" s="375">
        <f>P9/500</f>
        <v>1.216</v>
      </c>
      <c r="P53" s="337">
        <f t="shared" si="2"/>
        <v>67.224884163763178</v>
      </c>
      <c r="Q53" s="528"/>
      <c r="R53" s="1348">
        <f t="shared" si="3"/>
        <v>1.7806799999999998</v>
      </c>
      <c r="S53" s="471" t="e">
        <f>K53*#REF!</f>
        <v>#REF!</v>
      </c>
      <c r="T53" s="258">
        <f t="shared" si="4"/>
        <v>46.217107862587191</v>
      </c>
      <c r="U53" s="1349">
        <f t="shared" si="5"/>
        <v>2.2663199999999999</v>
      </c>
      <c r="V53" s="1350" t="e">
        <f>M53*#REF!</f>
        <v>#REF!</v>
      </c>
      <c r="W53" s="827">
        <f t="shared" si="6"/>
        <v>58.821773643292794</v>
      </c>
      <c r="X53" s="1351">
        <f t="shared" si="7"/>
        <v>2.5900799999999999</v>
      </c>
      <c r="Y53" s="471" t="e">
        <f>O53*#REF!</f>
        <v>#REF!</v>
      </c>
      <c r="Z53" s="258">
        <f t="shared" si="8"/>
        <v>67.224884163763178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13.98836</v>
      </c>
      <c r="L56" s="341"/>
      <c r="M56" s="797">
        <f>SUM($U$45:$U$55)</f>
        <v>16.27064</v>
      </c>
      <c r="N56" s="798"/>
      <c r="O56" s="340">
        <f>SUM($X$45:$X$55)</f>
        <v>17.792159999999999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23.98836</v>
      </c>
      <c r="L57" s="343"/>
      <c r="M57" s="799">
        <f>IF(M56+(M56*$G$57/100)&gt;M56+10,M56+10,M56+(M56*$G$57/100))</f>
        <v>26.27064</v>
      </c>
      <c r="N57" s="800"/>
      <c r="O57" s="342">
        <f>IF(O56+(O56*$G$57/100)&gt;O56+10,O56+10,O56+(O56*$G$57/100))</f>
        <v>27.792159999999999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494.38281060000003</v>
      </c>
      <c r="M58" s="826"/>
      <c r="N58" s="786">
        <f>SUM(N60:N62)</f>
        <v>575.55630440000004</v>
      </c>
      <c r="O58" s="344"/>
      <c r="P58" s="325">
        <f>SUM(P60:P62)</f>
        <v>641.96863359999998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155</v>
      </c>
      <c r="I60" s="3013">
        <f>H60*($H$58+100)/100</f>
        <v>184.45</v>
      </c>
      <c r="J60" s="400"/>
      <c r="K60" s="3014">
        <v>1.8</v>
      </c>
      <c r="L60" s="3015">
        <f>K60*I60</f>
        <v>332.01</v>
      </c>
      <c r="M60" s="3014">
        <v>2</v>
      </c>
      <c r="N60" s="3016">
        <f>M60*I60</f>
        <v>368.9</v>
      </c>
      <c r="O60" s="3014">
        <v>2.2000000000000002</v>
      </c>
      <c r="P60" s="3015">
        <f>O60*I60</f>
        <v>405.79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30.321720000000003</v>
      </c>
      <c r="L62" s="308">
        <f>K62*I62</f>
        <v>162.37281060000004</v>
      </c>
      <c r="M62" s="2626">
        <f>M11/($V$63)/10*($V$65*M17)</f>
        <v>38.591279999999998</v>
      </c>
      <c r="N62" s="828">
        <f>M62*I62</f>
        <v>206.65630440000001</v>
      </c>
      <c r="O62" s="2626">
        <f>O11/($V$63)/10*($V$65*O17)</f>
        <v>44.104320000000001</v>
      </c>
      <c r="P62" s="308">
        <f>O62*I62</f>
        <v>236.17863360000001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16.327080000000002</v>
      </c>
      <c r="M65" s="1357"/>
      <c r="N65" s="786">
        <f>M66*$H66/100</f>
        <v>20.779919999999997</v>
      </c>
      <c r="O65" s="347"/>
      <c r="P65" s="325">
        <f>O66*$H66/100</f>
        <v>23.748480000000001</v>
      </c>
      <c r="Q65" s="529"/>
      <c r="R65" s="529"/>
      <c r="S65" s="1167"/>
      <c r="T65" s="2598"/>
      <c r="U65" s="2598"/>
      <c r="V65" s="2599">
        <v>0.78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</v>
      </c>
      <c r="I66" s="74"/>
      <c r="J66" s="361" t="s">
        <v>266</v>
      </c>
      <c r="K66" s="3181">
        <f>K15*0.3</f>
        <v>816.35400000000004</v>
      </c>
      <c r="L66" s="348"/>
      <c r="M66" s="3181">
        <f>M15*0.3</f>
        <v>1038.9959999999999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69.5</v>
      </c>
      <c r="M67" s="830"/>
      <c r="N67" s="786">
        <f>SUM(N68:N69)</f>
        <v>69.5</v>
      </c>
      <c r="O67" s="330"/>
      <c r="P67" s="325">
        <f>SUM(P68:P69)</f>
        <v>69.5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 t="s">
        <v>171</v>
      </c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>
        <v>10</v>
      </c>
      <c r="M69" s="774"/>
      <c r="N69" s="938">
        <v>10</v>
      </c>
      <c r="O69" s="774"/>
      <c r="P69" s="938">
        <v>10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Aulendorf&amp;C&amp;12 122&amp;9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5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8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'52)Grünr.+Sonnbl. Biog ex S(a)'!J2</f>
        <v>2022</v>
      </c>
      <c r="K2" s="2504" t="s">
        <v>858</v>
      </c>
      <c r="L2" s="2502"/>
      <c r="M2" s="2505"/>
      <c r="N2" s="2529"/>
      <c r="O2" s="2530" t="str">
        <f>'52)Grünr.+Sonnbl. Biog ex S(a)'!M2</f>
        <v>Grünr.+Sonnenbl. Biog.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'52)Grünr.+Sonnbl. Biog ex S(a)'!H3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'52)Grünr.+Sonnbl. Biog ex S(a)'!K5</f>
        <v>110</v>
      </c>
      <c r="N6" s="1735">
        <f>'52)Grünr.+Sonnbl. Biog ex S(a)'!M5</f>
        <v>140</v>
      </c>
      <c r="O6" s="1743">
        <f>'52)Grünr.+Sonnbl. Biog ex S(a)'!O5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'52)Grünr.+Sonnbl. Biog ex S(a)'!K9</f>
        <v>104.5</v>
      </c>
      <c r="N7" s="1736">
        <f>'52)Grünr.+Sonnbl. Biog ex S(a)'!M9</f>
        <v>133</v>
      </c>
      <c r="O7" s="1744">
        <f>'52)Grünr.+Sonnbl. Biog ex S(a)'!O9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'52)Grünr.+Sonnbl. Biog ex S(a)'!L9</f>
        <v>418</v>
      </c>
      <c r="N8" s="1737">
        <f>'52)Grünr.+Sonnbl. Biog ex S(a)'!N9</f>
        <v>532</v>
      </c>
      <c r="O8" s="1583">
        <f>'52)Grünr.+Sonnbl. Biog ex S(a)'!P9</f>
        <v>608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'52)Grünr.+Sonnbl. Biog ex S(a)'!K11</f>
        <v>97.185000000000002</v>
      </c>
      <c r="N9" s="1562">
        <f>'52)Grünr.+Sonnbl. Biog ex S(a)'!M11</f>
        <v>123.69</v>
      </c>
      <c r="O9" s="1747">
        <f>'52)Grünr.+Sonnbl. Biog ex S(a)'!O11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'52)Grünr.+Sonnbl. Biog ex S(a)'!L11</f>
        <v>359.94444444444446</v>
      </c>
      <c r="N10" s="1582">
        <f>'52)Grünr.+Sonnbl. Biog ex S(a)'!N11</f>
        <v>458.11111111111114</v>
      </c>
      <c r="O10" s="2014">
        <f>'52)Grünr.+Sonnbl. Biog ex S(a)'!P11</f>
        <v>523.55555555555554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'52)Grünr.+Sonnbl. Biog ex S(a)'!L12</f>
        <v>51.420634920634917</v>
      </c>
      <c r="N11" s="1818">
        <f>'52)Grünr.+Sonnbl. Biog ex S(a)'!N12</f>
        <v>65.444444444444443</v>
      </c>
      <c r="O11" s="1819">
        <f>'52)Grünr.+Sonnbl. Biog ex S(a)'!P12</f>
        <v>74.793650793650784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'52)Grünr.+Sonnbl. Biog ex S(a)'!K15</f>
        <v>2721.1800000000003</v>
      </c>
      <c r="N12" s="1738">
        <f>'52)Grünr.+Sonnbl. Biog ex S(a)'!M15</f>
        <v>3463.3199999999997</v>
      </c>
      <c r="O12" s="1745">
        <f>'52)Grünr.+Sonnbl. Biog ex S(a)'!O15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'52)Grünr.+Sonnbl. Biog ex S(a)'!K16</f>
        <v>97.962479999999999</v>
      </c>
      <c r="N13" s="2077">
        <f>'52)Grünr.+Sonnbl. Biog ex S(a)'!M16</f>
        <v>124.67952</v>
      </c>
      <c r="O13" s="2078">
        <f>'52)Grünr.+Sonnbl. Biog ex S(a)'!O16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'52)Grünr.+Sonnbl. Biog ex S(a)'!L24</f>
        <v>270</v>
      </c>
      <c r="N15" s="3338">
        <f>'52)Grünr.+Sonnbl. Biog ex S(a)'!N24</f>
        <v>270</v>
      </c>
      <c r="O15" s="3341">
        <f>'52)Grünr.+Sonnbl. Biog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'52)Grünr.+Sonnbl. Biog ex S(a)'!L18</f>
        <v>0</v>
      </c>
      <c r="N16" s="1736">
        <f>'52)Grünr.+Sonnbl. Biog ex S(a)'!N18</f>
        <v>0</v>
      </c>
      <c r="O16" s="3343">
        <f>'52)Grünr.+Sonnbl. Biog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'52)Grünr.+Sonnbl. Biog ex S(a)'!L27</f>
        <v>183.93299999999999</v>
      </c>
      <c r="N19" s="2072">
        <f>'52)Grünr.+Sonnbl. Biog ex S(a)'!N27</f>
        <v>183.93299999999999</v>
      </c>
      <c r="O19" s="2073">
        <f>'52)Grünr.+Sonnbl. Biog ex S(a)'!P27</f>
        <v>183.93299999999999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'52)Grünr.+Sonnbl. Biog ex S(a)'!L31-'52)Grünr.+Sonnbl. Biog ex S(a)'!L17</f>
        <v>88.306972599999995</v>
      </c>
      <c r="N20" s="1567">
        <f>'52)Grünr.+Sonnbl. Biog ex S(a)'!N31-'52)Grünr.+Sonnbl. Biog ex S(a)'!N17</f>
        <v>112.39069239999992</v>
      </c>
      <c r="O20" s="1574">
        <f>'52)Grünr.+Sonnbl. Biog ex S(a)'!P31-'52)Grünr.+Sonnbl. Biog ex S(a)'!P17</f>
        <v>128.44650560000025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'52)Grünr.+Sonnbl. Biog ex S(a)'!L37</f>
        <v>95.2</v>
      </c>
      <c r="N21" s="1567">
        <f>'52)Grünr.+Sonnbl. Biog ex S(a)'!N37</f>
        <v>95.2</v>
      </c>
      <c r="O21" s="1574">
        <f>'52)Grünr.+Sonnbl. Biog ex S(a)'!P37</f>
        <v>95.2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'52)Grünr.+Sonnbl. Biog ex S(a)'!L65</f>
        <v>16.327080000000002</v>
      </c>
      <c r="N22" s="1567">
        <f>'52)Grünr.+Sonnbl. Biog ex S(a)'!N65</f>
        <v>20.779919999999997</v>
      </c>
      <c r="O22" s="1574">
        <f>'52)Grünr.+Sonnbl. Biog ex S(a)'!P65</f>
        <v>23.748480000000001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'52)Grünr.+Sonnbl. Biog ex S(a)'!L67</f>
        <v>69.5</v>
      </c>
      <c r="N23" s="1567">
        <f>'52)Grünr.+Sonnbl. Biog ex S(a)'!N67</f>
        <v>69.5</v>
      </c>
      <c r="O23" s="1574">
        <f>'52)Grünr.+Sonnbl. Biog ex S(a)'!P67</f>
        <v>69.5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'52)Grünr.+Sonnbl. Biog ex S(a)'!L42</f>
        <v>418.59935736731353</v>
      </c>
      <c r="N24" s="1567">
        <f>'52)Grünr.+Sonnbl. Biog ex S(a)'!N42</f>
        <v>467.86897328752639</v>
      </c>
      <c r="O24" s="1574">
        <f>'52)Grünr.+Sonnbl. Biog ex S(a)'!P42</f>
        <v>500.71538390100153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'52)Grünr.+Sonnbl. Biog ex S(a)'!L58</f>
        <v>494.38281060000003</v>
      </c>
      <c r="N25" s="1567">
        <f>'52)Grünr.+Sonnbl. Biog ex S(a)'!N58</f>
        <v>575.55630440000004</v>
      </c>
      <c r="O25" s="1574">
        <f>'52)Grünr.+Sonnbl. Biog ex S(a)'!P58</f>
        <v>641.96863359999998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'52)Grünr.+Sonnbl. Biog ex S(a)'!L63</f>
        <v>0</v>
      </c>
      <c r="N26" s="1980">
        <f>'52)Grünr.+Sonnbl. Biog ex S(a)'!N63</f>
        <v>0</v>
      </c>
      <c r="O26" s="1981">
        <f>'52)Grünr.+Sonnbl. Biog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1366.2492205673136</v>
      </c>
      <c r="N27" s="1775">
        <f>SUM(N19:N26)</f>
        <v>1525.2288900875265</v>
      </c>
      <c r="O27" s="2055">
        <f>SUM(O19:O26)</f>
        <v>1643.5120031010017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-1366.2492205673136</v>
      </c>
      <c r="N28" s="2060">
        <f>-N27</f>
        <v>-1525.2288900875265</v>
      </c>
      <c r="O28" s="2061">
        <f>-O27</f>
        <v>-1643.5120031010017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M27*'52)Grünr.+Sonnbl. Biog ex S(a)'!$L$70*'52)Grünr.+Sonnbl. Biog ex S(a)'!$P$70/12/100</f>
        <v>8.5390576285457112</v>
      </c>
      <c r="N30" s="1980">
        <f>N27*'52)Grünr.+Sonnbl. Biog ex S(a)'!$L$70*'52)Grünr.+Sonnbl. Biog ex S(a)'!$P$70/12/100</f>
        <v>9.5326805630470393</v>
      </c>
      <c r="O30" s="1981">
        <f>O27*'52)Grünr.+Sonnbl. Biog ex S(a)'!$L$70*'52)Grünr.+Sonnbl. Biog ex S(a)'!$P$70/12/100</f>
        <v>10.271950019381258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-1104.7882781958592</v>
      </c>
      <c r="N31" s="1769">
        <f>N28+N29-N30</f>
        <v>-1264.7615706505735</v>
      </c>
      <c r="O31" s="1776">
        <f>O28+O29-O30</f>
        <v>-1383.7839531203829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-0.40599603047055288</v>
      </c>
      <c r="N32" s="1561">
        <f>IF(N12=0,0,N31/N12)</f>
        <v>-0.36518761496210966</v>
      </c>
      <c r="O32" s="2047">
        <f>IF(O12=0,0,O31/O12)</f>
        <v>-0.34960990003243558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-11.277667513070915</v>
      </c>
      <c r="N33" s="1576">
        <f>IF(N13=0,0,N31/N13)</f>
        <v>-10.144100415614156</v>
      </c>
      <c r="O33" s="2052">
        <f>IF(O13=0,0,O31/O13)</f>
        <v>-9.7113861120121001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'52)Grünr.+Sonnbl. Biog ex S(a)'!K57</f>
        <v>23.98836</v>
      </c>
      <c r="N35" s="2396">
        <f>'52)Grünr.+Sonnbl. Biog ex S(a)'!M57</f>
        <v>26.27064</v>
      </c>
      <c r="O35" s="2398">
        <f>'52)Grünr.+Sonnbl. Biog ex S(a)'!O57</f>
        <v>27.792159999999999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'52)Grünr.+Sonnbl. Biog ex S(a)'!L10</f>
        <v>59.714285714285708</v>
      </c>
      <c r="N36" s="2431">
        <f>'52)Grünr.+Sonnbl. Biog ex S(a)'!N10</f>
        <v>76</v>
      </c>
      <c r="O36" s="2432">
        <f>'52)Grünr.+Sonnbl. Biog ex S(a)'!P10</f>
        <v>86.857142857142847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419.79629999999997</v>
      </c>
      <c r="N37" s="1567">
        <f>$J$37*N35</f>
        <v>459.7362</v>
      </c>
      <c r="O37" s="1574">
        <f>$J$37*O35</f>
        <v>486.36279999999999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290.16166666666663</v>
      </c>
      <c r="N38" s="2433">
        <f>N36*$I$36</f>
        <v>369.29666666666668</v>
      </c>
      <c r="O38" s="2429">
        <f>O36*$I$36</f>
        <v>422.05333333333328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1692.7011107175924</v>
      </c>
      <c r="N43" s="1991">
        <f>SUM(N37:N42)</f>
        <v>1501.7760107175925</v>
      </c>
      <c r="O43" s="1994">
        <f>SUM(O37:O42)</f>
        <v>1581.1592773842592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3067.4893889134519</v>
      </c>
      <c r="N46" s="2041">
        <f>N27+N30+N43</f>
        <v>3036.5375813681658</v>
      </c>
      <c r="O46" s="2080">
        <f>O27+O30+O43</f>
        <v>3234.9432305046421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-3067.4893889134519</v>
      </c>
      <c r="N47" s="2227">
        <f>N45-N46</f>
        <v>-3036.5375813681658</v>
      </c>
      <c r="O47" s="2228">
        <f>O45-O46</f>
        <v>-3234.9432305046421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-2797.4893889134519</v>
      </c>
      <c r="N49" s="1991">
        <f>N47+N48</f>
        <v>-2766.5375813681658</v>
      </c>
      <c r="O49" s="1994">
        <f>O47+O48</f>
        <v>-2964.9432305046421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2797.4893889134519</v>
      </c>
      <c r="N51" s="1771">
        <f>N46-N48</f>
        <v>2766.5375813681658</v>
      </c>
      <c r="O51" s="3358">
        <f>O46-O48</f>
        <v>2964.9432305046421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7.7720032413091733</v>
      </c>
      <c r="N52" s="2335">
        <f>IF(N10=0,0,N$51/N10)</f>
        <v>6.0390100005611185</v>
      </c>
      <c r="O52" s="2336">
        <f>IF(O10=0,0,O$51/O10)</f>
        <v>5.663091908858612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28.785197190033976</v>
      </c>
      <c r="N53" s="2335">
        <f>IF(N9=0,0,N$51/N9)</f>
        <v>22.366703705781923</v>
      </c>
      <c r="O53" s="2336">
        <f>IF(O9=0,0,O$51/O9)</f>
        <v>20.974414477254115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54.404022689164215</v>
      </c>
      <c r="N54" s="2335">
        <f t="shared" si="3"/>
        <v>42.273070003927835</v>
      </c>
      <c r="O54" s="2336">
        <f t="shared" si="3"/>
        <v>39.641643362010285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1.0280427567869275</v>
      </c>
      <c r="N55" s="2219">
        <f t="shared" si="3"/>
        <v>0.79881084663506863</v>
      </c>
      <c r="O55" s="2220">
        <f t="shared" si="3"/>
        <v>0.74908623133050412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28.556743244081325</v>
      </c>
      <c r="N56" s="2219">
        <f>IF(N13=0,0,N$51/N13)</f>
        <v>22.18919018430746</v>
      </c>
      <c r="O56" s="2220">
        <f>IF(O13=0,0,O$51/O13)</f>
        <v>20.807950870291783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0.28556743244081317</v>
      </c>
      <c r="N57" s="2222">
        <f>N51/$N$12*10/$F$57</f>
        <v>0.22189190184307461</v>
      </c>
      <c r="O57" s="2223">
        <f>O51/$O$12*10/$F$57</f>
        <v>0.2080795087029178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2507.327722246785</v>
      </c>
      <c r="N58" s="1769">
        <f>N51-N38</f>
        <v>2397.2409147014992</v>
      </c>
      <c r="O58" s="1776">
        <f>O51-O38</f>
        <v>2542.8898971713088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25.799534107596696</v>
      </c>
      <c r="N59" s="3416">
        <f>N58/N9</f>
        <v>19.381040623344646</v>
      </c>
      <c r="O59" s="3417">
        <f>O58/O9</f>
        <v>17.988751394816841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0.92141193241416763</v>
      </c>
      <c r="N60" s="2130">
        <f>IF(N12=0,0,N$58/N12)</f>
        <v>0.69218002226230879</v>
      </c>
      <c r="O60" s="2217">
        <f>IF(O12=0,0,O$58/O12)</f>
        <v>0.64245540695774428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0.25594775900393546</v>
      </c>
      <c r="N61" s="2130">
        <f>N58/$N$12*10/$F$57</f>
        <v>0.1922722284061969</v>
      </c>
      <c r="O61" s="3422">
        <f>O58/$O$12*10/$F$57</f>
        <v>0.17845983526604009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25.59477590039355</v>
      </c>
      <c r="N62" s="1874">
        <f>IF(N13=0,0,N$58/N13)</f>
        <v>19.227222840619689</v>
      </c>
      <c r="O62" s="2032">
        <f>IF(O13=0,0,O$58/O13)</f>
        <v>17.845983526604009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461.80611022854572</v>
      </c>
      <c r="N64" s="1772">
        <f>SUM(N19:N23)+N30</f>
        <v>491.33629296304696</v>
      </c>
      <c r="O64" s="1773">
        <f>SUM(O19:O23)+O30</f>
        <v>511.09993561938154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0.16970803483361838</v>
      </c>
      <c r="N65" s="2031">
        <f>IF(N12=0,0,N64/N12)</f>
        <v>0.14186858071533875</v>
      </c>
      <c r="O65" s="2032">
        <f>IF(O12=0,0,O64/O12)</f>
        <v>0.12912824794329106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1856.9712279384523</v>
      </c>
      <c r="N66" s="2038">
        <f>N24+N25+N26+N39+N37</f>
        <v>1978.0846217384524</v>
      </c>
      <c r="O66" s="2039">
        <f>O24+O25+O26+O39+O37</f>
        <v>2103.9699615519276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0.682413963037525</v>
      </c>
      <c r="N67" s="2168">
        <f>IF(N12=0,0,N66/N12)</f>
        <v>0.5711527152381104</v>
      </c>
      <c r="O67" s="2187">
        <f>IF(O12=0,0,O66/O12)</f>
        <v>0.53156327349420107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Aulendorf&amp;C&amp;12 123&amp;9
&amp;R&amp;12&amp;F
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AQ132"/>
  <sheetViews>
    <sheetView showGridLines="0" showZeros="0" zoomScaleNormal="100" zoomScaleSheetLayoutView="75" workbookViewId="0">
      <selection activeCell="O52" sqref="O52"/>
    </sheetView>
  </sheetViews>
  <sheetFormatPr baseColWidth="10" defaultColWidth="11.42578125" defaultRowHeight="12.75" x14ac:dyDescent="0.2"/>
  <cols>
    <col min="1" max="1" width="2" style="8" customWidth="1"/>
    <col min="2" max="2" width="6.85546875" style="8" customWidth="1"/>
    <col min="3" max="3" width="1" style="7" customWidth="1"/>
    <col min="4" max="4" width="12.42578125" style="7" customWidth="1"/>
    <col min="5" max="5" width="7.42578125" style="7" customWidth="1"/>
    <col min="6" max="6" width="10.85546875" style="7" customWidth="1"/>
    <col min="7" max="7" width="7.7109375" style="7" customWidth="1"/>
    <col min="8" max="8" width="12.85546875" style="41" customWidth="1"/>
    <col min="9" max="9" width="10.7109375" style="41" customWidth="1"/>
    <col min="10" max="10" width="9.7109375" style="41" customWidth="1"/>
    <col min="11" max="11" width="10.5703125" style="41" customWidth="1"/>
    <col min="12" max="12" width="10" style="41" customWidth="1"/>
    <col min="13" max="15" width="7.7109375" style="41" customWidth="1"/>
    <col min="16" max="16" width="11" customWidth="1"/>
    <col min="17" max="17" width="22" style="7" customWidth="1"/>
    <col min="18" max="18" width="9.85546875" style="7" customWidth="1"/>
    <col min="19" max="16384" width="11.42578125" style="8"/>
  </cols>
  <sheetData>
    <row r="1" spans="1:43" s="3723" customFormat="1" ht="50.25" customHeight="1" x14ac:dyDescent="0.2">
      <c r="A1" s="542"/>
      <c r="B1" s="3716"/>
      <c r="C1" s="3716"/>
      <c r="D1" s="3716"/>
      <c r="E1" s="3716"/>
      <c r="F1" s="3722"/>
      <c r="H1" s="3755" t="s">
        <v>1657</v>
      </c>
      <c r="I1" s="3722"/>
      <c r="J1" s="3717"/>
      <c r="K1" s="3720"/>
      <c r="L1" s="3717"/>
      <c r="M1" s="3720"/>
      <c r="N1" s="3717"/>
      <c r="O1" s="7"/>
      <c r="P1" s="7"/>
      <c r="Q1" s="7"/>
      <c r="R1" s="7"/>
    </row>
    <row r="2" spans="1:43" ht="40.5" customHeight="1" x14ac:dyDescent="0.2">
      <c r="A2" s="3551"/>
      <c r="B2" s="3704"/>
      <c r="C2" s="3704"/>
      <c r="D2" s="3704"/>
      <c r="E2" s="3704"/>
      <c r="F2" s="8"/>
      <c r="G2" s="3707"/>
      <c r="H2" s="4262"/>
      <c r="I2" s="4262"/>
      <c r="J2" s="4262"/>
      <c r="K2" s="4262"/>
      <c r="L2" s="3708"/>
      <c r="M2" s="3708"/>
      <c r="N2" s="3706"/>
      <c r="O2" s="8"/>
      <c r="P2" s="8"/>
      <c r="Q2" s="8"/>
    </row>
    <row r="3" spans="1:43" ht="29.25" customHeight="1" x14ac:dyDescent="0.2">
      <c r="A3" s="42"/>
      <c r="B3" s="1398" t="s">
        <v>794</v>
      </c>
      <c r="C3" s="1399"/>
      <c r="D3" s="400"/>
      <c r="E3" s="1399"/>
      <c r="F3" s="1399"/>
      <c r="G3" s="1399"/>
      <c r="H3" s="400"/>
      <c r="I3" s="400"/>
      <c r="J3" s="400"/>
      <c r="K3" s="400"/>
      <c r="L3" s="400"/>
      <c r="M3" s="1400"/>
      <c r="N3"/>
      <c r="O3"/>
    </row>
    <row r="4" spans="1:43" ht="21.2" customHeight="1" x14ac:dyDescent="0.2">
      <c r="A4" s="42"/>
      <c r="B4" s="1401" t="s">
        <v>493</v>
      </c>
      <c r="D4" s="1402">
        <f>Deckbl!D27</f>
        <v>44635</v>
      </c>
      <c r="E4" s="33"/>
      <c r="F4" s="172"/>
      <c r="G4" s="172"/>
      <c r="H4" s="75" t="s">
        <v>517</v>
      </c>
      <c r="I4" s="172"/>
      <c r="J4" s="172"/>
      <c r="K4" s="172"/>
      <c r="L4" s="492" t="str">
        <f>Ausglleist!AA2</f>
        <v>Futterbau</v>
      </c>
      <c r="M4" s="614"/>
      <c r="N4"/>
      <c r="O4"/>
    </row>
    <row r="5" spans="1:43" ht="30.75" customHeight="1" x14ac:dyDescent="0.2">
      <c r="A5" s="42"/>
      <c r="B5" s="1403"/>
      <c r="C5" s="33"/>
      <c r="D5" s="172"/>
      <c r="E5" s="33"/>
      <c r="F5" s="172"/>
      <c r="G5" s="172"/>
      <c r="H5" s="75" t="s">
        <v>606</v>
      </c>
      <c r="I5" s="172"/>
      <c r="J5" s="172"/>
      <c r="K5" s="172"/>
      <c r="L5" s="72">
        <f>Ausglleist!AA3</f>
        <v>2022</v>
      </c>
      <c r="M5" s="614"/>
      <c r="N5" s="71"/>
      <c r="O5"/>
    </row>
    <row r="6" spans="1:43" ht="18.75" customHeight="1" x14ac:dyDescent="0.2">
      <c r="A6" s="42"/>
      <c r="B6" s="207"/>
      <c r="C6" s="172"/>
      <c r="D6" s="172"/>
      <c r="E6" s="172"/>
      <c r="F6" s="1404"/>
      <c r="G6" s="396" t="s">
        <v>202</v>
      </c>
      <c r="H6" s="1404"/>
      <c r="I6" s="1404"/>
      <c r="J6" s="172"/>
      <c r="K6" s="512" t="s">
        <v>14</v>
      </c>
      <c r="L6" s="677">
        <v>19</v>
      </c>
      <c r="M6" s="614"/>
      <c r="N6"/>
      <c r="O6"/>
      <c r="S6" s="7"/>
      <c r="T6" s="7"/>
      <c r="U6" s="7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</row>
    <row r="7" spans="1:43" ht="18.75" customHeight="1" x14ac:dyDescent="0.2">
      <c r="A7" s="42"/>
      <c r="B7" s="207"/>
      <c r="C7" s="172"/>
      <c r="D7" s="172"/>
      <c r="E7" s="172"/>
      <c r="F7" s="1404"/>
      <c r="G7" s="396"/>
      <c r="H7" s="1404"/>
      <c r="I7" s="1404"/>
      <c r="J7" s="34"/>
      <c r="K7" s="172"/>
      <c r="L7" s="172"/>
      <c r="M7" s="614"/>
      <c r="N7"/>
      <c r="O7"/>
      <c r="S7" s="7"/>
      <c r="T7" s="7"/>
      <c r="U7" s="7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</row>
    <row r="8" spans="1:43" ht="20.25" customHeight="1" x14ac:dyDescent="0.2">
      <c r="A8" s="42"/>
      <c r="B8" s="1405"/>
      <c r="C8" s="1406" t="s">
        <v>795</v>
      </c>
      <c r="D8" s="305"/>
      <c r="E8" s="301"/>
      <c r="F8" s="302"/>
      <c r="G8" s="858"/>
      <c r="H8" s="305"/>
      <c r="I8" s="305"/>
      <c r="J8" s="859"/>
      <c r="K8" s="859"/>
      <c r="L8" s="1407" t="s">
        <v>432</v>
      </c>
      <c r="M8" s="1408"/>
      <c r="N8" s="860"/>
      <c r="O8" s="39"/>
      <c r="S8" s="7"/>
      <c r="T8" s="7"/>
      <c r="U8" s="7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</row>
    <row r="9" spans="1:43" s="51" customFormat="1" ht="15.75" customHeight="1" x14ac:dyDescent="0.2">
      <c r="B9" s="873"/>
      <c r="C9" s="861"/>
      <c r="D9" s="862" t="s">
        <v>796</v>
      </c>
      <c r="E9" s="862"/>
      <c r="F9" s="399">
        <v>3</v>
      </c>
      <c r="G9" s="863"/>
      <c r="H9" s="864" t="s">
        <v>797</v>
      </c>
      <c r="I9" s="865"/>
      <c r="J9" s="583" t="s">
        <v>798</v>
      </c>
      <c r="K9" s="583" t="s">
        <v>111</v>
      </c>
      <c r="L9" s="866" t="s">
        <v>799</v>
      </c>
      <c r="M9" s="1409"/>
      <c r="N9" s="860"/>
      <c r="O9" s="39"/>
      <c r="P9"/>
      <c r="Q9" s="7"/>
      <c r="R9" s="7"/>
      <c r="S9" s="7"/>
      <c r="T9" s="7"/>
      <c r="U9" s="7"/>
    </row>
    <row r="10" spans="1:43" s="51" customFormat="1" ht="15.75" customHeight="1" x14ac:dyDescent="0.2">
      <c r="B10" s="873"/>
      <c r="C10" s="867"/>
      <c r="D10" s="868" t="s">
        <v>800</v>
      </c>
      <c r="E10" s="868"/>
      <c r="F10" s="1007">
        <v>1</v>
      </c>
      <c r="G10" s="869"/>
      <c r="H10" s="870" t="s">
        <v>801</v>
      </c>
      <c r="I10" s="870" t="s">
        <v>802</v>
      </c>
      <c r="J10" s="584" t="s">
        <v>31</v>
      </c>
      <c r="K10" s="584" t="s">
        <v>803</v>
      </c>
      <c r="L10" s="871" t="s">
        <v>803</v>
      </c>
      <c r="M10" s="1409"/>
      <c r="N10" s="860"/>
      <c r="O10" s="39"/>
      <c r="P10"/>
      <c r="Q10" s="7"/>
      <c r="R10" s="7"/>
      <c r="S10" s="7"/>
      <c r="T10" s="7"/>
      <c r="U10" s="7"/>
    </row>
    <row r="11" spans="1:43" s="51" customFormat="1" ht="16.5" customHeight="1" x14ac:dyDescent="0.25">
      <c r="B11" s="873"/>
      <c r="C11" s="867"/>
      <c r="D11" s="2416" t="s">
        <v>804</v>
      </c>
      <c r="E11" s="869"/>
      <c r="F11" s="869"/>
      <c r="G11" s="869"/>
      <c r="H11" s="585" t="s">
        <v>806</v>
      </c>
      <c r="I11" s="585" t="s">
        <v>806</v>
      </c>
      <c r="J11" s="585" t="s">
        <v>103</v>
      </c>
      <c r="K11" s="585" t="s">
        <v>1047</v>
      </c>
      <c r="L11" s="872" t="s">
        <v>806</v>
      </c>
      <c r="M11" s="1409"/>
      <c r="N11" s="860"/>
      <c r="O11" s="39"/>
      <c r="P11"/>
      <c r="Q11" s="7"/>
      <c r="R11" s="7"/>
      <c r="S11" s="7"/>
      <c r="T11" s="7"/>
      <c r="U11" s="7"/>
    </row>
    <row r="12" spans="1:43" s="51" customFormat="1" ht="15" customHeight="1" x14ac:dyDescent="0.2">
      <c r="B12" s="873"/>
      <c r="C12" s="873"/>
      <c r="D12" s="226" t="s">
        <v>58</v>
      </c>
      <c r="E12" s="305"/>
      <c r="F12" s="874"/>
      <c r="G12" s="874"/>
      <c r="H12" s="306">
        <v>70</v>
      </c>
      <c r="I12" s="678">
        <f>H12*(100+$L$6)/100</f>
        <v>83.3</v>
      </c>
      <c r="J12" s="887">
        <v>30</v>
      </c>
      <c r="K12" s="414">
        <f>IF(J12=0,0,100/J12+$F$9/2+$F$10)</f>
        <v>5.8333333333333339</v>
      </c>
      <c r="L12" s="875">
        <f>I12*K12/100</f>
        <v>4.8591666666666669</v>
      </c>
      <c r="M12" s="1409"/>
      <c r="N12" s="304"/>
      <c r="O12" s="39"/>
      <c r="P12"/>
      <c r="Q12" s="7"/>
      <c r="R12" s="7"/>
      <c r="S12" s="7"/>
      <c r="T12" s="7"/>
      <c r="U12" s="7"/>
    </row>
    <row r="13" spans="1:43" s="51" customFormat="1" ht="15" customHeight="1" x14ac:dyDescent="0.2">
      <c r="B13" s="873"/>
      <c r="C13" s="773"/>
      <c r="D13" s="96"/>
      <c r="E13" s="774"/>
      <c r="F13" s="774"/>
      <c r="G13" s="774"/>
      <c r="H13" s="577"/>
      <c r="I13" s="1001">
        <f>H13*(100+$L$6)/100</f>
        <v>0</v>
      </c>
      <c r="J13" s="577"/>
      <c r="K13" s="1003">
        <f>IF(J13=0,0,100/J13+$F$9/2+$F$10)</f>
        <v>0</v>
      </c>
      <c r="L13" s="1004">
        <f>I13*K13/100</f>
        <v>0</v>
      </c>
      <c r="M13" s="1409"/>
      <c r="N13" s="860"/>
      <c r="O13" s="39"/>
      <c r="P13"/>
      <c r="Q13" s="7"/>
      <c r="R13" s="7"/>
      <c r="S13" s="7"/>
      <c r="T13" s="7"/>
      <c r="U13" s="7"/>
    </row>
    <row r="14" spans="1:43" s="550" customFormat="1" ht="16.5" customHeight="1" x14ac:dyDescent="0.2">
      <c r="B14" s="1120"/>
      <c r="C14" s="551"/>
      <c r="D14" s="552" t="s">
        <v>62</v>
      </c>
      <c r="E14" s="200"/>
      <c r="F14" s="200"/>
      <c r="G14" s="200"/>
      <c r="H14" s="307"/>
      <c r="I14" s="307"/>
      <c r="J14" s="553"/>
      <c r="K14" s="394"/>
      <c r="L14" s="836">
        <f>SUM(L12:L13)</f>
        <v>4.8591666666666669</v>
      </c>
      <c r="M14" s="1410"/>
      <c r="N14" s="876"/>
      <c r="O14" s="555"/>
      <c r="P14" s="3778" t="s">
        <v>1750</v>
      </c>
      <c r="Q14" s="542"/>
      <c r="R14" s="542"/>
      <c r="S14" s="542"/>
      <c r="T14" s="542"/>
      <c r="U14" s="542"/>
    </row>
    <row r="15" spans="1:43" ht="11.25" customHeight="1" x14ac:dyDescent="0.2">
      <c r="A15" s="42"/>
      <c r="B15" s="1411"/>
      <c r="C15" s="1412"/>
      <c r="D15" s="172"/>
      <c r="E15" s="33"/>
      <c r="F15" s="1358"/>
      <c r="G15" s="35"/>
      <c r="H15" s="172"/>
      <c r="I15" s="172"/>
      <c r="J15" s="34"/>
      <c r="K15" s="34"/>
      <c r="L15" s="172"/>
      <c r="M15" s="1413"/>
      <c r="N15" s="39"/>
      <c r="O15" s="39"/>
      <c r="S15" s="7"/>
      <c r="T15" s="7"/>
      <c r="U15" s="7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</row>
    <row r="16" spans="1:43" ht="20.25" customHeight="1" x14ac:dyDescent="0.2">
      <c r="A16" s="42"/>
      <c r="B16" s="1411"/>
      <c r="C16" s="1414" t="s">
        <v>795</v>
      </c>
      <c r="D16" s="172"/>
      <c r="E16" s="33"/>
      <c r="F16" s="1358"/>
      <c r="G16" s="35"/>
      <c r="H16" s="172"/>
      <c r="I16" s="172"/>
      <c r="J16" s="34"/>
      <c r="K16" s="34"/>
      <c r="L16" s="903" t="s">
        <v>460</v>
      </c>
      <c r="M16" s="1413"/>
      <c r="N16" s="39"/>
      <c r="O16" s="39"/>
      <c r="S16" s="7"/>
      <c r="T16" s="7"/>
      <c r="U16" s="7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</row>
    <row r="17" spans="1:43" s="51" customFormat="1" ht="15.75" customHeight="1" x14ac:dyDescent="0.2">
      <c r="B17" s="52"/>
      <c r="C17" s="397"/>
      <c r="D17" s="398" t="s">
        <v>796</v>
      </c>
      <c r="E17" s="398"/>
      <c r="F17" s="399">
        <f>'Preise-Stammdaten'!$N$28</f>
        <v>2.5</v>
      </c>
      <c r="G17" s="405"/>
      <c r="H17" s="410" t="s">
        <v>797</v>
      </c>
      <c r="I17" s="411"/>
      <c r="J17" s="401" t="s">
        <v>63</v>
      </c>
      <c r="K17" s="401" t="s">
        <v>111</v>
      </c>
      <c r="L17" s="402" t="s">
        <v>799</v>
      </c>
      <c r="M17" s="614"/>
      <c r="N17" s="39"/>
      <c r="O17" s="39"/>
      <c r="P17"/>
      <c r="Q17" s="7"/>
      <c r="R17" s="7"/>
      <c r="S17" s="7"/>
      <c r="T17" s="7"/>
      <c r="U17" s="7"/>
    </row>
    <row r="18" spans="1:43" s="51" customFormat="1" ht="15.75" customHeight="1" x14ac:dyDescent="0.2">
      <c r="B18" s="52"/>
      <c r="C18" s="76"/>
      <c r="D18" s="84" t="s">
        <v>800</v>
      </c>
      <c r="E18" s="84"/>
      <c r="F18" s="88">
        <v>1</v>
      </c>
      <c r="G18" s="351"/>
      <c r="H18" s="581" t="s">
        <v>801</v>
      </c>
      <c r="I18" s="581" t="s">
        <v>802</v>
      </c>
      <c r="J18" s="395" t="s">
        <v>31</v>
      </c>
      <c r="K18" s="395" t="s">
        <v>803</v>
      </c>
      <c r="L18" s="403" t="s">
        <v>803</v>
      </c>
      <c r="M18" s="614"/>
      <c r="N18" s="39"/>
      <c r="O18" s="39"/>
      <c r="P18"/>
      <c r="Q18" s="7"/>
      <c r="R18" s="7"/>
      <c r="S18" s="7"/>
      <c r="T18" s="7"/>
      <c r="U18" s="7"/>
    </row>
    <row r="19" spans="1:43" s="51" customFormat="1" ht="16.5" customHeight="1" x14ac:dyDescent="0.2">
      <c r="B19" s="52"/>
      <c r="C19" s="76"/>
      <c r="D19" s="83" t="s">
        <v>804</v>
      </c>
      <c r="E19" s="351"/>
      <c r="F19" s="351"/>
      <c r="G19" s="351"/>
      <c r="H19" s="86" t="s">
        <v>806</v>
      </c>
      <c r="I19" s="86" t="s">
        <v>64</v>
      </c>
      <c r="J19" s="86" t="s">
        <v>103</v>
      </c>
      <c r="K19" s="86" t="s">
        <v>1047</v>
      </c>
      <c r="L19" s="404" t="s">
        <v>806</v>
      </c>
      <c r="M19" s="614"/>
      <c r="N19" s="39"/>
      <c r="O19" s="39"/>
      <c r="P19"/>
      <c r="Q19" s="7"/>
      <c r="R19" s="7"/>
      <c r="S19" s="7"/>
      <c r="T19" s="7"/>
      <c r="U19" s="7"/>
    </row>
    <row r="20" spans="1:43" s="51" customFormat="1" ht="15" customHeight="1" x14ac:dyDescent="0.2">
      <c r="B20" s="52"/>
      <c r="C20" s="52"/>
      <c r="D20" s="226" t="s">
        <v>65</v>
      </c>
      <c r="E20" s="172"/>
      <c r="F20" s="50"/>
      <c r="G20" s="50"/>
      <c r="H20" s="412">
        <v>35</v>
      </c>
      <c r="I20" s="2543">
        <f>H20*(100+$L$6)/100</f>
        <v>41.65</v>
      </c>
      <c r="J20" s="306">
        <v>30</v>
      </c>
      <c r="K20" s="414">
        <f>IF(J20=0,0,100/J20+$F$17/2+$F$18)</f>
        <v>5.5833333333333339</v>
      </c>
      <c r="L20" s="837">
        <f>I20*K20/100</f>
        <v>2.3254583333333336</v>
      </c>
      <c r="M20" s="614"/>
      <c r="N20" s="39"/>
      <c r="O20" s="835"/>
      <c r="P20"/>
      <c r="Q20" s="7"/>
      <c r="R20" s="7"/>
      <c r="S20" s="7"/>
      <c r="T20" s="7"/>
      <c r="U20" s="7"/>
    </row>
    <row r="21" spans="1:43" s="51" customFormat="1" ht="15" customHeight="1" x14ac:dyDescent="0.2">
      <c r="B21" s="52"/>
      <c r="C21" s="52"/>
      <c r="D21" s="226" t="s">
        <v>66</v>
      </c>
      <c r="E21" s="50"/>
      <c r="F21" s="50"/>
      <c r="G21" s="50"/>
      <c r="H21" s="412">
        <v>8</v>
      </c>
      <c r="I21" s="678">
        <f>H21*(100+$L$6)/100</f>
        <v>9.52</v>
      </c>
      <c r="J21" s="306">
        <v>20</v>
      </c>
      <c r="K21" s="414">
        <f>IF(J21=0,0,100/J21+$F$17/2+$F$18)</f>
        <v>7.25</v>
      </c>
      <c r="L21" s="837">
        <f>I21*K21/100</f>
        <v>0.69019999999999992</v>
      </c>
      <c r="M21" s="614"/>
      <c r="N21" s="39"/>
      <c r="O21" s="39"/>
      <c r="P21"/>
      <c r="Q21" s="7"/>
      <c r="R21" s="7"/>
      <c r="S21" s="7"/>
      <c r="T21" s="7"/>
      <c r="U21" s="7"/>
    </row>
    <row r="22" spans="1:43" s="51" customFormat="1" ht="15" customHeight="1" x14ac:dyDescent="0.2">
      <c r="B22" s="52"/>
      <c r="C22" s="76"/>
      <c r="D22" s="406"/>
      <c r="E22" s="407"/>
      <c r="F22" s="407"/>
      <c r="G22" s="407"/>
      <c r="H22" s="413"/>
      <c r="I22" s="679">
        <f>H22*(100+$L$6)/100</f>
        <v>0</v>
      </c>
      <c r="J22" s="408"/>
      <c r="K22" s="415">
        <f>IF(J22=0,0,100/J22+$F$17/2+$F$18)</f>
        <v>0</v>
      </c>
      <c r="L22" s="409">
        <f>I22*K22/100</f>
        <v>0</v>
      </c>
      <c r="M22" s="614"/>
      <c r="N22" s="39"/>
      <c r="O22" s="39"/>
      <c r="P22"/>
      <c r="Q22" s="7"/>
      <c r="R22" s="7"/>
      <c r="S22" s="7"/>
      <c r="T22" s="7"/>
      <c r="U22" s="7"/>
    </row>
    <row r="23" spans="1:43" s="550" customFormat="1" ht="16.5" customHeight="1" x14ac:dyDescent="0.2">
      <c r="B23" s="1120"/>
      <c r="C23" s="551"/>
      <c r="D23" s="552" t="s">
        <v>62</v>
      </c>
      <c r="E23" s="200"/>
      <c r="F23" s="200"/>
      <c r="G23" s="200"/>
      <c r="H23" s="307"/>
      <c r="I23" s="307"/>
      <c r="J23" s="553"/>
      <c r="K23" s="394"/>
      <c r="L23" s="836">
        <f>SUM(L20:L22)</f>
        <v>3.0156583333333336</v>
      </c>
      <c r="M23" s="1410"/>
      <c r="N23" s="555"/>
      <c r="O23" s="555"/>
      <c r="P23" s="3836" t="s">
        <v>1760</v>
      </c>
      <c r="Q23" s="542"/>
      <c r="R23" s="542"/>
      <c r="S23" s="542"/>
      <c r="T23" s="542"/>
      <c r="U23" s="542"/>
    </row>
    <row r="24" spans="1:43" ht="11.25" customHeight="1" x14ac:dyDescent="0.2">
      <c r="A24" s="42"/>
      <c r="B24" s="1411"/>
      <c r="C24" s="1412"/>
      <c r="D24" s="172"/>
      <c r="E24" s="33"/>
      <c r="F24" s="1358"/>
      <c r="G24" s="35"/>
      <c r="H24" s="172"/>
      <c r="I24" s="172"/>
      <c r="J24" s="34"/>
      <c r="K24" s="34"/>
      <c r="L24" s="172"/>
      <c r="M24" s="1413"/>
      <c r="N24" s="39"/>
      <c r="O24" s="39"/>
      <c r="S24" s="7"/>
      <c r="T24" s="7"/>
      <c r="U24" s="7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</row>
    <row r="25" spans="1:43" ht="11.25" customHeight="1" x14ac:dyDescent="0.2">
      <c r="A25" s="42"/>
      <c r="B25" s="1411"/>
      <c r="C25" s="1412"/>
      <c r="D25" s="172"/>
      <c r="E25" s="33"/>
      <c r="F25" s="1358"/>
      <c r="G25" s="35"/>
      <c r="H25" s="172"/>
      <c r="I25" s="172"/>
      <c r="J25" s="34"/>
      <c r="K25" s="34"/>
      <c r="L25" s="172"/>
      <c r="M25" s="1413"/>
      <c r="N25" s="39"/>
      <c r="O25" s="39"/>
      <c r="S25" s="7"/>
      <c r="T25" s="7"/>
      <c r="U25" s="7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</row>
    <row r="26" spans="1:43" ht="11.25" customHeight="1" x14ac:dyDescent="0.2">
      <c r="A26" s="42"/>
      <c r="B26" s="1411"/>
      <c r="C26" s="1412"/>
      <c r="D26" s="172"/>
      <c r="E26" s="33"/>
      <c r="F26" s="1358"/>
      <c r="G26" s="35"/>
      <c r="H26" s="172"/>
      <c r="I26" s="172"/>
      <c r="J26" s="34"/>
      <c r="K26" s="34"/>
      <c r="L26" s="172"/>
      <c r="M26" s="1413"/>
      <c r="N26" s="39"/>
      <c r="O26" s="39"/>
      <c r="S26" s="7"/>
      <c r="T26" s="7"/>
      <c r="U26" s="7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</row>
    <row r="27" spans="1:43" ht="21.2" customHeight="1" x14ac:dyDescent="0.2">
      <c r="A27" s="42"/>
      <c r="B27" s="1411"/>
      <c r="C27" s="1414" t="s">
        <v>795</v>
      </c>
      <c r="D27" s="172"/>
      <c r="E27" s="33"/>
      <c r="F27" s="1358"/>
      <c r="G27" s="35"/>
      <c r="H27" s="172"/>
      <c r="I27" s="172"/>
      <c r="J27" s="34"/>
      <c r="K27" s="34"/>
      <c r="L27" s="1361" t="s">
        <v>1756</v>
      </c>
      <c r="M27" s="1413"/>
      <c r="N27" s="39"/>
      <c r="O27" s="39"/>
      <c r="S27" s="7"/>
      <c r="T27" s="7"/>
      <c r="U27" s="7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</row>
    <row r="28" spans="1:43" ht="16.5" customHeight="1" x14ac:dyDescent="0.2">
      <c r="A28" s="42"/>
      <c r="B28" s="52"/>
      <c r="C28" s="397"/>
      <c r="D28" s="398" t="s">
        <v>796</v>
      </c>
      <c r="E28" s="398"/>
      <c r="F28" s="399">
        <f>'Preise-Stammdaten'!$N$28</f>
        <v>2.5</v>
      </c>
      <c r="G28" s="405"/>
      <c r="H28" s="410" t="s">
        <v>797</v>
      </c>
      <c r="I28" s="411"/>
      <c r="J28" s="401" t="s">
        <v>798</v>
      </c>
      <c r="K28" s="401" t="s">
        <v>111</v>
      </c>
      <c r="L28" s="402" t="s">
        <v>799</v>
      </c>
      <c r="M28" s="614"/>
      <c r="N28" s="39"/>
      <c r="O28" s="39"/>
      <c r="S28" s="7"/>
      <c r="T28" s="7"/>
      <c r="U28" s="7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</row>
    <row r="29" spans="1:43" ht="16.5" customHeight="1" x14ac:dyDescent="0.2">
      <c r="A29" s="42"/>
      <c r="B29" s="52"/>
      <c r="C29" s="76"/>
      <c r="D29" s="84" t="s">
        <v>800</v>
      </c>
      <c r="E29" s="84"/>
      <c r="F29" s="88">
        <v>1</v>
      </c>
      <c r="G29" s="351"/>
      <c r="H29" s="581" t="s">
        <v>801</v>
      </c>
      <c r="I29" s="581" t="s">
        <v>802</v>
      </c>
      <c r="J29" s="395" t="s">
        <v>31</v>
      </c>
      <c r="K29" s="395" t="s">
        <v>803</v>
      </c>
      <c r="L29" s="403" t="s">
        <v>803</v>
      </c>
      <c r="M29" s="614"/>
      <c r="N29" s="39"/>
      <c r="O29" s="39"/>
      <c r="S29" s="7"/>
      <c r="T29" s="7"/>
      <c r="U29" s="7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</row>
    <row r="30" spans="1:43" ht="16.5" customHeight="1" x14ac:dyDescent="0.2">
      <c r="A30" s="42"/>
      <c r="B30" s="52"/>
      <c r="C30" s="76"/>
      <c r="D30" s="83" t="s">
        <v>804</v>
      </c>
      <c r="E30" s="351"/>
      <c r="F30" s="351"/>
      <c r="G30" s="351"/>
      <c r="H30" s="86" t="s">
        <v>64</v>
      </c>
      <c r="I30" s="86" t="s">
        <v>64</v>
      </c>
      <c r="J30" s="86" t="s">
        <v>103</v>
      </c>
      <c r="K30" s="86" t="s">
        <v>1047</v>
      </c>
      <c r="L30" s="404" t="s">
        <v>64</v>
      </c>
      <c r="M30" s="614"/>
      <c r="N30" s="39"/>
      <c r="O30" s="39"/>
      <c r="S30" s="7"/>
      <c r="T30" s="7"/>
      <c r="U30" s="7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</row>
    <row r="31" spans="1:43" ht="13.9" customHeight="1" x14ac:dyDescent="0.2">
      <c r="A31" s="42"/>
      <c r="B31" s="52"/>
      <c r="C31" s="52"/>
      <c r="D31" s="3834" t="s">
        <v>1755</v>
      </c>
      <c r="E31" s="172"/>
      <c r="F31" s="50"/>
      <c r="G31" s="50"/>
      <c r="H31" s="3838">
        <v>140</v>
      </c>
      <c r="I31" s="2544">
        <f>H31*(100+$L$6)/100</f>
        <v>166.6</v>
      </c>
      <c r="J31" s="306">
        <v>30</v>
      </c>
      <c r="K31" s="414">
        <f>IF(J31=0,0,100/J31+$F$17/2+$F$18)</f>
        <v>5.5833333333333339</v>
      </c>
      <c r="L31" s="837">
        <f>I31*K31/100</f>
        <v>9.3018333333333345</v>
      </c>
      <c r="M31" s="614"/>
      <c r="N31" s="39"/>
      <c r="O31" s="39"/>
      <c r="S31" s="7"/>
      <c r="T31" s="7"/>
      <c r="U31" s="7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</row>
    <row r="32" spans="1:43" ht="14.25" customHeight="1" x14ac:dyDescent="0.2">
      <c r="A32" s="42"/>
      <c r="B32" s="52"/>
      <c r="C32" s="53"/>
      <c r="D32" s="3835"/>
      <c r="E32" s="54"/>
      <c r="F32" s="54"/>
      <c r="G32" s="54"/>
      <c r="H32" s="1005"/>
      <c r="I32" s="1001">
        <f>H32*(100+$L$6)/100</f>
        <v>0</v>
      </c>
      <c r="J32" s="577"/>
      <c r="K32" s="1003">
        <f>IF(J32=0,0,100/J32+$F$17/2+$F$18)</f>
        <v>0</v>
      </c>
      <c r="L32" s="1006">
        <f>I32*K32/100</f>
        <v>0</v>
      </c>
      <c r="M32" s="614"/>
      <c r="N32" s="39"/>
      <c r="O32" s="39"/>
      <c r="S32" s="7"/>
      <c r="T32" s="7"/>
      <c r="U32" s="7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</row>
    <row r="33" spans="1:43" ht="20.25" customHeight="1" x14ac:dyDescent="0.2">
      <c r="A33" s="42"/>
      <c r="B33" s="1120"/>
      <c r="C33" s="551"/>
      <c r="D33" s="552" t="s">
        <v>865</v>
      </c>
      <c r="E33" s="200"/>
      <c r="F33" s="200"/>
      <c r="G33" s="200"/>
      <c r="H33" s="307"/>
      <c r="I33" s="307"/>
      <c r="J33" s="553"/>
      <c r="K33" s="394"/>
      <c r="L33" s="836">
        <f>SUM(L31:L32)</f>
        <v>9.3018333333333345</v>
      </c>
      <c r="M33" s="1410"/>
      <c r="N33" s="39"/>
      <c r="O33" s="39"/>
      <c r="P33" s="3778" t="s">
        <v>1759</v>
      </c>
      <c r="S33" s="7"/>
      <c r="T33" s="7"/>
      <c r="U33" s="7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</row>
    <row r="34" spans="1:43" s="906" customFormat="1" ht="11.25" customHeight="1" x14ac:dyDescent="0.2">
      <c r="A34" s="902"/>
      <c r="B34" s="1411"/>
      <c r="C34" s="1412"/>
      <c r="D34" s="172"/>
      <c r="E34" s="33"/>
      <c r="F34" s="1358"/>
      <c r="G34" s="35"/>
      <c r="H34" s="172"/>
      <c r="I34" s="172"/>
      <c r="J34" s="34"/>
      <c r="K34" s="34"/>
      <c r="L34" s="172"/>
      <c r="M34" s="1413"/>
      <c r="N34" s="903"/>
      <c r="O34" s="903"/>
      <c r="P34" s="895"/>
      <c r="Q34" s="904"/>
      <c r="R34" s="904"/>
      <c r="S34" s="904"/>
      <c r="T34" s="904"/>
      <c r="U34" s="904"/>
      <c r="V34" s="905"/>
      <c r="W34" s="905"/>
      <c r="X34" s="905"/>
      <c r="Y34" s="905"/>
      <c r="Z34" s="905"/>
      <c r="AA34" s="905"/>
      <c r="AB34" s="905"/>
      <c r="AC34" s="905"/>
      <c r="AD34" s="905"/>
      <c r="AE34" s="905"/>
      <c r="AF34" s="905"/>
      <c r="AG34" s="905"/>
      <c r="AH34" s="905"/>
      <c r="AI34" s="905"/>
      <c r="AJ34" s="905"/>
      <c r="AK34" s="905"/>
      <c r="AL34" s="905"/>
      <c r="AM34" s="905"/>
      <c r="AN34" s="905"/>
      <c r="AO34" s="905"/>
      <c r="AP34" s="905"/>
      <c r="AQ34" s="905"/>
    </row>
    <row r="35" spans="1:43" ht="20.25" customHeight="1" x14ac:dyDescent="0.2">
      <c r="A35" s="42"/>
      <c r="B35" s="52"/>
      <c r="C35" s="50"/>
      <c r="D35" s="50"/>
      <c r="E35" s="50"/>
      <c r="F35" s="50"/>
      <c r="G35" s="50"/>
      <c r="H35" s="50"/>
      <c r="I35" s="50"/>
      <c r="J35" s="50"/>
      <c r="K35" s="172"/>
      <c r="L35" s="172"/>
      <c r="M35" s="179"/>
      <c r="N35" s="39"/>
      <c r="O35" s="39"/>
      <c r="S35" s="7"/>
      <c r="T35" s="7"/>
      <c r="U35" s="7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</row>
    <row r="36" spans="1:43" ht="20.25" customHeight="1" x14ac:dyDescent="0.2">
      <c r="A36" s="42"/>
      <c r="B36" s="52"/>
      <c r="C36" s="50"/>
      <c r="D36" s="50"/>
      <c r="E36" s="50"/>
      <c r="F36" s="50"/>
      <c r="G36" s="51"/>
      <c r="H36" s="1412" t="s">
        <v>71</v>
      </c>
      <c r="I36" s="50"/>
      <c r="J36" s="50"/>
      <c r="K36" s="50"/>
      <c r="L36" s="50"/>
      <c r="M36" s="179"/>
      <c r="N36" s="39"/>
      <c r="O36" s="39"/>
      <c r="S36" s="7"/>
      <c r="T36" s="7"/>
      <c r="U36" s="7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</row>
    <row r="37" spans="1:43" ht="8.4499999999999993" customHeight="1" x14ac:dyDescent="0.2">
      <c r="A37" s="42"/>
      <c r="B37" s="52"/>
      <c r="C37" s="50"/>
      <c r="D37" s="50"/>
      <c r="E37" s="50"/>
      <c r="F37" s="50"/>
      <c r="G37" s="51"/>
      <c r="H37" s="1412"/>
      <c r="I37" s="50"/>
      <c r="J37" s="50"/>
      <c r="K37" s="50"/>
      <c r="L37" s="50"/>
      <c r="M37" s="179"/>
      <c r="N37" s="39"/>
      <c r="O37" s="39"/>
      <c r="S37" s="7"/>
      <c r="T37" s="7"/>
      <c r="U37" s="7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</row>
    <row r="38" spans="1:43" ht="20.25" customHeight="1" x14ac:dyDescent="0.2">
      <c r="A38" s="42"/>
      <c r="B38" s="52"/>
      <c r="C38" s="50"/>
      <c r="D38" s="3361" t="s">
        <v>69</v>
      </c>
      <c r="E38" s="50"/>
      <c r="F38" s="50"/>
      <c r="G38" s="51"/>
      <c r="H38" s="4263" t="s">
        <v>1751</v>
      </c>
      <c r="I38" s="4264"/>
      <c r="J38" s="3362" t="s">
        <v>73</v>
      </c>
      <c r="K38" s="3362" t="s">
        <v>673</v>
      </c>
      <c r="L38" s="3363" t="s">
        <v>74</v>
      </c>
      <c r="M38" s="179"/>
      <c r="N38" s="39"/>
      <c r="O38" s="39"/>
      <c r="S38" s="7"/>
      <c r="T38" s="7"/>
      <c r="U38" s="7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</row>
    <row r="39" spans="1:43" ht="20.25" customHeight="1" x14ac:dyDescent="0.2">
      <c r="A39" s="42"/>
      <c r="B39" s="52"/>
      <c r="C39" s="50"/>
      <c r="D39" s="51"/>
      <c r="E39" s="50"/>
      <c r="F39" s="50"/>
      <c r="G39" s="3837"/>
      <c r="H39" s="397"/>
      <c r="I39" s="3364" t="s">
        <v>266</v>
      </c>
      <c r="J39" s="3365">
        <v>210</v>
      </c>
      <c r="K39" s="3365">
        <v>90</v>
      </c>
      <c r="L39" s="3366">
        <v>310</v>
      </c>
      <c r="M39" s="179"/>
      <c r="N39" s="39"/>
      <c r="O39" s="39"/>
      <c r="P39" s="3778" t="s">
        <v>1758</v>
      </c>
      <c r="S39" s="7"/>
      <c r="T39" s="7"/>
      <c r="U39" s="7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</row>
    <row r="40" spans="1:43" ht="20.25" customHeight="1" x14ac:dyDescent="0.2">
      <c r="A40" s="42"/>
      <c r="B40" s="52"/>
      <c r="C40" s="50"/>
      <c r="D40" s="3241"/>
      <c r="E40" s="50"/>
      <c r="F40" s="51"/>
      <c r="G40"/>
      <c r="H40"/>
      <c r="I40"/>
      <c r="J40"/>
      <c r="K40"/>
      <c r="L40"/>
      <c r="M40" s="179"/>
      <c r="N40" s="39"/>
      <c r="O40" s="39"/>
      <c r="S40" s="7"/>
      <c r="T40" s="7"/>
      <c r="U40" s="7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</row>
    <row r="41" spans="1:43" ht="20.25" customHeight="1" x14ac:dyDescent="0.2">
      <c r="A41" s="42"/>
      <c r="B41" s="52"/>
      <c r="C41" s="50"/>
      <c r="E41" s="50"/>
      <c r="F41" s="51"/>
      <c r="G41"/>
      <c r="H41"/>
      <c r="I41"/>
      <c r="J41"/>
      <c r="K41"/>
      <c r="L41"/>
      <c r="M41" s="179"/>
      <c r="N41" s="39"/>
      <c r="O41" s="39"/>
      <c r="S41" s="7"/>
      <c r="T41" s="7"/>
      <c r="U41" s="7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</row>
    <row r="42" spans="1:43" ht="6" customHeight="1" x14ac:dyDescent="0.2">
      <c r="A42" s="42"/>
      <c r="B42" s="52"/>
      <c r="C42" s="50"/>
      <c r="D42" s="50"/>
      <c r="E42" s="50"/>
      <c r="F42" s="50"/>
      <c r="G42" s="50"/>
      <c r="H42" s="50"/>
      <c r="I42" s="50"/>
      <c r="J42" s="50"/>
      <c r="K42" s="172"/>
      <c r="L42" s="172"/>
      <c r="M42" s="179"/>
      <c r="N42" s="39"/>
      <c r="O42" s="39"/>
      <c r="S42" s="7"/>
      <c r="T42" s="7"/>
      <c r="U42" s="7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</row>
    <row r="43" spans="1:43" ht="5.25" customHeight="1" x14ac:dyDescent="0.2">
      <c r="A43" s="42"/>
      <c r="B43" s="52"/>
      <c r="C43" s="50"/>
      <c r="D43" s="50"/>
      <c r="E43" s="50"/>
      <c r="F43" s="50"/>
      <c r="G43" s="50"/>
      <c r="H43" s="50"/>
      <c r="I43" s="50"/>
      <c r="J43" s="50"/>
      <c r="K43" s="172"/>
      <c r="L43" s="172"/>
      <c r="M43" s="179"/>
      <c r="N43" s="39"/>
      <c r="O43" s="39"/>
      <c r="S43" s="7"/>
      <c r="T43" s="7"/>
      <c r="U43" s="7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</row>
    <row r="44" spans="1:43" s="51" customFormat="1" ht="15.75" customHeight="1" x14ac:dyDescent="0.2">
      <c r="B44" s="52"/>
      <c r="C44" s="50"/>
      <c r="D44" s="172"/>
      <c r="E44" s="50"/>
      <c r="F44" s="172"/>
      <c r="G44" s="50"/>
      <c r="H44" s="50"/>
      <c r="K44" s="1496"/>
      <c r="L44" s="1496"/>
      <c r="M44" s="614"/>
      <c r="N44" s="39"/>
      <c r="O44" s="39"/>
      <c r="P44"/>
      <c r="Q44" s="7"/>
      <c r="R44" s="7"/>
      <c r="S44" s="7"/>
      <c r="T44" s="7"/>
      <c r="U44" s="7"/>
    </row>
    <row r="45" spans="1:43" s="51" customFormat="1" ht="15.75" customHeight="1" x14ac:dyDescent="0.2">
      <c r="B45" s="52"/>
      <c r="C45"/>
      <c r="D45"/>
      <c r="E45"/>
      <c r="F45"/>
      <c r="G45"/>
      <c r="H45" s="50"/>
      <c r="I45" s="1497" t="s">
        <v>70</v>
      </c>
      <c r="J45" s="1497"/>
      <c r="K45" s="1497"/>
      <c r="L45" s="1497"/>
      <c r="M45" s="1415"/>
      <c r="N45" s="899"/>
      <c r="O45" s="39"/>
      <c r="P45"/>
      <c r="Q45" s="7"/>
      <c r="R45" s="7"/>
      <c r="S45" s="7"/>
      <c r="T45" s="7"/>
      <c r="U45" s="7"/>
    </row>
    <row r="46" spans="1:43" s="51" customFormat="1" ht="21.2" customHeight="1" x14ac:dyDescent="0.2">
      <c r="B46" s="52"/>
      <c r="C46"/>
      <c r="D46" s="3361" t="s">
        <v>68</v>
      </c>
      <c r="E46"/>
      <c r="F46"/>
      <c r="G46"/>
      <c r="H46" s="50"/>
      <c r="I46" s="357" t="s">
        <v>72</v>
      </c>
      <c r="J46" s="357"/>
      <c r="K46" s="357"/>
      <c r="L46" s="357"/>
      <c r="M46" s="1415"/>
      <c r="N46" s="899"/>
      <c r="O46" s="39"/>
      <c r="P46"/>
      <c r="Q46" s="7"/>
      <c r="R46" s="7"/>
      <c r="S46" s="7"/>
      <c r="T46" s="7"/>
      <c r="U46" s="7"/>
    </row>
    <row r="47" spans="1:43" s="51" customFormat="1" ht="16.5" customHeight="1" x14ac:dyDescent="0.2">
      <c r="B47" s="52"/>
      <c r="C47"/>
      <c r="D47" s="1496"/>
      <c r="E47"/>
      <c r="F47"/>
      <c r="G47"/>
      <c r="H47" s="50"/>
      <c r="I47" s="680"/>
      <c r="J47" s="680"/>
      <c r="K47" s="681" t="s">
        <v>1044</v>
      </c>
      <c r="L47" s="682" t="s">
        <v>75</v>
      </c>
      <c r="M47" s="614"/>
      <c r="N47" s="39"/>
      <c r="O47" s="39"/>
      <c r="P47"/>
      <c r="Q47" s="7"/>
      <c r="R47" s="7"/>
      <c r="S47" s="7"/>
      <c r="T47" s="7"/>
      <c r="U47" s="7"/>
    </row>
    <row r="48" spans="1:43" s="51" customFormat="1" ht="15" customHeight="1" x14ac:dyDescent="0.2">
      <c r="B48" s="52"/>
      <c r="C48"/>
      <c r="D48"/>
      <c r="E48"/>
      <c r="F48"/>
      <c r="G48"/>
      <c r="H48" s="50"/>
      <c r="I48" s="3839"/>
      <c r="J48" s="3839"/>
      <c r="K48" s="3840" t="s">
        <v>76</v>
      </c>
      <c r="L48" s="3840" t="s">
        <v>76</v>
      </c>
      <c r="M48" s="614"/>
      <c r="N48" s="39"/>
      <c r="O48" s="39"/>
      <c r="P48"/>
      <c r="Q48" s="7"/>
      <c r="R48" s="7"/>
      <c r="S48" s="7"/>
      <c r="T48" s="7"/>
      <c r="U48" s="7"/>
    </row>
    <row r="49" spans="1:43" s="51" customFormat="1" ht="15" customHeight="1" x14ac:dyDescent="0.2">
      <c r="B49" s="174"/>
      <c r="C49" s="7"/>
      <c r="D49" s="172"/>
      <c r="E49" s="7"/>
      <c r="F49" s="7"/>
      <c r="G49" s="7"/>
      <c r="H49" s="7"/>
      <c r="I49" s="3841" t="s">
        <v>266</v>
      </c>
      <c r="J49" s="3841"/>
      <c r="K49" s="3842" t="s">
        <v>1757</v>
      </c>
      <c r="L49" s="3843">
        <f>K49*(100+'Preise-Stammdaten'!N11)/100</f>
        <v>128.80000000000001</v>
      </c>
      <c r="M49" s="98"/>
      <c r="N49" s="39"/>
      <c r="O49" s="39"/>
      <c r="P49" s="3778" t="s">
        <v>1758</v>
      </c>
      <c r="Q49" s="7"/>
      <c r="R49" s="7"/>
      <c r="S49" s="7"/>
      <c r="T49" s="7"/>
      <c r="U49" s="7"/>
    </row>
    <row r="50" spans="1:43" s="51" customFormat="1" ht="15" customHeight="1" x14ac:dyDescent="0.2">
      <c r="B50" s="174"/>
      <c r="C50" s="7"/>
      <c r="D50" s="172"/>
      <c r="E50" s="7"/>
      <c r="F50" s="7"/>
      <c r="G50" s="7"/>
      <c r="H50" s="7"/>
      <c r="I50" s="3844"/>
      <c r="J50" s="50"/>
      <c r="K50" s="50"/>
      <c r="L50" s="3845"/>
      <c r="M50" s="98"/>
      <c r="N50" s="39"/>
      <c r="O50" s="39"/>
      <c r="P50" s="3778"/>
      <c r="Q50" s="7"/>
      <c r="R50" s="7"/>
      <c r="S50" s="7"/>
      <c r="T50" s="7"/>
      <c r="U50" s="7"/>
    </row>
    <row r="51" spans="1:43" s="550" customFormat="1" ht="16.5" customHeight="1" x14ac:dyDescent="0.2">
      <c r="B51" s="53"/>
      <c r="C51" s="54"/>
      <c r="D51" s="36"/>
      <c r="E51" s="74"/>
      <c r="F51" s="74"/>
      <c r="G51" s="74"/>
      <c r="H51" s="74"/>
      <c r="I51" s="74"/>
      <c r="J51" s="54"/>
      <c r="K51" s="54"/>
      <c r="L51" s="54"/>
      <c r="M51" s="94"/>
      <c r="N51" s="555"/>
      <c r="O51" s="555"/>
      <c r="P51" s="554"/>
      <c r="Q51" s="542"/>
      <c r="R51" s="542"/>
      <c r="S51" s="542"/>
      <c r="T51" s="542"/>
      <c r="U51" s="542"/>
    </row>
    <row r="52" spans="1:43" ht="11.25" customHeight="1" x14ac:dyDescent="0.2">
      <c r="A52" s="42"/>
      <c r="B52" s="51"/>
      <c r="C52" s="51"/>
      <c r="D52"/>
      <c r="H52" s="7"/>
      <c r="I52" s="7"/>
      <c r="J52" s="51"/>
      <c r="K52" s="51"/>
      <c r="L52" s="51"/>
      <c r="M52" s="51"/>
      <c r="N52" s="39"/>
      <c r="O52" s="39"/>
      <c r="S52" s="7"/>
      <c r="T52" s="7"/>
      <c r="U52" s="7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</row>
    <row r="53" spans="1:43" s="51" customFormat="1" ht="16.5" customHeight="1" x14ac:dyDescent="0.2">
      <c r="D53"/>
      <c r="E53" s="7"/>
      <c r="F53" s="7"/>
      <c r="G53" s="7"/>
      <c r="H53" s="7"/>
      <c r="I53" s="7"/>
      <c r="P53"/>
      <c r="Q53" s="7"/>
      <c r="R53" s="7"/>
      <c r="S53" s="7"/>
      <c r="T53" s="7"/>
      <c r="U53" s="7"/>
    </row>
    <row r="54" spans="1:43" s="51" customFormat="1" ht="20.25" customHeight="1" x14ac:dyDescent="0.2">
      <c r="D54"/>
      <c r="E54" s="7"/>
      <c r="F54" s="7"/>
      <c r="G54" s="7"/>
      <c r="H54" s="7"/>
      <c r="I54" s="7"/>
      <c r="O54"/>
      <c r="P54"/>
      <c r="Q54"/>
      <c r="R54" s="7"/>
      <c r="S54" s="7"/>
      <c r="T54" s="7"/>
      <c r="U54" s="7"/>
    </row>
    <row r="55" spans="1:43" s="51" customFormat="1" ht="21.75" customHeight="1" x14ac:dyDescent="0.2">
      <c r="D55"/>
      <c r="E55" s="7"/>
      <c r="F55" s="7"/>
      <c r="G55" s="7"/>
      <c r="H55" s="7"/>
      <c r="I55" s="7"/>
      <c r="N55"/>
      <c r="O55"/>
      <c r="P55"/>
      <c r="Q55"/>
      <c r="R55" s="7"/>
      <c r="S55" s="7"/>
      <c r="T55" s="7"/>
      <c r="U55" s="7"/>
    </row>
    <row r="56" spans="1:43" s="51" customFormat="1" ht="16.5" customHeight="1" x14ac:dyDescent="0.2">
      <c r="D56"/>
      <c r="E56" s="7"/>
      <c r="F56" s="7"/>
      <c r="G56" s="7"/>
      <c r="H56" s="7"/>
      <c r="I56" s="7"/>
      <c r="N56"/>
      <c r="O56"/>
      <c r="P56"/>
      <c r="Q56" s="7"/>
      <c r="R56" s="7"/>
      <c r="S56" s="7"/>
      <c r="T56" s="7"/>
      <c r="U56" s="7"/>
    </row>
    <row r="57" spans="1:43" s="51" customFormat="1" ht="16.5" customHeight="1" x14ac:dyDescent="0.2">
      <c r="D57"/>
      <c r="E57" s="7"/>
      <c r="F57" s="7"/>
      <c r="G57" s="7"/>
      <c r="H57" s="7"/>
      <c r="I57" s="7"/>
      <c r="N57"/>
      <c r="O57"/>
      <c r="P57"/>
      <c r="Q57" s="7"/>
      <c r="R57" s="7"/>
      <c r="S57" s="7"/>
      <c r="T57" s="7"/>
      <c r="U57" s="7"/>
    </row>
    <row r="58" spans="1:43" ht="14.25" x14ac:dyDescent="0.2">
      <c r="B58" s="51"/>
      <c r="C58" s="51"/>
      <c r="D58"/>
      <c r="H58" s="7"/>
      <c r="I58" s="51"/>
      <c r="J58" s="51"/>
      <c r="K58" s="51"/>
      <c r="L58" s="51"/>
      <c r="M58" s="51"/>
      <c r="N58" s="8"/>
      <c r="O58" s="8"/>
      <c r="P58" s="8"/>
      <c r="Q58" s="8"/>
      <c r="R58" s="8"/>
    </row>
    <row r="59" spans="1:43" ht="14.25" x14ac:dyDescent="0.2"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8"/>
      <c r="O59" s="8"/>
      <c r="P59" s="8"/>
      <c r="Q59" s="8"/>
      <c r="R59" s="8"/>
    </row>
    <row r="60" spans="1:43" s="51" customFormat="1" ht="16.5" customHeight="1" x14ac:dyDescent="0.2"/>
    <row r="61" spans="1:43" s="51" customFormat="1" ht="16.5" customHeight="1" x14ac:dyDescent="0.2"/>
    <row r="62" spans="1:43" s="51" customFormat="1" ht="16.5" customHeight="1" x14ac:dyDescent="0.2"/>
    <row r="63" spans="1:43" s="51" customFormat="1" ht="16.5" customHeight="1" x14ac:dyDescent="0.2"/>
    <row r="64" spans="1:43" s="51" customFormat="1" ht="16.5" customHeight="1" x14ac:dyDescent="0.2"/>
    <row r="65" spans="16:21" s="51" customFormat="1" ht="16.5" customHeight="1" x14ac:dyDescent="0.2"/>
    <row r="66" spans="16:21" s="51" customFormat="1" ht="16.5" customHeight="1" x14ac:dyDescent="0.2"/>
    <row r="67" spans="16:21" s="51" customFormat="1" ht="16.5" customHeight="1" x14ac:dyDescent="0.2"/>
    <row r="68" spans="16:21" s="51" customFormat="1" ht="16.5" customHeight="1" x14ac:dyDescent="0.2">
      <c r="P68"/>
      <c r="Q68" s="7"/>
      <c r="R68" s="7"/>
      <c r="S68" s="7"/>
      <c r="T68" s="7"/>
      <c r="U68" s="7"/>
    </row>
    <row r="69" spans="16:21" s="51" customFormat="1" ht="16.5" customHeight="1" x14ac:dyDescent="0.2">
      <c r="P69"/>
      <c r="Q69" s="7"/>
      <c r="R69" s="7"/>
      <c r="S69" s="7"/>
      <c r="T69" s="7"/>
      <c r="U69" s="7"/>
    </row>
    <row r="70" spans="16:21" s="51" customFormat="1" ht="16.5" customHeight="1" x14ac:dyDescent="0.2">
      <c r="P70"/>
      <c r="Q70" s="7"/>
      <c r="R70" s="7"/>
      <c r="S70" s="7"/>
      <c r="T70" s="7"/>
      <c r="U70" s="7"/>
    </row>
    <row r="71" spans="16:21" s="51" customFormat="1" ht="16.5" customHeight="1" x14ac:dyDescent="0.2">
      <c r="P71"/>
      <c r="Q71" s="7"/>
      <c r="R71" s="7"/>
      <c r="S71" s="7"/>
      <c r="T71" s="7"/>
      <c r="U71" s="7"/>
    </row>
    <row r="72" spans="16:21" s="51" customFormat="1" ht="16.5" customHeight="1" x14ac:dyDescent="0.2">
      <c r="P72"/>
      <c r="Q72" s="7"/>
      <c r="R72" s="7"/>
      <c r="S72" s="7"/>
      <c r="T72" s="7"/>
      <c r="U72" s="7"/>
    </row>
    <row r="73" spans="16:21" s="51" customFormat="1" ht="16.5" customHeight="1" x14ac:dyDescent="0.2">
      <c r="P73"/>
      <c r="Q73" s="7"/>
      <c r="R73" s="7"/>
      <c r="S73" s="7"/>
      <c r="T73" s="7"/>
      <c r="U73" s="7"/>
    </row>
    <row r="74" spans="16:21" s="51" customFormat="1" ht="16.5" customHeight="1" x14ac:dyDescent="0.2">
      <c r="P74"/>
      <c r="Q74" s="7"/>
      <c r="R74" s="7"/>
      <c r="S74" s="7"/>
      <c r="T74" s="7"/>
      <c r="U74" s="7"/>
    </row>
    <row r="75" spans="16:21" s="51" customFormat="1" ht="16.5" customHeight="1" x14ac:dyDescent="0.2">
      <c r="P75"/>
      <c r="Q75" s="7"/>
      <c r="R75" s="7"/>
      <c r="S75" s="7"/>
      <c r="T75" s="7"/>
      <c r="U75" s="7"/>
    </row>
    <row r="76" spans="16:21" s="51" customFormat="1" ht="16.5" customHeight="1" x14ac:dyDescent="0.2">
      <c r="P76"/>
      <c r="Q76" s="7"/>
      <c r="R76" s="7"/>
      <c r="S76" s="7"/>
      <c r="T76" s="7"/>
      <c r="U76" s="7"/>
    </row>
    <row r="77" spans="16:21" s="51" customFormat="1" ht="16.5" customHeight="1" x14ac:dyDescent="0.2">
      <c r="P77"/>
      <c r="Q77" s="7"/>
      <c r="R77" s="7"/>
      <c r="S77" s="7"/>
      <c r="T77" s="7"/>
      <c r="U77" s="7"/>
    </row>
    <row r="78" spans="16:21" s="51" customFormat="1" ht="16.5" customHeight="1" x14ac:dyDescent="0.2">
      <c r="P78"/>
      <c r="Q78" s="7"/>
      <c r="R78" s="7"/>
      <c r="S78" s="7"/>
      <c r="T78" s="7"/>
      <c r="U78" s="7"/>
    </row>
    <row r="79" spans="16:21" s="51" customFormat="1" ht="16.5" customHeight="1" x14ac:dyDescent="0.2">
      <c r="P79"/>
      <c r="Q79" s="7"/>
      <c r="R79" s="7"/>
      <c r="S79" s="7"/>
      <c r="T79" s="7"/>
      <c r="U79" s="7"/>
    </row>
    <row r="80" spans="16:21" s="51" customFormat="1" ht="16.5" customHeight="1" x14ac:dyDescent="0.2">
      <c r="P80"/>
      <c r="Q80" s="7"/>
      <c r="R80" s="7"/>
      <c r="S80" s="7"/>
      <c r="T80" s="7"/>
      <c r="U80" s="7"/>
    </row>
    <row r="81" spans="16:21" s="51" customFormat="1" ht="16.5" customHeight="1" x14ac:dyDescent="0.2">
      <c r="P81"/>
      <c r="Q81" s="7"/>
      <c r="R81" s="7"/>
      <c r="S81" s="7"/>
      <c r="T81" s="7"/>
      <c r="U81" s="7"/>
    </row>
    <row r="82" spans="16:21" s="51" customFormat="1" ht="16.5" customHeight="1" x14ac:dyDescent="0.2">
      <c r="P82"/>
      <c r="Q82" s="7"/>
      <c r="R82" s="7"/>
      <c r="S82" s="7"/>
      <c r="T82" s="7"/>
      <c r="U82" s="7"/>
    </row>
    <row r="83" spans="16:21" s="51" customFormat="1" ht="16.5" customHeight="1" x14ac:dyDescent="0.2">
      <c r="P83"/>
      <c r="Q83" s="7"/>
      <c r="R83" s="7"/>
      <c r="S83" s="7"/>
      <c r="T83" s="7"/>
      <c r="U83" s="7"/>
    </row>
    <row r="84" spans="16:21" s="51" customFormat="1" ht="16.5" customHeight="1" x14ac:dyDescent="0.2">
      <c r="P84"/>
      <c r="Q84" s="7"/>
      <c r="R84" s="7"/>
      <c r="S84" s="7"/>
      <c r="T84" s="7"/>
      <c r="U84" s="7"/>
    </row>
    <row r="85" spans="16:21" s="51" customFormat="1" ht="16.5" customHeight="1" x14ac:dyDescent="0.2">
      <c r="P85"/>
      <c r="Q85" s="7"/>
      <c r="R85" s="7"/>
      <c r="S85" s="7"/>
      <c r="T85" s="7"/>
      <c r="U85" s="7"/>
    </row>
    <row r="86" spans="16:21" s="51" customFormat="1" ht="16.5" customHeight="1" x14ac:dyDescent="0.2">
      <c r="P86"/>
      <c r="Q86" s="7"/>
      <c r="R86" s="7"/>
      <c r="S86" s="7"/>
      <c r="T86" s="7"/>
      <c r="U86" s="7"/>
    </row>
    <row r="87" spans="16:21" s="51" customFormat="1" ht="16.5" customHeight="1" x14ac:dyDescent="0.2">
      <c r="P87"/>
      <c r="Q87" s="7"/>
      <c r="R87" s="7"/>
      <c r="S87" s="7"/>
      <c r="T87" s="7"/>
      <c r="U87" s="7"/>
    </row>
    <row r="88" spans="16:21" s="51" customFormat="1" ht="16.5" customHeight="1" x14ac:dyDescent="0.2">
      <c r="P88"/>
      <c r="Q88" s="7"/>
      <c r="R88" s="7"/>
      <c r="S88" s="7"/>
      <c r="T88" s="7"/>
      <c r="U88" s="7"/>
    </row>
    <row r="89" spans="16:21" s="51" customFormat="1" ht="16.5" customHeight="1" x14ac:dyDescent="0.2">
      <c r="P89"/>
      <c r="Q89" s="7"/>
      <c r="R89" s="7"/>
      <c r="S89" s="7"/>
      <c r="T89" s="7"/>
      <c r="U89" s="7"/>
    </row>
    <row r="90" spans="16:21" s="51" customFormat="1" ht="16.5" customHeight="1" x14ac:dyDescent="0.2">
      <c r="P90"/>
      <c r="Q90" s="7"/>
      <c r="R90" s="7"/>
      <c r="S90" s="7"/>
      <c r="T90" s="7"/>
      <c r="U90" s="7"/>
    </row>
    <row r="91" spans="16:21" s="51" customFormat="1" ht="16.5" customHeight="1" x14ac:dyDescent="0.2">
      <c r="P91"/>
      <c r="Q91" s="7"/>
      <c r="R91" s="7"/>
      <c r="S91" s="7"/>
      <c r="T91" s="7"/>
      <c r="U91" s="7"/>
    </row>
    <row r="92" spans="16:21" s="51" customFormat="1" ht="16.5" customHeight="1" x14ac:dyDescent="0.2">
      <c r="P92"/>
      <c r="Q92" s="7"/>
      <c r="R92" s="7"/>
      <c r="S92" s="7"/>
      <c r="T92" s="7"/>
      <c r="U92" s="7"/>
    </row>
    <row r="93" spans="16:21" s="51" customFormat="1" ht="16.5" customHeight="1" x14ac:dyDescent="0.2">
      <c r="P93"/>
      <c r="Q93" s="7"/>
      <c r="R93" s="7"/>
      <c r="S93" s="7"/>
      <c r="T93" s="7"/>
      <c r="U93" s="7"/>
    </row>
    <row r="94" spans="16:21" s="51" customFormat="1" ht="16.5" customHeight="1" x14ac:dyDescent="0.2">
      <c r="P94"/>
      <c r="Q94" s="7"/>
      <c r="R94" s="7"/>
      <c r="S94" s="7"/>
      <c r="T94" s="7"/>
      <c r="U94" s="7"/>
    </row>
    <row r="95" spans="16:21" s="51" customFormat="1" ht="16.5" customHeight="1" x14ac:dyDescent="0.2">
      <c r="P95"/>
      <c r="Q95" s="7"/>
      <c r="R95" s="7"/>
      <c r="S95" s="7"/>
      <c r="T95" s="7"/>
      <c r="U95" s="7"/>
    </row>
    <row r="96" spans="16:21" s="51" customFormat="1" ht="16.5" customHeight="1" x14ac:dyDescent="0.2">
      <c r="P96"/>
      <c r="Q96" s="7"/>
      <c r="R96" s="7"/>
      <c r="S96" s="7"/>
      <c r="T96" s="7"/>
      <c r="U96" s="7"/>
    </row>
    <row r="97" spans="16:21" s="51" customFormat="1" ht="16.5" customHeight="1" x14ac:dyDescent="0.2">
      <c r="P97"/>
      <c r="Q97" s="7"/>
      <c r="R97" s="7"/>
      <c r="S97" s="7"/>
      <c r="T97" s="7"/>
      <c r="U97" s="7"/>
    </row>
    <row r="98" spans="16:21" s="51" customFormat="1" ht="16.5" customHeight="1" x14ac:dyDescent="0.2">
      <c r="P98"/>
      <c r="Q98" s="7"/>
      <c r="R98" s="7"/>
      <c r="S98" s="7"/>
      <c r="T98" s="7"/>
      <c r="U98" s="7"/>
    </row>
    <row r="99" spans="16:21" s="51" customFormat="1" ht="16.5" customHeight="1" x14ac:dyDescent="0.2">
      <c r="P99"/>
      <c r="Q99" s="7"/>
      <c r="R99" s="7"/>
      <c r="S99" s="7"/>
      <c r="T99" s="7"/>
      <c r="U99" s="7"/>
    </row>
    <row r="100" spans="16:21" s="51" customFormat="1" ht="16.5" customHeight="1" x14ac:dyDescent="0.2">
      <c r="P100"/>
      <c r="Q100" s="7"/>
      <c r="R100" s="7"/>
      <c r="S100" s="7"/>
      <c r="T100" s="7"/>
      <c r="U100" s="7"/>
    </row>
    <row r="101" spans="16:21" s="51" customFormat="1" ht="16.5" customHeight="1" x14ac:dyDescent="0.2">
      <c r="P101"/>
      <c r="Q101" s="7"/>
      <c r="R101" s="7"/>
      <c r="S101" s="7"/>
      <c r="T101" s="7"/>
      <c r="U101" s="7"/>
    </row>
    <row r="102" spans="16:21" s="51" customFormat="1" ht="16.5" customHeight="1" x14ac:dyDescent="0.2">
      <c r="P102"/>
      <c r="Q102" s="7"/>
      <c r="R102" s="7"/>
      <c r="S102" s="7"/>
      <c r="T102" s="7"/>
      <c r="U102" s="7"/>
    </row>
    <row r="103" spans="16:21" s="51" customFormat="1" ht="16.5" customHeight="1" x14ac:dyDescent="0.2">
      <c r="P103"/>
      <c r="Q103" s="7"/>
      <c r="R103" s="7"/>
      <c r="S103" s="7"/>
      <c r="T103" s="7"/>
      <c r="U103" s="7"/>
    </row>
    <row r="104" spans="16:21" s="51" customFormat="1" ht="16.5" customHeight="1" x14ac:dyDescent="0.2">
      <c r="P104"/>
      <c r="Q104" s="7"/>
      <c r="R104" s="7"/>
      <c r="S104" s="7"/>
      <c r="T104" s="7"/>
      <c r="U104" s="7"/>
    </row>
    <row r="105" spans="16:21" s="51" customFormat="1" ht="16.5" customHeight="1" x14ac:dyDescent="0.2">
      <c r="P105"/>
      <c r="Q105" s="7"/>
      <c r="R105" s="7"/>
      <c r="S105" s="7"/>
      <c r="T105" s="7"/>
      <c r="U105" s="7"/>
    </row>
    <row r="106" spans="16:21" s="51" customFormat="1" ht="16.5" customHeight="1" x14ac:dyDescent="0.2">
      <c r="P106"/>
      <c r="Q106" s="7"/>
      <c r="R106" s="7"/>
      <c r="S106" s="7"/>
      <c r="T106" s="7"/>
      <c r="U106" s="7"/>
    </row>
    <row r="107" spans="16:21" s="51" customFormat="1" ht="16.5" customHeight="1" x14ac:dyDescent="0.2">
      <c r="P107"/>
      <c r="Q107" s="7"/>
      <c r="R107" s="7"/>
      <c r="S107" s="7"/>
      <c r="T107" s="7"/>
      <c r="U107" s="7"/>
    </row>
    <row r="108" spans="16:21" s="51" customFormat="1" ht="16.5" customHeight="1" x14ac:dyDescent="0.2">
      <c r="P108"/>
      <c r="Q108" s="7"/>
      <c r="R108" s="7"/>
      <c r="S108" s="7"/>
      <c r="T108" s="7"/>
      <c r="U108" s="7"/>
    </row>
    <row r="109" spans="16:21" s="51" customFormat="1" ht="16.5" customHeight="1" x14ac:dyDescent="0.2">
      <c r="P109"/>
      <c r="Q109" s="7"/>
      <c r="R109" s="7"/>
      <c r="S109" s="7"/>
      <c r="T109" s="7"/>
      <c r="U109" s="7"/>
    </row>
    <row r="110" spans="16:21" s="51" customFormat="1" ht="16.5" customHeight="1" x14ac:dyDescent="0.2">
      <c r="P110"/>
      <c r="Q110" s="7"/>
      <c r="R110" s="7"/>
      <c r="S110" s="7"/>
      <c r="T110" s="7"/>
      <c r="U110" s="7"/>
    </row>
    <row r="111" spans="16:21" s="51" customFormat="1" ht="16.5" customHeight="1" x14ac:dyDescent="0.2">
      <c r="P111"/>
      <c r="Q111" s="7"/>
      <c r="R111" s="7"/>
      <c r="S111" s="7"/>
      <c r="T111" s="7"/>
      <c r="U111" s="7"/>
    </row>
    <row r="112" spans="16:21" s="51" customFormat="1" ht="16.5" customHeight="1" x14ac:dyDescent="0.2">
      <c r="P112"/>
      <c r="Q112" s="7"/>
      <c r="R112" s="7"/>
      <c r="S112" s="7"/>
      <c r="T112" s="7"/>
      <c r="U112" s="7"/>
    </row>
    <row r="113" spans="2:21" s="51" customFormat="1" ht="16.5" customHeight="1" x14ac:dyDescent="0.2">
      <c r="P113"/>
      <c r="Q113" s="7"/>
      <c r="R113" s="7"/>
      <c r="S113" s="7"/>
      <c r="T113" s="7"/>
      <c r="U113" s="7"/>
    </row>
    <row r="114" spans="2:21" s="51" customFormat="1" ht="16.5" customHeight="1" x14ac:dyDescent="0.2">
      <c r="P114"/>
      <c r="Q114" s="7"/>
      <c r="R114" s="7"/>
      <c r="S114" s="7"/>
      <c r="T114" s="7"/>
      <c r="U114" s="7"/>
    </row>
    <row r="115" spans="2:21" s="51" customFormat="1" ht="16.5" customHeight="1" x14ac:dyDescent="0.2">
      <c r="P115"/>
      <c r="Q115" s="7"/>
      <c r="R115" s="7"/>
      <c r="S115" s="7"/>
      <c r="T115" s="7"/>
      <c r="U115" s="7"/>
    </row>
    <row r="116" spans="2:21" s="51" customFormat="1" ht="16.5" customHeight="1" x14ac:dyDescent="0.2">
      <c r="P116"/>
      <c r="Q116" s="7"/>
      <c r="R116" s="7"/>
      <c r="S116" s="7"/>
      <c r="T116" s="7"/>
      <c r="U116" s="7"/>
    </row>
    <row r="117" spans="2:21" s="51" customFormat="1" ht="16.5" customHeight="1" x14ac:dyDescent="0.2">
      <c r="P117"/>
      <c r="Q117" s="7"/>
      <c r="R117" s="7"/>
      <c r="S117" s="7"/>
      <c r="T117" s="7"/>
      <c r="U117" s="7"/>
    </row>
    <row r="118" spans="2:21" s="51" customFormat="1" ht="16.5" customHeight="1" x14ac:dyDescent="0.2">
      <c r="P118"/>
      <c r="Q118" s="7"/>
      <c r="R118" s="7"/>
      <c r="S118" s="7"/>
      <c r="T118" s="7"/>
      <c r="U118" s="7"/>
    </row>
    <row r="119" spans="2:21" s="51" customFormat="1" ht="16.5" customHeight="1" x14ac:dyDescent="0.2">
      <c r="P119"/>
      <c r="Q119" s="7"/>
      <c r="R119" s="7"/>
      <c r="S119" s="7"/>
      <c r="T119" s="7"/>
      <c r="U119" s="7"/>
    </row>
    <row r="120" spans="2:21" s="51" customFormat="1" ht="16.5" customHeight="1" x14ac:dyDescent="0.2">
      <c r="P120"/>
      <c r="Q120" s="7"/>
      <c r="R120" s="7"/>
      <c r="S120" s="7"/>
      <c r="T120" s="7"/>
      <c r="U120" s="7"/>
    </row>
    <row r="121" spans="2:21" s="51" customFormat="1" ht="16.5" customHeight="1" x14ac:dyDescent="0.2">
      <c r="P121"/>
    </row>
    <row r="122" spans="2:21" s="51" customFormat="1" ht="16.5" customHeight="1" x14ac:dyDescent="0.2">
      <c r="P122"/>
    </row>
    <row r="123" spans="2:21" s="51" customFormat="1" ht="16.5" customHeight="1" x14ac:dyDescent="0.2">
      <c r="I123" s="41"/>
      <c r="J123" s="41"/>
      <c r="K123" s="41"/>
      <c r="P123"/>
    </row>
    <row r="124" spans="2:21" s="51" customFormat="1" ht="16.5" customHeight="1" x14ac:dyDescent="0.2">
      <c r="B124" s="8"/>
      <c r="C124" s="7"/>
      <c r="D124" s="7"/>
      <c r="E124" s="7"/>
      <c r="F124" s="7"/>
      <c r="G124" s="7"/>
      <c r="H124" s="41"/>
      <c r="I124" s="41"/>
      <c r="J124" s="41"/>
      <c r="K124" s="41"/>
      <c r="L124" s="41"/>
      <c r="M124" s="41"/>
      <c r="P124"/>
    </row>
    <row r="125" spans="2:21" s="51" customFormat="1" ht="16.5" customHeight="1" x14ac:dyDescent="0.2">
      <c r="B125" s="8"/>
      <c r="C125" s="7"/>
      <c r="D125" s="7"/>
      <c r="E125" s="7"/>
      <c r="F125" s="7"/>
      <c r="G125" s="7"/>
      <c r="H125" s="41"/>
      <c r="I125" s="41"/>
      <c r="J125" s="41"/>
      <c r="K125" s="41"/>
      <c r="L125" s="41"/>
      <c r="M125" s="41"/>
      <c r="P125"/>
    </row>
    <row r="126" spans="2:21" s="51" customFormat="1" ht="16.5" customHeight="1" x14ac:dyDescent="0.2">
      <c r="B126" s="8"/>
      <c r="C126" s="7"/>
      <c r="D126" s="7"/>
      <c r="E126" s="7"/>
      <c r="F126" s="7"/>
      <c r="G126" s="7"/>
      <c r="H126" s="41"/>
      <c r="I126" s="41"/>
      <c r="J126" s="41"/>
      <c r="K126" s="41"/>
      <c r="L126" s="41"/>
      <c r="M126" s="41"/>
      <c r="P126"/>
    </row>
    <row r="127" spans="2:21" s="51" customFormat="1" ht="16.5" customHeight="1" x14ac:dyDescent="0.2">
      <c r="B127" s="8"/>
      <c r="C127" s="7"/>
      <c r="D127" s="7"/>
      <c r="E127" s="7"/>
      <c r="F127" s="7"/>
      <c r="G127" s="7"/>
      <c r="H127" s="41"/>
      <c r="I127" s="41"/>
      <c r="J127" s="41"/>
      <c r="K127" s="41"/>
      <c r="L127" s="41"/>
      <c r="M127" s="41"/>
      <c r="P127"/>
    </row>
    <row r="128" spans="2:21" s="51" customFormat="1" ht="16.5" customHeight="1" x14ac:dyDescent="0.2">
      <c r="B128" s="8"/>
      <c r="C128" s="7"/>
      <c r="D128" s="7"/>
      <c r="E128" s="7"/>
      <c r="F128" s="7"/>
      <c r="G128" s="7"/>
      <c r="H128" s="41"/>
      <c r="I128" s="41"/>
      <c r="J128" s="41"/>
      <c r="K128" s="41"/>
      <c r="L128" s="41"/>
      <c r="M128" s="41"/>
      <c r="P128"/>
    </row>
    <row r="129" spans="2:16" s="51" customFormat="1" ht="16.5" customHeight="1" x14ac:dyDescent="0.2">
      <c r="B129" s="8"/>
      <c r="C129" s="7"/>
      <c r="D129" s="7"/>
      <c r="E129" s="7"/>
      <c r="F129" s="7"/>
      <c r="G129" s="7"/>
      <c r="H129" s="41"/>
      <c r="I129" s="41"/>
      <c r="J129" s="41"/>
      <c r="K129" s="41"/>
      <c r="L129" s="41"/>
      <c r="M129" s="41"/>
      <c r="P129"/>
    </row>
    <row r="130" spans="2:16" s="51" customFormat="1" ht="16.5" customHeight="1" x14ac:dyDescent="0.2">
      <c r="B130" s="8"/>
      <c r="C130" s="7"/>
      <c r="D130" s="7"/>
      <c r="E130" s="7"/>
      <c r="F130" s="7"/>
      <c r="G130" s="7"/>
      <c r="H130" s="41"/>
      <c r="I130" s="41"/>
      <c r="J130" s="41"/>
      <c r="K130" s="41"/>
      <c r="L130" s="41"/>
      <c r="M130" s="41"/>
      <c r="P130"/>
    </row>
    <row r="131" spans="2:16" s="51" customFormat="1" ht="16.5" customHeight="1" x14ac:dyDescent="0.2">
      <c r="B131" s="8"/>
      <c r="C131" s="7"/>
      <c r="D131" s="7"/>
      <c r="E131" s="7"/>
      <c r="F131" s="7"/>
      <c r="G131" s="7"/>
      <c r="H131" s="41"/>
      <c r="I131" s="41"/>
      <c r="J131" s="41"/>
      <c r="K131" s="41"/>
      <c r="L131" s="41"/>
      <c r="M131" s="41"/>
      <c r="P131"/>
    </row>
    <row r="132" spans="2:16" s="51" customFormat="1" ht="16.5" customHeight="1" x14ac:dyDescent="0.2">
      <c r="B132" s="8"/>
      <c r="C132" s="7"/>
      <c r="D132" s="7"/>
      <c r="E132" s="7"/>
      <c r="F132" s="7"/>
      <c r="G132" s="7"/>
      <c r="H132" s="41"/>
      <c r="I132" s="41"/>
      <c r="J132" s="41"/>
      <c r="K132" s="41"/>
      <c r="L132" s="41"/>
      <c r="M132" s="41"/>
      <c r="P132"/>
    </row>
  </sheetData>
  <sheetProtection sheet="1" objects="1" scenarios="1"/>
  <mergeCells count="2">
    <mergeCell ref="H2:K2"/>
    <mergeCell ref="H38:I38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91" firstPageNumber="15" orientation="portrait" useFirstPageNumber="1" horizontalDpi="300" verticalDpi="360" r:id="rId1"/>
  <headerFooter alignWithMargins="0">
    <oddFooter>&amp;LLEL Schwäbisch Gmünd (Abtlg. II)
LAZBW Aulendorf&amp;C 18&amp;9
&amp;R&amp;F
&amp;A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48">
    <pageSetUpPr fitToPage="1"/>
  </sheetPr>
  <dimension ref="A1:CA70"/>
  <sheetViews>
    <sheetView showGridLines="0" showZeros="0" zoomScaleNormal="100" zoomScaleSheetLayoutView="75" workbookViewId="0">
      <pane xSplit="10" ySplit="5" topLeftCell="K33" activePane="bottomRight" state="frozen"/>
      <selection activeCell="G1" sqref="G1:I1"/>
      <selection pane="topRight" activeCell="G1" sqref="G1:I1"/>
      <selection pane="bottomLeft" activeCell="G1" sqref="G1:I1"/>
      <selection pane="bottomRight" activeCell="K51" sqref="K5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681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126.5</v>
      </c>
      <c r="L5" s="417"/>
      <c r="M5" s="370">
        <v>149.5</v>
      </c>
      <c r="N5" s="2261"/>
      <c r="O5" s="370">
        <v>172.5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23</v>
      </c>
      <c r="L7" s="706">
        <v>26</v>
      </c>
      <c r="M7" s="702">
        <v>23</v>
      </c>
      <c r="N7" s="706">
        <v>26</v>
      </c>
      <c r="O7" s="702">
        <v>23</v>
      </c>
      <c r="P7" s="706">
        <v>26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120.175</v>
      </c>
      <c r="L9" s="721">
        <f>IF(K7=0,0,K9/K7*100)</f>
        <v>522.5</v>
      </c>
      <c r="M9" s="809">
        <f>M5*(100-M6)/100</f>
        <v>142.02500000000001</v>
      </c>
      <c r="N9" s="810">
        <f>IF(M7=0,0,M9/M7*100)</f>
        <v>617.5</v>
      </c>
      <c r="O9" s="720">
        <f>O5*(100-O6)/100</f>
        <v>163.875</v>
      </c>
      <c r="P9" s="721">
        <f>IF(O7=0,0,O9/O7*100)</f>
        <v>712.5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80.384615384615387</v>
      </c>
      <c r="M10" s="286"/>
      <c r="N10" s="811">
        <f>IF(R10=TRUE,IF(M8=0,0,1/M8*N9),0)</f>
        <v>95</v>
      </c>
      <c r="O10" s="173"/>
      <c r="P10" s="722">
        <f>IF(R10=TRUE,IF(O8=0,0,1/O8*P9),0)</f>
        <v>109.61538461538463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111.76275</v>
      </c>
      <c r="L11" s="709">
        <f>IF(L7=0,0,K11/L7*100)</f>
        <v>429.85673076923075</v>
      </c>
      <c r="M11" s="812">
        <f>M9*(100-N6)/100</f>
        <v>132.08325000000002</v>
      </c>
      <c r="N11" s="813">
        <f>IF(N7=0,0,M11/N7*100)</f>
        <v>508.01250000000005</v>
      </c>
      <c r="O11" s="708">
        <f>O9*(100-P6)/100</f>
        <v>152.40375</v>
      </c>
      <c r="P11" s="709">
        <f>IF(P7=0,0,O11/P7*100)</f>
        <v>586.16826923076917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66.131804733727805</v>
      </c>
      <c r="M12" s="801"/>
      <c r="N12" s="814">
        <f>IF(N8=0,0,1/N8*N11)</f>
        <v>78.155769230769238</v>
      </c>
      <c r="O12" s="487"/>
      <c r="P12" s="502">
        <f>IF(P8=0,0,1/P8*P11)</f>
        <v>90.179733727810643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34</v>
      </c>
      <c r="L13" s="418"/>
      <c r="M13" s="499">
        <v>34</v>
      </c>
      <c r="N13" s="784"/>
      <c r="O13" s="499">
        <v>34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1.224</v>
      </c>
      <c r="L14" s="418"/>
      <c r="M14" s="815">
        <f>M13*$G14</f>
        <v>1.224</v>
      </c>
      <c r="N14" s="784"/>
      <c r="O14" s="513">
        <f>O13*$G14</f>
        <v>1.224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3799.9335000000001</v>
      </c>
      <c r="L15" s="418"/>
      <c r="M15" s="816">
        <f>M$11*M13</f>
        <v>4490.8305000000009</v>
      </c>
      <c r="N15" s="784"/>
      <c r="O15" s="497">
        <f>O$11*O13</f>
        <v>5181.7275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136.797606</v>
      </c>
      <c r="L16" s="417"/>
      <c r="M16" s="817">
        <f>M$11*M14</f>
        <v>161.66989800000002</v>
      </c>
      <c r="N16" s="428"/>
      <c r="O16" s="498">
        <f>O$11*O14</f>
        <v>186.54219000000001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330.26229916166665</v>
      </c>
      <c r="M17" s="2600">
        <f>K17</f>
        <v>1</v>
      </c>
      <c r="N17" s="2591">
        <f>M17*(N33*(1-$AC$14)+N34*(1-$AC$15)+N35*(1-$AC$16)+N36*(1-$AC$17))</f>
        <v>390.30998991833337</v>
      </c>
      <c r="O17" s="2601">
        <f>K17</f>
        <v>1</v>
      </c>
      <c r="P17" s="2590">
        <f>O17*(P33*(1-$AC$14)+P34*(1-$AC$15)+P35*(1-$AC$16)+P36*(1-$AC$17))</f>
        <v>450.35768067499998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SUM($J19:$J23)</f>
        <v>0</v>
      </c>
      <c r="M18" s="785"/>
      <c r="N18" s="4070">
        <f>SUM($J19:$J23)</f>
        <v>0</v>
      </c>
      <c r="O18" s="326"/>
      <c r="P18" s="2582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247.17000000000002</v>
      </c>
      <c r="M27" s="804"/>
      <c r="N27" s="786">
        <f>SUM(N29:N30)</f>
        <v>247.17000000000002</v>
      </c>
      <c r="O27" s="330"/>
      <c r="P27" s="325">
        <f>SUM(P29:P30)</f>
        <v>247.17000000000002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210</v>
      </c>
      <c r="I29" s="711">
        <f>H29*($H$27+100)/100</f>
        <v>224.7</v>
      </c>
      <c r="J29" s="91"/>
      <c r="K29" s="440">
        <v>1.1000000000000001</v>
      </c>
      <c r="L29" s="337">
        <f>$I29*K29</f>
        <v>247.17000000000002</v>
      </c>
      <c r="M29" s="440">
        <v>1.1000000000000001</v>
      </c>
      <c r="N29" s="791">
        <f>$I29*M29</f>
        <v>247.17000000000002</v>
      </c>
      <c r="O29" s="440">
        <v>1.1000000000000001</v>
      </c>
      <c r="P29" s="337">
        <f>$I29*O29</f>
        <v>247.17000000000002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378.56190551666663</v>
      </c>
      <c r="M31" s="819"/>
      <c r="N31" s="786">
        <f>SUM(N33:N36)</f>
        <v>447.39134288333338</v>
      </c>
      <c r="O31" s="334"/>
      <c r="P31" s="325">
        <f>SUM(P33:P36)</f>
        <v>516.22078024999996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0.78</v>
      </c>
      <c r="H33" s="386">
        <v>0</v>
      </c>
      <c r="I33"/>
      <c r="J33" s="172"/>
      <c r="K33" s="336">
        <f>G33*$K$9+H33</f>
        <v>93.736500000000007</v>
      </c>
      <c r="L33" s="337">
        <f>K33*$E33</f>
        <v>160.99868785000001</v>
      </c>
      <c r="M33" s="820">
        <f>G33*$M$9+H33</f>
        <v>110.77950000000001</v>
      </c>
      <c r="N33" s="791">
        <f>M33*$E33</f>
        <v>190.27117655000004</v>
      </c>
      <c r="O33" s="336">
        <f>G33*$O$9+H33</f>
        <v>127.82250000000001</v>
      </c>
      <c r="P33" s="337">
        <f>O33*$E33</f>
        <v>219.54366525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0.43</v>
      </c>
      <c r="H34" s="386"/>
      <c r="I34"/>
      <c r="J34" s="172"/>
      <c r="K34" s="336">
        <f>G34*$K$9+H34</f>
        <v>51.675249999999998</v>
      </c>
      <c r="L34" s="337">
        <f>K34*$E34</f>
        <v>58.418870124999991</v>
      </c>
      <c r="M34" s="820">
        <f>G34*$M$9+H34</f>
        <v>61.070750000000004</v>
      </c>
      <c r="N34" s="791">
        <f>M34*$E34</f>
        <v>69.040482874999995</v>
      </c>
      <c r="O34" s="336">
        <f>G34*$O$9+H34</f>
        <v>70.466250000000002</v>
      </c>
      <c r="P34" s="337">
        <f>O34*$E34</f>
        <v>79.662095624999992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1.0900000000000001</v>
      </c>
      <c r="H35" s="386"/>
      <c r="I35"/>
      <c r="J35" s="172"/>
      <c r="K35" s="336">
        <f>G35*$K$9+H35</f>
        <v>130.99075000000002</v>
      </c>
      <c r="L35" s="337">
        <f>K35*$E35</f>
        <v>137.69311004166667</v>
      </c>
      <c r="M35" s="820">
        <f>G35*$M$9+H35</f>
        <v>154.80725000000001</v>
      </c>
      <c r="N35" s="791">
        <f>M35*$E35</f>
        <v>162.72822095833334</v>
      </c>
      <c r="O35" s="336">
        <f>G35*$O$9+H35</f>
        <v>178.62375</v>
      </c>
      <c r="P35" s="337">
        <f>O35*$E35</f>
        <v>187.76333187499998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36.052499999999995</v>
      </c>
      <c r="L36" s="333">
        <f>K36*$E36</f>
        <v>21.451237499999998</v>
      </c>
      <c r="M36" s="821">
        <f>G36*$M$9+H36</f>
        <v>42.607500000000002</v>
      </c>
      <c r="N36" s="792">
        <f>M36*$E36</f>
        <v>25.3514625</v>
      </c>
      <c r="O36" s="338">
        <f>G36*$O$9+H36</f>
        <v>49.162500000000001</v>
      </c>
      <c r="P36" s="333">
        <f>O36*$E36</f>
        <v>29.251687499999999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228.87270000000001</v>
      </c>
      <c r="M37" s="793"/>
      <c r="N37" s="786">
        <f>SUM(N39:N41)</f>
        <v>228.87270000000001</v>
      </c>
      <c r="O37" s="339"/>
      <c r="P37" s="325">
        <f>SUM(P39:P41)</f>
        <v>228.87270000000001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635</v>
      </c>
      <c r="E39" s="129"/>
      <c r="F39" s="129"/>
      <c r="G39" s="129"/>
      <c r="H39" s="426">
        <v>21.9</v>
      </c>
      <c r="I39" s="426">
        <f>H39*($H$37+100)/100</f>
        <v>26.061</v>
      </c>
      <c r="J39" s="118"/>
      <c r="K39" s="165">
        <v>3</v>
      </c>
      <c r="L39" s="337">
        <f>$I39*K39</f>
        <v>78.182999999999993</v>
      </c>
      <c r="M39" s="165">
        <v>3</v>
      </c>
      <c r="N39" s="791">
        <f>$I39*M39</f>
        <v>78.182999999999993</v>
      </c>
      <c r="O39" s="165">
        <v>3</v>
      </c>
      <c r="P39" s="337">
        <f>$I39*O39</f>
        <v>78.182999999999993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636</v>
      </c>
      <c r="E40" s="129"/>
      <c r="F40" s="129"/>
      <c r="G40" s="129"/>
      <c r="H40" s="426">
        <v>26.3</v>
      </c>
      <c r="I40" s="426">
        <f>H40*($H$37+100)/100</f>
        <v>31.297000000000004</v>
      </c>
      <c r="J40" s="118"/>
      <c r="K40" s="165">
        <v>3</v>
      </c>
      <c r="L40" s="337">
        <f>$I40*K40</f>
        <v>93.89100000000002</v>
      </c>
      <c r="M40" s="165">
        <v>3</v>
      </c>
      <c r="N40" s="791">
        <f>$I40*M40</f>
        <v>93.89100000000002</v>
      </c>
      <c r="O40" s="165">
        <v>3</v>
      </c>
      <c r="P40" s="337">
        <f>$I40*O40</f>
        <v>93.89100000000002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 t="s">
        <v>637</v>
      </c>
      <c r="E41" s="131"/>
      <c r="F41" s="131"/>
      <c r="G41" s="131"/>
      <c r="H41" s="427">
        <v>21.5</v>
      </c>
      <c r="I41" s="427">
        <f>H41*($H$37+100)/100</f>
        <v>25.585000000000001</v>
      </c>
      <c r="J41" s="95"/>
      <c r="K41" s="166">
        <v>2.2200000000000002</v>
      </c>
      <c r="L41" s="333">
        <f>$I41*K41</f>
        <v>56.798700000000004</v>
      </c>
      <c r="M41" s="166">
        <v>2.2200000000000002</v>
      </c>
      <c r="N41" s="792">
        <f>$I41*M41</f>
        <v>56.798700000000004</v>
      </c>
      <c r="O41" s="166">
        <v>2.2200000000000002</v>
      </c>
      <c r="P41" s="333">
        <f>$I41*O41</f>
        <v>56.798700000000004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604.79058529144618</v>
      </c>
      <c r="M42" s="823"/>
      <c r="N42" s="786">
        <f>SUM(W45:W55)</f>
        <v>676.2152651376</v>
      </c>
      <c r="O42" s="425"/>
      <c r="P42" s="325">
        <f>SUM(Z45:Z55)</f>
        <v>747.63994498375382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4</v>
      </c>
      <c r="L50" s="337">
        <f t="shared" si="0"/>
        <v>17.891780950399998</v>
      </c>
      <c r="M50" s="375">
        <v>4</v>
      </c>
      <c r="N50" s="791">
        <f t="shared" si="1"/>
        <v>17.891780950399998</v>
      </c>
      <c r="O50" s="375">
        <v>4</v>
      </c>
      <c r="P50" s="337">
        <f t="shared" si="2"/>
        <v>17.891780950399998</v>
      </c>
      <c r="Q50" s="528"/>
      <c r="R50" s="1348">
        <f t="shared" si="3"/>
        <v>0.88</v>
      </c>
      <c r="S50" s="471" t="e">
        <f>K50*#REF!</f>
        <v>#REF!</v>
      </c>
      <c r="T50" s="258">
        <f t="shared" si="4"/>
        <v>17.891780950399998</v>
      </c>
      <c r="U50" s="1349">
        <f t="shared" si="5"/>
        <v>0.88</v>
      </c>
      <c r="V50" s="1350" t="e">
        <f>M50*#REF!</f>
        <v>#REF!</v>
      </c>
      <c r="W50" s="827">
        <f t="shared" si="6"/>
        <v>17.891780950399998</v>
      </c>
      <c r="X50" s="1351">
        <f t="shared" si="7"/>
        <v>0.88</v>
      </c>
      <c r="Y50" s="471" t="e">
        <f>O50*#REF!</f>
        <v>#REF!</v>
      </c>
      <c r="Z50" s="258">
        <f t="shared" si="8"/>
        <v>17.891780950399998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43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2.5</v>
      </c>
      <c r="J51" s="470">
        <f>IF($B51=0,0,VLOOKUP($B51,Arbeitsgänge!$B$27:$T$80,14))</f>
        <v>94.497542999999993</v>
      </c>
      <c r="K51" s="2636">
        <f>550/650</f>
        <v>0.84615384615384615</v>
      </c>
      <c r="L51" s="337">
        <f t="shared" si="0"/>
        <v>79.959459461538458</v>
      </c>
      <c r="M51" s="2636">
        <f>650/650</f>
        <v>1</v>
      </c>
      <c r="N51" s="791">
        <f t="shared" si="1"/>
        <v>94.497542999999993</v>
      </c>
      <c r="O51" s="2636">
        <f>750/650</f>
        <v>1.1538461538461537</v>
      </c>
      <c r="P51" s="337">
        <f t="shared" si="2"/>
        <v>109.03562653846151</v>
      </c>
      <c r="Q51" s="528"/>
      <c r="R51" s="1348">
        <f t="shared" si="3"/>
        <v>2.1153846153846154</v>
      </c>
      <c r="S51" s="471" t="e">
        <f>K51*#REF!</f>
        <v>#REF!</v>
      </c>
      <c r="T51" s="258">
        <f t="shared" si="4"/>
        <v>79.959459461538458</v>
      </c>
      <c r="U51" s="1349">
        <f t="shared" si="5"/>
        <v>2.5</v>
      </c>
      <c r="V51" s="1350" t="e">
        <f>M51*#REF!</f>
        <v>#REF!</v>
      </c>
      <c r="W51" s="827">
        <f t="shared" si="6"/>
        <v>94.497542999999993</v>
      </c>
      <c r="X51" s="1351">
        <f t="shared" si="7"/>
        <v>2.8846153846153841</v>
      </c>
      <c r="Y51" s="471" t="e">
        <f>O51*#REF!</f>
        <v>#REF!</v>
      </c>
      <c r="Z51" s="258">
        <f t="shared" si="8"/>
        <v>109.03562653846151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45</v>
      </c>
      <c r="C52" s="104"/>
      <c r="D52" s="137"/>
      <c r="E52" s="8"/>
      <c r="F52" s="8"/>
      <c r="G52" s="731"/>
      <c r="H52" s="726" t="str">
        <f>IF($B52=0,0,VLOOKUP($B52,Arbeitsgänge!$B$27:$T$80,7))</f>
        <v>120 Kw</v>
      </c>
      <c r="I52" s="727">
        <f>IF($B52=0,0,VLOOKUP($B52,Arbeitsgänge!$B$27:$T$80,12))</f>
        <v>2.5</v>
      </c>
      <c r="J52" s="470">
        <f>IF($B52=0,0,VLOOKUP($B52,Arbeitsgänge!$B$27:$T$80,14))</f>
        <v>118.49907999999999</v>
      </c>
      <c r="K52" s="2636">
        <f>L9/650</f>
        <v>0.80384615384615388</v>
      </c>
      <c r="L52" s="337">
        <f t="shared" si="0"/>
        <v>95.255029692307687</v>
      </c>
      <c r="M52" s="2636">
        <f>N9/650</f>
        <v>0.95</v>
      </c>
      <c r="N52" s="791">
        <f t="shared" si="1"/>
        <v>112.57412599999999</v>
      </c>
      <c r="O52" s="2636">
        <f>P9/650</f>
        <v>1.0961538461538463</v>
      </c>
      <c r="P52" s="337">
        <f t="shared" si="2"/>
        <v>129.8932223076923</v>
      </c>
      <c r="Q52" s="528"/>
      <c r="R52" s="1348">
        <f t="shared" si="3"/>
        <v>2.0096153846153846</v>
      </c>
      <c r="S52" s="471" t="e">
        <f>K52*#REF!</f>
        <v>#REF!</v>
      </c>
      <c r="T52" s="258">
        <f t="shared" si="4"/>
        <v>95.255029692307687</v>
      </c>
      <c r="U52" s="1349">
        <f t="shared" si="5"/>
        <v>2.375</v>
      </c>
      <c r="V52" s="1350" t="e">
        <f>M52*#REF!</f>
        <v>#REF!</v>
      </c>
      <c r="W52" s="827">
        <f t="shared" si="6"/>
        <v>112.57412599999999</v>
      </c>
      <c r="X52" s="1351">
        <f t="shared" si="7"/>
        <v>2.7403846153846159</v>
      </c>
      <c r="Y52" s="471" t="e">
        <f>O52*#REF!</f>
        <v>#REF!</v>
      </c>
      <c r="Z52" s="258">
        <f t="shared" si="8"/>
        <v>129.8932223076923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44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1.5</v>
      </c>
      <c r="J53" s="470">
        <f>IF($B53=0,0,VLOOKUP($B53,Arbeitsgänge!$B$27:$T$80,14))</f>
        <v>270.72499999999997</v>
      </c>
      <c r="K53" s="2636">
        <f>L9/650</f>
        <v>0.80384615384615388</v>
      </c>
      <c r="L53" s="337">
        <f t="shared" si="0"/>
        <v>217.62124999999997</v>
      </c>
      <c r="M53" s="2636">
        <f>N9/650</f>
        <v>0.95</v>
      </c>
      <c r="N53" s="791">
        <f t="shared" si="1"/>
        <v>257.18874999999997</v>
      </c>
      <c r="O53" s="2636">
        <f>P9/650</f>
        <v>1.0961538461538463</v>
      </c>
      <c r="P53" s="337">
        <f t="shared" si="2"/>
        <v>296.75624999999997</v>
      </c>
      <c r="Q53" s="528"/>
      <c r="R53" s="1348">
        <f t="shared" si="3"/>
        <v>1.2057692307692309</v>
      </c>
      <c r="S53" s="471" t="e">
        <f>K53*#REF!</f>
        <v>#REF!</v>
      </c>
      <c r="T53" s="258">
        <f t="shared" si="4"/>
        <v>217.62124999999997</v>
      </c>
      <c r="U53" s="1349">
        <f t="shared" si="5"/>
        <v>1.4249999999999998</v>
      </c>
      <c r="V53" s="1350" t="e">
        <f>M53*#REF!</f>
        <v>#REF!</v>
      </c>
      <c r="W53" s="827">
        <f t="shared" si="6"/>
        <v>257.18874999999997</v>
      </c>
      <c r="X53" s="1351">
        <f t="shared" si="7"/>
        <v>1.6442307692307694</v>
      </c>
      <c r="Y53" s="471" t="e">
        <f>O53*#REF!</f>
        <v>#REF!</v>
      </c>
      <c r="Z53" s="258">
        <f t="shared" si="8"/>
        <v>296.75624999999997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10.920769230769231</v>
      </c>
      <c r="L56" s="341"/>
      <c r="M56" s="797">
        <f>SUM($U$45:$U$55)</f>
        <v>11.89</v>
      </c>
      <c r="N56" s="798"/>
      <c r="O56" s="340">
        <f>SUM($X$45:$X$55)</f>
        <v>12.85923076923077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19.657384615384615</v>
      </c>
      <c r="L57" s="343"/>
      <c r="M57" s="799">
        <f>IF(M56+(M56*$G$57/100)&gt;M56+10,M56+10,M56+(M56*$G$57/100))</f>
        <v>21.402000000000001</v>
      </c>
      <c r="N57" s="800"/>
      <c r="O57" s="342">
        <f>IF(O56+(O56*$G$57/100)&gt;O56+10,O56+10,O56+(O56*$G$57/100))</f>
        <v>22.85923076923077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813.35067537500004</v>
      </c>
      <c r="M58" s="826"/>
      <c r="N58" s="786">
        <f>SUM(N60:N62)</f>
        <v>935.48534362500004</v>
      </c>
      <c r="O58" s="344"/>
      <c r="P58" s="325">
        <f>SUM(P60:P62)</f>
        <v>1057.6200118750003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50</v>
      </c>
      <c r="E60" s="3020"/>
      <c r="F60" s="3020"/>
      <c r="G60" s="3021"/>
      <c r="H60" s="3012">
        <v>340</v>
      </c>
      <c r="I60" s="3022"/>
      <c r="J60" s="3015">
        <f>H60*($H$58+100)/100</f>
        <v>404.6</v>
      </c>
      <c r="K60" s="3023">
        <v>0.9</v>
      </c>
      <c r="L60" s="3015">
        <f>K60*J60</f>
        <v>364.14000000000004</v>
      </c>
      <c r="M60" s="3023">
        <v>1</v>
      </c>
      <c r="N60" s="3016">
        <f>M60*J60</f>
        <v>404.6</v>
      </c>
      <c r="O60" s="3023">
        <v>1.1000000000000001</v>
      </c>
      <c r="P60" s="3015">
        <f>O60*J60</f>
        <v>445.06000000000006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 t="s">
        <v>1146</v>
      </c>
      <c r="E61" s="3003"/>
      <c r="F61" s="3003"/>
      <c r="G61" s="105"/>
      <c r="H61" s="3161">
        <v>3.5</v>
      </c>
      <c r="I61" s="3004"/>
      <c r="J61" s="3030">
        <f>H61*($H$58+100)/100</f>
        <v>4.165</v>
      </c>
      <c r="K61" s="3162">
        <f>L9/10</f>
        <v>52.25</v>
      </c>
      <c r="L61" s="258">
        <f>K61*J61</f>
        <v>217.62125</v>
      </c>
      <c r="M61" s="3162">
        <f>N9/10</f>
        <v>61.75</v>
      </c>
      <c r="N61" s="827">
        <f>M61*J61</f>
        <v>257.18875000000003</v>
      </c>
      <c r="O61" s="3162">
        <f>P9/10</f>
        <v>71.25</v>
      </c>
      <c r="P61" s="258">
        <f>O61*J61</f>
        <v>296.75625000000002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43.247324999999996</v>
      </c>
      <c r="L62" s="308">
        <f>K62*I62</f>
        <v>231.58942537499999</v>
      </c>
      <c r="M62" s="2626">
        <f>M11/($V$63)/10*($V$65*M17)</f>
        <v>51.110475000000008</v>
      </c>
      <c r="N62" s="828">
        <f>M62*I62</f>
        <v>273.69659362500005</v>
      </c>
      <c r="O62" s="2626">
        <f>O11/($V$63)/10*($V$65*O17)</f>
        <v>58.973625000000006</v>
      </c>
      <c r="P62" s="308">
        <f>O62*I62</f>
        <v>315.80376187500008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0.23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13.679760599999998</v>
      </c>
      <c r="M65" s="1357"/>
      <c r="N65" s="786">
        <f>M66*$H66/100</f>
        <v>16.166989800000003</v>
      </c>
      <c r="O65" s="347"/>
      <c r="P65" s="325">
        <f>O66*$H66/100</f>
        <v>18.654218999999998</v>
      </c>
      <c r="Q65" s="529"/>
      <c r="R65" s="542"/>
      <c r="S65" s="1167"/>
      <c r="T65" s="2598"/>
      <c r="U65" s="2598"/>
      <c r="V65" s="2599">
        <v>0.89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1139.9800499999999</v>
      </c>
      <c r="L66" s="348"/>
      <c r="M66" s="3181">
        <f>M15*0.3</f>
        <v>1347.2491500000003</v>
      </c>
      <c r="N66" s="789"/>
      <c r="O66" s="3181">
        <f>O15*0.3</f>
        <v>1554.5182499999999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708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6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7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8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9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V13" sqref="V13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'53)Zuckerrüben Biogas ex S(a)'!J2</f>
        <v>2022</v>
      </c>
      <c r="K2" s="2504" t="s">
        <v>858</v>
      </c>
      <c r="L2" s="2502"/>
      <c r="M2" s="2505"/>
      <c r="N2" s="2529"/>
      <c r="O2" s="2530" t="str">
        <f>'53)Zuckerrüben Biogas ex S(a)'!M2</f>
        <v>Zuckerrüben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2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'53)Zuckerrüben Biogas ex S(a)'!H3</f>
        <v>Silage für Biogasanlage;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'53)Zuckerrüben Biogas ex S(a)'!K5</f>
        <v>126.5</v>
      </c>
      <c r="N6" s="1735">
        <f>'53)Zuckerrüben Biogas ex S(a)'!M5</f>
        <v>149.5</v>
      </c>
      <c r="O6" s="1743">
        <f>'53)Zuckerrüben Biogas ex S(a)'!O5</f>
        <v>172.5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'53)Zuckerrüben Biogas ex S(a)'!K9</f>
        <v>120.175</v>
      </c>
      <c r="N7" s="1736">
        <f>'53)Zuckerrüben Biogas ex S(a)'!M9</f>
        <v>142.02500000000001</v>
      </c>
      <c r="O7" s="1744">
        <f>'53)Zuckerrüben Biogas ex S(a)'!O9</f>
        <v>163.875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'53)Zuckerrüben Biogas ex S(a)'!L9</f>
        <v>522.5</v>
      </c>
      <c r="N8" s="1737">
        <f>'53)Zuckerrüben Biogas ex S(a)'!N9</f>
        <v>617.5</v>
      </c>
      <c r="O8" s="1583">
        <f>'53)Zuckerrüben Biogas ex S(a)'!P9</f>
        <v>712.5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'53)Zuckerrüben Biogas ex S(a)'!K11</f>
        <v>111.76275</v>
      </c>
      <c r="N9" s="1562">
        <f>'53)Zuckerrüben Biogas ex S(a)'!M11</f>
        <v>132.08325000000002</v>
      </c>
      <c r="O9" s="1747">
        <f>'53)Zuckerrüben Biogas ex S(a)'!O11</f>
        <v>152.40375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'53)Zuckerrüben Biogas ex S(a)'!L11</f>
        <v>429.85673076923075</v>
      </c>
      <c r="N10" s="1582">
        <f>'53)Zuckerrüben Biogas ex S(a)'!N11</f>
        <v>508.01250000000005</v>
      </c>
      <c r="O10" s="2014">
        <f>'53)Zuckerrüben Biogas ex S(a)'!P11</f>
        <v>586.16826923076917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'53)Zuckerrüben Biogas ex S(a)'!L12</f>
        <v>66.131804733727805</v>
      </c>
      <c r="N11" s="1818">
        <f>'53)Zuckerrüben Biogas ex S(a)'!N12</f>
        <v>78.155769230769238</v>
      </c>
      <c r="O11" s="1819">
        <f>'53)Zuckerrüben Biogas ex S(a)'!P12</f>
        <v>90.179733727810643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'53)Zuckerrüben Biogas ex S(a)'!K15</f>
        <v>3799.9335000000001</v>
      </c>
      <c r="N12" s="1738">
        <f>'53)Zuckerrüben Biogas ex S(a)'!M15</f>
        <v>4490.8305000000009</v>
      </c>
      <c r="O12" s="1745">
        <f>'53)Zuckerrüben Biogas ex S(a)'!O15</f>
        <v>5181.7275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'53)Zuckerrüben Biogas ex S(a)'!K16</f>
        <v>136.797606</v>
      </c>
      <c r="N13" s="2077">
        <f>'53)Zuckerrüben Biogas ex S(a)'!M16</f>
        <v>161.66989800000002</v>
      </c>
      <c r="O13" s="2078">
        <f>'53)Zuckerrüben Biogas ex S(a)'!O16</f>
        <v>186.54219000000001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'53)Zuckerrüben Biogas ex S(a)'!L24</f>
        <v>270</v>
      </c>
      <c r="N15" s="3338">
        <f>'53)Zuckerrüben Biogas ex S(a)'!N24</f>
        <v>270</v>
      </c>
      <c r="O15" s="3341">
        <f>'53)Zuckerrüben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'53)Zuckerrüben Biogas ex S(a)'!L18</f>
        <v>0</v>
      </c>
      <c r="N16" s="1736">
        <f>'53)Zuckerrüben Biogas ex S(a)'!N18</f>
        <v>0</v>
      </c>
      <c r="O16" s="3343">
        <f>'53)Zuckerrüben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'53)Zuckerrüben Biogas ex S(a)'!L27</f>
        <v>247.17000000000002</v>
      </c>
      <c r="N19" s="2072">
        <f>'53)Zuckerrüben Biogas ex S(a)'!N27</f>
        <v>247.17000000000002</v>
      </c>
      <c r="O19" s="2073">
        <f>'53)Zuckerrüben Biogas ex S(a)'!P27</f>
        <v>247.17000000000002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'53)Zuckerrüben Biogas ex S(a)'!L31-'53)Zuckerrüben Biogas ex S(a)'!L17</f>
        <v>48.29960635499998</v>
      </c>
      <c r="N20" s="1567">
        <f>'53)Zuckerrüben Biogas ex S(a)'!N31-'53)Zuckerrüben Biogas ex S(a)'!N17</f>
        <v>57.081352965000008</v>
      </c>
      <c r="O20" s="1574">
        <f>'53)Zuckerrüben Biogas ex S(a)'!P31-'53)Zuckerrüben Biogas ex S(a)'!P17</f>
        <v>65.863099574999978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'53)Zuckerrüben Biogas ex S(a)'!L37</f>
        <v>228.87270000000001</v>
      </c>
      <c r="N21" s="1567">
        <f>'53)Zuckerrüben Biogas ex S(a)'!N37</f>
        <v>228.87270000000001</v>
      </c>
      <c r="O21" s="1574">
        <f>'53)Zuckerrüben Biogas ex S(a)'!P37</f>
        <v>228.87270000000001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'53)Zuckerrüben Biogas ex S(a)'!L65</f>
        <v>13.679760599999998</v>
      </c>
      <c r="N22" s="1567">
        <f>'53)Zuckerrüben Biogas ex S(a)'!N65</f>
        <v>16.166989800000003</v>
      </c>
      <c r="O22" s="1574">
        <f>'53)Zuckerrüben Biogas ex S(a)'!P65</f>
        <v>18.654218999999998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'53)Zuckerrüben Biogas ex S(a)'!L67</f>
        <v>59.5</v>
      </c>
      <c r="N23" s="1567">
        <f>'53)Zuckerrüben Biogas ex S(a)'!N67</f>
        <v>59.5</v>
      </c>
      <c r="O23" s="1574">
        <f>'53)Zuckerrüben Biogas ex S(a)'!P67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'53)Zuckerrüben Biogas ex S(a)'!L42</f>
        <v>604.79058529144618</v>
      </c>
      <c r="N24" s="1567">
        <f>'53)Zuckerrüben Biogas ex S(a)'!N42</f>
        <v>676.2152651376</v>
      </c>
      <c r="O24" s="1574">
        <f>'53)Zuckerrüben Biogas ex S(a)'!P42</f>
        <v>747.63994498375382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'53)Zuckerrüben Biogas ex S(a)'!L58</f>
        <v>813.35067537500004</v>
      </c>
      <c r="N25" s="1567">
        <f>'53)Zuckerrüben Biogas ex S(a)'!N58</f>
        <v>935.48534362500004</v>
      </c>
      <c r="O25" s="1574">
        <f>'53)Zuckerrüben Biogas ex S(a)'!P58</f>
        <v>1057.6200118750003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'53)Zuckerrüben Biogas ex S(a)'!L63</f>
        <v>0</v>
      </c>
      <c r="N26" s="1980">
        <f>'53)Zuckerrüben Biogas ex S(a)'!N63</f>
        <v>0</v>
      </c>
      <c r="O26" s="1981">
        <f>'53)Zuckerrüben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2015.6633276214463</v>
      </c>
      <c r="N27" s="1775">
        <f>SUM(N19:N26)</f>
        <v>2220.4916515276</v>
      </c>
      <c r="O27" s="2055">
        <f>SUM(O19:O26)</f>
        <v>2425.3199754337538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-2015.6633276214463</v>
      </c>
      <c r="N28" s="2060">
        <f>-N27</f>
        <v>-2220.4916515276</v>
      </c>
      <c r="O28" s="2061">
        <f>-O27</f>
        <v>-2425.3199754337538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M27*'53)Zuckerrüben Biogas ex S(a)'!$L$70*'53)Zuckerrüben Biogas ex S(a)'!$P$70/12/100</f>
        <v>12.59789579763404</v>
      </c>
      <c r="N30" s="1980">
        <f>N27*'53)Zuckerrüben Biogas ex S(a)'!$L$70*'53)Zuckerrüben Biogas ex S(a)'!$P$70/12/100</f>
        <v>13.8780728220475</v>
      </c>
      <c r="O30" s="1981">
        <f>O27*'53)Zuckerrüben Biogas ex S(a)'!$L$70*'53)Zuckerrüben Biogas ex S(a)'!$P$70/12/100</f>
        <v>15.15824984646096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-1758.2612234190804</v>
      </c>
      <c r="N31" s="1769">
        <f>N28+N29-N30</f>
        <v>-1964.3697243496474</v>
      </c>
      <c r="O31" s="1776">
        <f>O28+O29-O30</f>
        <v>-2170.4782252802147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-0.46270841934972817</v>
      </c>
      <c r="N32" s="1561">
        <f>IF(N12=0,0,N31/N12)</f>
        <v>-0.43741791732055951</v>
      </c>
      <c r="O32" s="2047">
        <f>IF(O12=0,0,O31/O12)</f>
        <v>-0.41887154916583608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-12.853011648603561</v>
      </c>
      <c r="N33" s="1576">
        <f>IF(N13=0,0,N31/N13)</f>
        <v>-12.150497703348877</v>
      </c>
      <c r="O33" s="2052">
        <f>IF(O13=0,0,O31/O13)</f>
        <v>-11.635320810162112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'53)Zuckerrüben Biogas ex S(a)'!K57</f>
        <v>19.657384615384615</v>
      </c>
      <c r="N35" s="2396">
        <f>'53)Zuckerrüben Biogas ex S(a)'!M57</f>
        <v>21.402000000000001</v>
      </c>
      <c r="O35" s="2398">
        <f>'53)Zuckerrüben Biogas ex S(a)'!O57</f>
        <v>22.85923076923077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'53)Zuckerrüben Biogas ex S(a)'!L10</f>
        <v>80.384615384615387</v>
      </c>
      <c r="N36" s="2431">
        <f>'53)Zuckerrüben Biogas ex S(a)'!N10</f>
        <v>95</v>
      </c>
      <c r="O36" s="2432">
        <f>'53)Zuckerrüben Biogas ex S(a)'!P10</f>
        <v>109.61538461538463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344.00423076923073</v>
      </c>
      <c r="N37" s="1567">
        <f>$J$37*N35</f>
        <v>374.53500000000003</v>
      </c>
      <c r="O37" s="1574">
        <f>$J$37*O35</f>
        <v>400.0365384615385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390.60224358974364</v>
      </c>
      <c r="N38" s="2433">
        <f>N36*$I$36</f>
        <v>461.62083333333334</v>
      </c>
      <c r="O38" s="2429">
        <f>O36*$I$36</f>
        <v>532.63942307692321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1717.3496184099001</v>
      </c>
      <c r="N43" s="1991">
        <f>SUM(N37:N42)</f>
        <v>1508.8989773842593</v>
      </c>
      <c r="O43" s="1994">
        <f>SUM(O37:O42)</f>
        <v>1605.4191055893875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3745.6108418289805</v>
      </c>
      <c r="N46" s="2041">
        <f>N27+N30+N43</f>
        <v>3743.2687017339067</v>
      </c>
      <c r="O46" s="2080">
        <f>O27+O30+O43</f>
        <v>4045.8973308696022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-3745.6108418289805</v>
      </c>
      <c r="N47" s="2227">
        <f>N45-N46</f>
        <v>-3743.2687017339067</v>
      </c>
      <c r="O47" s="2228">
        <f>O45-O46</f>
        <v>-4045.8973308696022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-3475.6108418289805</v>
      </c>
      <c r="N49" s="1991">
        <f>N47+N48</f>
        <v>-3473.2687017339067</v>
      </c>
      <c r="O49" s="1994">
        <f>O47+O48</f>
        <v>-3775.8973308696022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3475.6108418289805</v>
      </c>
      <c r="N51" s="1771">
        <f>N46-N48</f>
        <v>3473.2687017339067</v>
      </c>
      <c r="O51" s="3358">
        <f>O46-O48</f>
        <v>3775.8973308696022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8.0855098758355091</v>
      </c>
      <c r="N52" s="2335">
        <f>IF(N10=0,0,N$51/N10)</f>
        <v>6.836974880999791</v>
      </c>
      <c r="O52" s="2336">
        <f>IF(O10=0,0,O$51/O10)</f>
        <v>6.4416610879069358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31.098114907059646</v>
      </c>
      <c r="N53" s="2335">
        <f>IF(N9=0,0,N$51/N9)</f>
        <v>26.29605723461458</v>
      </c>
      <c r="O53" s="2336">
        <f>IF(O9=0,0,O$51/O9)</f>
        <v>24.775619568872827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52.555814192930804</v>
      </c>
      <c r="N54" s="2335">
        <f t="shared" si="3"/>
        <v>44.440336726498643</v>
      </c>
      <c r="O54" s="2336">
        <f t="shared" si="3"/>
        <v>41.870797071395081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0.9146504384429307</v>
      </c>
      <c r="N55" s="2219">
        <f t="shared" si="3"/>
        <v>0.77341344807689938</v>
      </c>
      <c r="O55" s="2220">
        <f t="shared" si="3"/>
        <v>0.72869469320214197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25.406956623414743</v>
      </c>
      <c r="N56" s="2219">
        <f>IF(N13=0,0,N$51/N13)</f>
        <v>21.483706891024983</v>
      </c>
      <c r="O56" s="2220">
        <f>IF(O13=0,0,O$51/O13)</f>
        <v>20.241519255615056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0.25406956623414739</v>
      </c>
      <c r="N57" s="2222">
        <f>N51/$N$12*10/$F$57</f>
        <v>0.21483706891024981</v>
      </c>
      <c r="O57" s="2223">
        <f>O51/$O$12*10/$F$57</f>
        <v>0.20241519255615054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3085.008598239237</v>
      </c>
      <c r="N58" s="1769">
        <f>N51-N38</f>
        <v>3011.6478684005733</v>
      </c>
      <c r="O58" s="1776">
        <f>O51-O38</f>
        <v>3243.2579077926789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27.603191566414008</v>
      </c>
      <c r="N59" s="3416">
        <f>N58/N9</f>
        <v>22.801133893968938</v>
      </c>
      <c r="O59" s="3417">
        <f>O58/O9</f>
        <v>21.280696228227185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0.81185857548276485</v>
      </c>
      <c r="N60" s="2130">
        <f>IF(N12=0,0,N$58/N12)</f>
        <v>0.67062158511673342</v>
      </c>
      <c r="O60" s="2217">
        <f>IF(O12=0,0,O$58/O12)</f>
        <v>0.62590283024197602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0.22551627096743468</v>
      </c>
      <c r="N61" s="2130">
        <f>N58/$N$12*10/$F$57</f>
        <v>0.18628377364353707</v>
      </c>
      <c r="O61" s="3422">
        <f>O58/$O$12*10/$F$57</f>
        <v>0.17386189728943779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22.55162709674347</v>
      </c>
      <c r="N62" s="1874">
        <f>IF(N13=0,0,N$58/N13)</f>
        <v>18.62837736435371</v>
      </c>
      <c r="O62" s="2032">
        <f>IF(O13=0,0,O$58/O13)</f>
        <v>17.38618972894378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610.11996275263402</v>
      </c>
      <c r="N64" s="1772">
        <f>SUM(N19:N23)+N30</f>
        <v>622.6691155870476</v>
      </c>
      <c r="O64" s="1773">
        <f>SUM(O19:O23)+O30</f>
        <v>635.21826842146095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0.16056069474706175</v>
      </c>
      <c r="N65" s="2031">
        <f>IF(N12=0,0,N64/N12)</f>
        <v>0.13865344407611185</v>
      </c>
      <c r="O65" s="2032">
        <f>IF(O12=0,0,O64/O12)</f>
        <v>0.12258812691741527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2308.4933153327565</v>
      </c>
      <c r="N66" s="2038">
        <f>N24+N25+N26+N39+N37</f>
        <v>2461.158752813526</v>
      </c>
      <c r="O66" s="2039">
        <f>O24+O25+O26+O39+O37</f>
        <v>2680.2196393712184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0.6075088722823061</v>
      </c>
      <c r="N67" s="2168">
        <f>IF(N12=0,0,N66/N12)</f>
        <v>0.5480408919493901</v>
      </c>
      <c r="O67" s="2187">
        <f>IF(O12=0,0,O66/O12)</f>
        <v>0.51724442077882682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12.0175</v>
      </c>
      <c r="N72" s="2877">
        <f>N7/10</f>
        <v>14.202500000000001</v>
      </c>
      <c r="O72" s="2877">
        <f>O7/10</f>
        <v>16.387499999999999</v>
      </c>
    </row>
    <row r="73" spans="2:41" x14ac:dyDescent="0.2">
      <c r="K73" s="7" t="s">
        <v>263</v>
      </c>
      <c r="M73" s="2725">
        <f>M6</f>
        <v>126.5</v>
      </c>
      <c r="N73" s="2725">
        <f>N6</f>
        <v>149.5</v>
      </c>
      <c r="O73" s="2725">
        <f>O6</f>
        <v>172.5</v>
      </c>
    </row>
    <row r="74" spans="2:41" x14ac:dyDescent="0.2">
      <c r="K74" s="7" t="s">
        <v>419</v>
      </c>
      <c r="M74" s="2941">
        <f>M9/10</f>
        <v>11.176275</v>
      </c>
      <c r="N74" s="2941">
        <f>N9/10</f>
        <v>13.208325000000002</v>
      </c>
      <c r="O74" s="2941">
        <f>O9/10</f>
        <v>15.240375</v>
      </c>
    </row>
    <row r="75" spans="2:41" x14ac:dyDescent="0.2">
      <c r="M75" s="2666">
        <f>M53*10</f>
        <v>310.98114907059647</v>
      </c>
      <c r="N75" s="2666">
        <f>N53*10</f>
        <v>262.9605723461458</v>
      </c>
      <c r="O75" s="2666">
        <f>O53*10</f>
        <v>247.75619568872827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Aulendorf&amp;C&amp;12 125&amp;9
&amp;R&amp;12&amp;F
&amp;A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9">
    <pageSetUpPr fitToPage="1"/>
  </sheetPr>
  <dimension ref="A1:CA70"/>
  <sheetViews>
    <sheetView showGridLines="0" showZeros="0" zoomScaleNormal="100" zoomScaleSheetLayoutView="75" workbookViewId="0">
      <pane xSplit="10" ySplit="5" topLeftCell="K39" activePane="bottomRight" state="frozen"/>
      <selection activeCell="G1" sqref="G1:I1"/>
      <selection pane="topRight" activeCell="G1" sqref="G1:I1"/>
      <selection pane="bottomLeft" activeCell="G1" sqref="G1:I1"/>
      <selection pane="bottomRight" activeCell="Q30" sqref="Q30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.42578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1187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1396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48.469387755102034</v>
      </c>
      <c r="M10" s="286"/>
      <c r="N10" s="811">
        <f>IF(R10=TRUE,IF(M8=0,0,1/M8*N9),0)</f>
        <v>63.010204081632651</v>
      </c>
      <c r="O10" s="173"/>
      <c r="P10" s="722">
        <f>IF(R10=TRUE,IF(O8=0,0,1/O8*P9),0)</f>
        <v>77.551020408163268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42.071428571428569</v>
      </c>
      <c r="M12" s="801"/>
      <c r="N12" s="814">
        <f>IF(N8=0,0,1/N8*N11)</f>
        <v>54.692857142857143</v>
      </c>
      <c r="O12" s="487"/>
      <c r="P12" s="502">
        <f>IF(P8=0,0,1/P8*P11)</f>
        <v>67.314285714285717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f>67/L7*10</f>
        <v>22.333333333333336</v>
      </c>
      <c r="L13" s="418"/>
      <c r="M13" s="499">
        <f>67/N7*10</f>
        <v>22.333333333333336</v>
      </c>
      <c r="N13" s="784"/>
      <c r="O13" s="499">
        <f>67/P7*10</f>
        <v>22.333333333333336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0.80400000000000005</v>
      </c>
      <c r="L14" s="418"/>
      <c r="M14" s="815">
        <f>M13*$G14</f>
        <v>0.80400000000000005</v>
      </c>
      <c r="N14" s="784"/>
      <c r="O14" s="513">
        <f>O13*$G14</f>
        <v>0.80400000000000005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1973.15</v>
      </c>
      <c r="L15" s="418"/>
      <c r="M15" s="816">
        <f>M$11*M13</f>
        <v>2565.0950000000003</v>
      </c>
      <c r="N15" s="784"/>
      <c r="O15" s="497">
        <f>O$11*O13</f>
        <v>3157.0400000000004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71.0334</v>
      </c>
      <c r="L16" s="417"/>
      <c r="M16" s="817">
        <f>M$11*M14</f>
        <v>92.343420000000009</v>
      </c>
      <c r="N16" s="428"/>
      <c r="O16" s="498">
        <f>O$11*O14</f>
        <v>113.65344000000002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415.86572999999999</v>
      </c>
      <c r="M17" s="2600">
        <f>K17</f>
        <v>1</v>
      </c>
      <c r="N17" s="2591">
        <f>M17*(N33*(1-$AC$14)+N34*(1-$AC$15)+N35*(1-$AC$16)+N36*(1-$AC$17))</f>
        <v>540.62544899999989</v>
      </c>
      <c r="O17" s="2601">
        <f>K17</f>
        <v>1</v>
      </c>
      <c r="P17" s="2590">
        <f>O17*(P33*(1-$AC$14)+P34*(1-$AC$15)+P35*(1-$AC$16)+P36*(1-$AC$17))</f>
        <v>665.38516799999991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SUM($J19:$J23)</f>
        <v>0</v>
      </c>
      <c r="M18" s="3208"/>
      <c r="N18" s="4071">
        <f>SUM($J19:$J23)</f>
        <v>0</v>
      </c>
      <c r="O18" s="3206"/>
      <c r="P18" s="3207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1831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128.4</v>
      </c>
      <c r="M27" s="804"/>
      <c r="N27" s="3211">
        <f>SUM(N29:N30)</f>
        <v>128.4</v>
      </c>
      <c r="O27" s="330"/>
      <c r="P27" s="3210">
        <f>SUM(P29:P30)</f>
        <v>128.4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4089" t="s">
        <v>1865</v>
      </c>
      <c r="E29" s="105"/>
      <c r="F29" s="105"/>
      <c r="G29" s="105"/>
      <c r="H29" s="392">
        <v>30</v>
      </c>
      <c r="I29" s="711">
        <f>H29*($H$27+100)/100</f>
        <v>32.1</v>
      </c>
      <c r="J29" s="357"/>
      <c r="K29" s="3462">
        <v>4</v>
      </c>
      <c r="L29" s="337">
        <f>$I29*K29</f>
        <v>128.4</v>
      </c>
      <c r="M29" s="3462">
        <v>4</v>
      </c>
      <c r="N29" s="791">
        <f>$I29*M29</f>
        <v>128.4</v>
      </c>
      <c r="O29" s="3462">
        <v>4</v>
      </c>
      <c r="P29" s="337">
        <f>$I29*O29</f>
        <v>128.4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455.02624999999995</v>
      </c>
      <c r="M31" s="3216"/>
      <c r="N31" s="3211">
        <f>SUM(N33:N36)</f>
        <v>591.5341249999999</v>
      </c>
      <c r="O31" s="3215"/>
      <c r="P31" s="3210">
        <f>SUM(P33:P36)</f>
        <v>728.04199999999992</v>
      </c>
      <c r="Q31" s="529"/>
      <c r="S31" s="3438" t="s">
        <v>1362</v>
      </c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3439" t="s">
        <v>1366</v>
      </c>
      <c r="S32" s="529"/>
      <c r="T32" s="3376" t="s">
        <v>1367</v>
      </c>
      <c r="U32" s="3437" t="s">
        <v>1361</v>
      </c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0.8</v>
      </c>
      <c r="H33" s="386">
        <v>0</v>
      </c>
      <c r="I33"/>
      <c r="J33" s="172"/>
      <c r="K33" s="336">
        <f>G33*$K$9+H33</f>
        <v>76</v>
      </c>
      <c r="L33" s="337">
        <f>K33*$E33</f>
        <v>130.53506666666667</v>
      </c>
      <c r="M33" s="820">
        <f>G33*$M$9+H33</f>
        <v>98.800000000000011</v>
      </c>
      <c r="N33" s="791">
        <f>M33*$E33</f>
        <v>169.69558666666669</v>
      </c>
      <c r="O33" s="336">
        <f>G33*$O$9+H33</f>
        <v>121.60000000000001</v>
      </c>
      <c r="P33" s="337">
        <f>O33*$E33</f>
        <v>208.85610666666668</v>
      </c>
      <c r="Q33" s="947" t="s">
        <v>356</v>
      </c>
      <c r="R33" s="528">
        <v>145</v>
      </c>
      <c r="S33" s="528">
        <v>1</v>
      </c>
      <c r="T33" s="528">
        <f>R33*S33</f>
        <v>145</v>
      </c>
      <c r="U33" s="51">
        <v>1</v>
      </c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0.53</v>
      </c>
      <c r="H34" s="386"/>
      <c r="I34"/>
      <c r="J34" s="172"/>
      <c r="K34" s="336">
        <f>G34*$K$9+H34</f>
        <v>50.35</v>
      </c>
      <c r="L34" s="337">
        <f>K34*$E34</f>
        <v>56.920674999999996</v>
      </c>
      <c r="M34" s="820">
        <f>G34*$M$9+H34</f>
        <v>65.454999999999998</v>
      </c>
      <c r="N34" s="791">
        <f>M34*$E34</f>
        <v>73.996877499999982</v>
      </c>
      <c r="O34" s="336">
        <f>G34*$O$9+H34</f>
        <v>80.56</v>
      </c>
      <c r="P34" s="337">
        <f>O34*$E34</f>
        <v>91.07307999999999</v>
      </c>
      <c r="Q34" s="947" t="s">
        <v>1363</v>
      </c>
      <c r="R34" s="528">
        <v>25</v>
      </c>
      <c r="S34" s="528">
        <v>2.2909999999999999</v>
      </c>
      <c r="T34" s="528">
        <f>R34*S34</f>
        <v>57.274999999999999</v>
      </c>
      <c r="U34" s="528">
        <f>T34/$T$33</f>
        <v>0.39500000000000002</v>
      </c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2.17</v>
      </c>
      <c r="H35" s="386"/>
      <c r="I35"/>
      <c r="J35" s="172"/>
      <c r="K35" s="336">
        <f>G35*$K$9+H35</f>
        <v>206.15</v>
      </c>
      <c r="L35" s="337">
        <f>K35*$E35</f>
        <v>216.69800833333332</v>
      </c>
      <c r="M35" s="820">
        <f>G35*$M$9+H35</f>
        <v>267.995</v>
      </c>
      <c r="N35" s="791">
        <f>M35*$E35</f>
        <v>281.70741083333331</v>
      </c>
      <c r="O35" s="336">
        <f>G35*$O$9+H35</f>
        <v>329.84</v>
      </c>
      <c r="P35" s="337">
        <f>O35*$E35</f>
        <v>346.71681333333328</v>
      </c>
      <c r="Q35" s="947" t="s">
        <v>1364</v>
      </c>
      <c r="R35" s="528">
        <v>150</v>
      </c>
      <c r="S35" s="528">
        <v>2.2280000000000002</v>
      </c>
      <c r="T35" s="528">
        <f>R35*S35</f>
        <v>334.20000000000005</v>
      </c>
      <c r="U35" s="528">
        <f>T35/$T$33</f>
        <v>2.3048275862068968</v>
      </c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0.9</v>
      </c>
      <c r="H36" s="387"/>
      <c r="I36" s="36"/>
      <c r="J36" s="36"/>
      <c r="K36" s="338">
        <f>G36*$K$9+H36</f>
        <v>85.5</v>
      </c>
      <c r="L36" s="333">
        <f>K36*$E36</f>
        <v>50.872499999999995</v>
      </c>
      <c r="M36" s="821">
        <f>G36*$M$9+H36</f>
        <v>111.15</v>
      </c>
      <c r="N36" s="792">
        <f>M36*$E36</f>
        <v>66.134249999999994</v>
      </c>
      <c r="O36" s="338">
        <f>G36*$O$9+H36</f>
        <v>136.80000000000001</v>
      </c>
      <c r="P36" s="333">
        <f>O36*$E36</f>
        <v>81.396000000000001</v>
      </c>
      <c r="Q36" s="947" t="s">
        <v>1365</v>
      </c>
      <c r="R36" s="528">
        <v>60</v>
      </c>
      <c r="S36" s="528">
        <v>1.6579999999999999</v>
      </c>
      <c r="T36" s="528">
        <f>R36*S36</f>
        <v>99.47999999999999</v>
      </c>
      <c r="U36" s="528">
        <f>T36/$T$33</f>
        <v>0.68606896551724128</v>
      </c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4.9515900000000004</v>
      </c>
      <c r="M37" s="793"/>
      <c r="N37" s="3211">
        <f>SUM(N39:N41)</f>
        <v>4.9515900000000004</v>
      </c>
      <c r="O37" s="339"/>
      <c r="P37" s="3210">
        <f>SUM(P39:P41)</f>
        <v>4.9515900000000004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624</v>
      </c>
      <c r="E39" s="129"/>
      <c r="F39" s="129"/>
      <c r="G39" s="129"/>
      <c r="H39" s="426">
        <v>21.9</v>
      </c>
      <c r="I39" s="426">
        <f>H39*($H$37+100)/100</f>
        <v>26.061</v>
      </c>
      <c r="J39" s="50"/>
      <c r="K39" s="165">
        <f>2.85/15</f>
        <v>0.19</v>
      </c>
      <c r="L39" s="337">
        <f>$I39*K39</f>
        <v>4.9515900000000004</v>
      </c>
      <c r="M39" s="165">
        <f>2.85/15</f>
        <v>0.19</v>
      </c>
      <c r="N39" s="791">
        <f>$I39*M39</f>
        <v>4.9515900000000004</v>
      </c>
      <c r="O39" s="165">
        <f>2.85/15</f>
        <v>0.19</v>
      </c>
      <c r="P39" s="337">
        <f>$I39*O39</f>
        <v>4.9515900000000004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164.59527224887336</v>
      </c>
      <c r="M42" s="3225"/>
      <c r="N42" s="3211">
        <f>SUM(W45:W55)</f>
        <v>208.58600074906334</v>
      </c>
      <c r="O42" s="3224"/>
      <c r="P42" s="3210">
        <f>SUM(Z45:Z55)</f>
        <v>252.57672924925336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>
        <f t="shared" ref="K45:K50" si="0">1/15</f>
        <v>6.6666666666666666E-2</v>
      </c>
      <c r="L45" s="337">
        <f t="shared" ref="L45:L55" si="1">K45*$J45</f>
        <v>2.8081368753333331</v>
      </c>
      <c r="M45" s="374">
        <f>1/15</f>
        <v>6.6666666666666666E-2</v>
      </c>
      <c r="N45" s="791">
        <f t="shared" ref="N45:N55" si="2">M45*$J45</f>
        <v>2.8081368753333331</v>
      </c>
      <c r="O45" s="374">
        <f>1/15</f>
        <v>6.6666666666666666E-2</v>
      </c>
      <c r="P45" s="337">
        <f t="shared" ref="P45:P55" si="3">O45*$J45</f>
        <v>2.8081368753333331</v>
      </c>
      <c r="Q45" s="528"/>
      <c r="R45" s="1344">
        <f t="shared" ref="R45:R55" si="4">$I45*K45</f>
        <v>6.3333333333333325E-2</v>
      </c>
      <c r="S45" s="535" t="e">
        <f>K45*#REF!</f>
        <v>#REF!</v>
      </c>
      <c r="T45" s="258">
        <f t="shared" ref="T45:T55" si="5">K45*$J45</f>
        <v>2.8081368753333331</v>
      </c>
      <c r="U45" s="1345">
        <f t="shared" ref="U45:U55" si="6">$I45*M45</f>
        <v>6.3333333333333325E-2</v>
      </c>
      <c r="V45" s="1346" t="e">
        <f>M45*#REF!</f>
        <v>#REF!</v>
      </c>
      <c r="W45" s="827">
        <f t="shared" ref="W45:W55" si="7">M45*$J45</f>
        <v>2.8081368753333331</v>
      </c>
      <c r="X45" s="1347">
        <f t="shared" ref="X45:X55" si="8">$I45*O45</f>
        <v>6.3333333333333325E-2</v>
      </c>
      <c r="Y45" s="535" t="e">
        <f>O45*#REF!</f>
        <v>#REF!</v>
      </c>
      <c r="Z45" s="258">
        <f t="shared" ref="Z45:Z55" si="9">O45*$J45</f>
        <v>2.8081368753333331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4">
        <f t="shared" si="0"/>
        <v>6.6666666666666666E-2</v>
      </c>
      <c r="L46" s="337">
        <f t="shared" si="1"/>
        <v>6.0798909733333337</v>
      </c>
      <c r="M46" s="374">
        <f>1/15</f>
        <v>6.6666666666666666E-2</v>
      </c>
      <c r="N46" s="791">
        <f t="shared" si="2"/>
        <v>6.0798909733333337</v>
      </c>
      <c r="O46" s="374">
        <f>1/15</f>
        <v>6.6666666666666666E-2</v>
      </c>
      <c r="P46" s="337">
        <f t="shared" si="3"/>
        <v>6.0798909733333337</v>
      </c>
      <c r="Q46" s="528"/>
      <c r="R46" s="1348">
        <f t="shared" si="4"/>
        <v>9.6666666666666665E-2</v>
      </c>
      <c r="S46" s="471" t="e">
        <f>K46*#REF!</f>
        <v>#REF!</v>
      </c>
      <c r="T46" s="258">
        <f t="shared" si="5"/>
        <v>6.0798909733333337</v>
      </c>
      <c r="U46" s="1349">
        <f t="shared" si="6"/>
        <v>9.6666666666666665E-2</v>
      </c>
      <c r="V46" s="1350" t="e">
        <f>M46*#REF!</f>
        <v>#REF!</v>
      </c>
      <c r="W46" s="827">
        <f t="shared" si="7"/>
        <v>6.0798909733333337</v>
      </c>
      <c r="X46" s="1351">
        <f t="shared" si="8"/>
        <v>9.6666666666666665E-2</v>
      </c>
      <c r="Y46" s="471" t="e">
        <f>O46*#REF!</f>
        <v>#REF!</v>
      </c>
      <c r="Z46" s="258">
        <f t="shared" si="9"/>
        <v>6.0798909733333337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4">
        <f t="shared" si="0"/>
        <v>6.6666666666666666E-2</v>
      </c>
      <c r="L47" s="337">
        <f t="shared" si="1"/>
        <v>2.1656567285333335</v>
      </c>
      <c r="M47" s="374">
        <f>1/15</f>
        <v>6.6666666666666666E-2</v>
      </c>
      <c r="N47" s="791">
        <f t="shared" si="2"/>
        <v>2.1656567285333335</v>
      </c>
      <c r="O47" s="374">
        <f>1/15</f>
        <v>6.6666666666666666E-2</v>
      </c>
      <c r="P47" s="337">
        <f t="shared" si="3"/>
        <v>2.1656567285333335</v>
      </c>
      <c r="Q47" s="528"/>
      <c r="R47" s="1348">
        <f t="shared" si="4"/>
        <v>6.8000000000000005E-2</v>
      </c>
      <c r="S47" s="471" t="e">
        <f>K47*#REF!</f>
        <v>#REF!</v>
      </c>
      <c r="T47" s="258">
        <f t="shared" si="5"/>
        <v>2.1656567285333335</v>
      </c>
      <c r="U47" s="1349">
        <f t="shared" si="6"/>
        <v>6.8000000000000005E-2</v>
      </c>
      <c r="V47" s="1350" t="e">
        <f>M47*#REF!</f>
        <v>#REF!</v>
      </c>
      <c r="W47" s="827">
        <f t="shared" si="7"/>
        <v>2.1656567285333335</v>
      </c>
      <c r="X47" s="1351">
        <f t="shared" si="8"/>
        <v>6.8000000000000005E-2</v>
      </c>
      <c r="Y47" s="471" t="e">
        <f>O47*#REF!</f>
        <v>#REF!</v>
      </c>
      <c r="Z47" s="258">
        <f t="shared" si="9"/>
        <v>2.1656567285333335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3229" t="str">
        <f>IF($B48=0,0,VLOOKUP($B48,Arbeitsgänge!$B$27:$T$80,7))</f>
        <v>45 kW</v>
      </c>
      <c r="I48" s="727">
        <f>IF($B48=0,0,VLOOKUP($B48,Arbeitsgänge!$B$27:$T$80,12))</f>
        <v>0.55000000000000004</v>
      </c>
      <c r="J48" s="469">
        <f>IF($B48=0,0,VLOOKUP($B48,Arbeitsgänge!$B$27:$T$80,14))</f>
        <v>17.356773713999999</v>
      </c>
      <c r="K48" s="374">
        <f t="shared" si="0"/>
        <v>6.6666666666666666E-2</v>
      </c>
      <c r="L48" s="337">
        <f t="shared" si="1"/>
        <v>1.1571182475999999</v>
      </c>
      <c r="M48" s="374">
        <f>1/15</f>
        <v>6.6666666666666666E-2</v>
      </c>
      <c r="N48" s="791">
        <f t="shared" si="2"/>
        <v>1.1571182475999999</v>
      </c>
      <c r="O48" s="374">
        <f>1/15</f>
        <v>6.6666666666666666E-2</v>
      </c>
      <c r="P48" s="337">
        <f t="shared" si="3"/>
        <v>1.1571182475999999</v>
      </c>
      <c r="Q48" s="528"/>
      <c r="R48" s="1348">
        <f t="shared" si="4"/>
        <v>3.6666666666666667E-2</v>
      </c>
      <c r="S48" s="471" t="e">
        <f>K48*#REF!</f>
        <v>#REF!</v>
      </c>
      <c r="T48" s="258">
        <f t="shared" si="5"/>
        <v>1.1571182475999999</v>
      </c>
      <c r="U48" s="1349">
        <f t="shared" si="6"/>
        <v>3.6666666666666667E-2</v>
      </c>
      <c r="V48" s="1350" t="e">
        <f>M48*#REF!</f>
        <v>#REF!</v>
      </c>
      <c r="W48" s="827">
        <f t="shared" si="7"/>
        <v>1.1571182475999999</v>
      </c>
      <c r="X48" s="1351">
        <f t="shared" si="8"/>
        <v>3.6666666666666667E-2</v>
      </c>
      <c r="Y48" s="471" t="e">
        <f>O48*#REF!</f>
        <v>#REF!</v>
      </c>
      <c r="Z48" s="258">
        <f t="shared" si="9"/>
        <v>1.1571182475999999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3229" t="str">
        <f>IF($B49=0,0,VLOOKUP($B49,Arbeitsgänge!$B$27:$T$80,7))</f>
        <v>45 kW</v>
      </c>
      <c r="I49" s="727">
        <f>IF($B49=0,0,VLOOKUP($B49,Arbeitsgänge!$B$27:$T$80,12))</f>
        <v>0.37</v>
      </c>
      <c r="J49" s="469">
        <f>IF($B49=0,0,VLOOKUP($B49,Arbeitsgänge!$B$27:$T$80,14))</f>
        <v>5.4505114075999996</v>
      </c>
      <c r="K49" s="375">
        <v>1</v>
      </c>
      <c r="L49" s="337">
        <f t="shared" si="1"/>
        <v>5.4505114075999996</v>
      </c>
      <c r="M49" s="375">
        <v>1</v>
      </c>
      <c r="N49" s="791">
        <f t="shared" si="2"/>
        <v>5.4505114075999996</v>
      </c>
      <c r="O49" s="375">
        <v>1</v>
      </c>
      <c r="P49" s="337">
        <f t="shared" si="3"/>
        <v>5.4505114075999996</v>
      </c>
      <c r="Q49" s="528"/>
      <c r="R49" s="1348">
        <f t="shared" si="4"/>
        <v>0.37</v>
      </c>
      <c r="S49" s="471" t="e">
        <f>K49*#REF!</f>
        <v>#REF!</v>
      </c>
      <c r="T49" s="258">
        <f t="shared" si="5"/>
        <v>5.4505114075999996</v>
      </c>
      <c r="U49" s="1349">
        <f t="shared" si="6"/>
        <v>0.37</v>
      </c>
      <c r="V49" s="1350" t="e">
        <f>M49*#REF!</f>
        <v>#REF!</v>
      </c>
      <c r="W49" s="827">
        <f t="shared" si="7"/>
        <v>5.4505114075999996</v>
      </c>
      <c r="X49" s="1351">
        <f t="shared" si="8"/>
        <v>0.37</v>
      </c>
      <c r="Y49" s="471" t="e">
        <f>O49*#REF!</f>
        <v>#REF!</v>
      </c>
      <c r="Z49" s="258">
        <f t="shared" si="9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3229" t="str">
        <f>IF($B50=0,0,VLOOKUP($B50,Arbeitsgänge!$B$27:$T$80,7))</f>
        <v>54 kW</v>
      </c>
      <c r="I50" s="727">
        <f>IF($B50=0,0,VLOOKUP($B50,Arbeitsgänge!$B$27:$T$80,12))</f>
        <v>0.22</v>
      </c>
      <c r="J50" s="469">
        <f>IF($B50=0,0,VLOOKUP($B50,Arbeitsgänge!$B$27:$T$80,14))</f>
        <v>4.4729452375999994</v>
      </c>
      <c r="K50" s="375">
        <f t="shared" si="0"/>
        <v>6.6666666666666666E-2</v>
      </c>
      <c r="L50" s="337">
        <f t="shared" si="1"/>
        <v>0.29819634917333326</v>
      </c>
      <c r="M50" s="375">
        <f>1/15</f>
        <v>6.6666666666666666E-2</v>
      </c>
      <c r="N50" s="791">
        <f t="shared" si="2"/>
        <v>0.29819634917333326</v>
      </c>
      <c r="O50" s="375">
        <f>1/15</f>
        <v>6.6666666666666666E-2</v>
      </c>
      <c r="P50" s="337">
        <f t="shared" si="3"/>
        <v>0.29819634917333326</v>
      </c>
      <c r="Q50" s="528"/>
      <c r="R50" s="1348">
        <f t="shared" si="4"/>
        <v>1.4666666666666666E-2</v>
      </c>
      <c r="S50" s="471" t="e">
        <f>K50*#REF!</f>
        <v>#REF!</v>
      </c>
      <c r="T50" s="258">
        <f t="shared" si="5"/>
        <v>0.29819634917333326</v>
      </c>
      <c r="U50" s="1349">
        <f t="shared" si="6"/>
        <v>1.4666666666666666E-2</v>
      </c>
      <c r="V50" s="1350" t="e">
        <f>M50*#REF!</f>
        <v>#REF!</v>
      </c>
      <c r="W50" s="827">
        <f t="shared" si="7"/>
        <v>0.29819634917333326</v>
      </c>
      <c r="X50" s="1351">
        <f t="shared" si="8"/>
        <v>1.4666666666666666E-2</v>
      </c>
      <c r="Y50" s="471" t="e">
        <f>O50*#REF!</f>
        <v>#REF!</v>
      </c>
      <c r="Z50" s="258">
        <f t="shared" si="9"/>
        <v>0.29819634917333326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3229" t="str">
        <f>IF($B51=0,0,VLOOKUP($B51,Arbeitsgänge!$B$27:$T$80,7))</f>
        <v>67 Kw</v>
      </c>
      <c r="I51" s="727">
        <f>IF($B51=0,0,VLOOKUP($B51,Arbeitsgänge!$B$27:$T$80,12))</f>
        <v>7.88</v>
      </c>
      <c r="J51" s="469">
        <f>IF($B51=0,0,VLOOKUP($B51,Arbeitsgänge!$B$27:$T$80,14))</f>
        <v>160.81118482240001</v>
      </c>
      <c r="K51" s="2636">
        <f>$L$9/500</f>
        <v>0.6785714285714286</v>
      </c>
      <c r="L51" s="337">
        <f t="shared" si="1"/>
        <v>109.12187541520001</v>
      </c>
      <c r="M51" s="2636">
        <f>N9/500</f>
        <v>0.88214285714285712</v>
      </c>
      <c r="N51" s="791">
        <f t="shared" si="2"/>
        <v>141.85843803976002</v>
      </c>
      <c r="O51" s="2636">
        <f>P9/500</f>
        <v>1.0857142857142859</v>
      </c>
      <c r="P51" s="337">
        <f t="shared" si="3"/>
        <v>174.59500066432003</v>
      </c>
      <c r="Q51" s="528"/>
      <c r="R51" s="1348">
        <f t="shared" si="4"/>
        <v>5.347142857142857</v>
      </c>
      <c r="S51" s="471" t="e">
        <f>K51*#REF!</f>
        <v>#REF!</v>
      </c>
      <c r="T51" s="258">
        <f t="shared" si="5"/>
        <v>109.12187541520001</v>
      </c>
      <c r="U51" s="1349">
        <f t="shared" si="6"/>
        <v>6.9512857142857136</v>
      </c>
      <c r="V51" s="1350" t="e">
        <f>M51*#REF!</f>
        <v>#REF!</v>
      </c>
      <c r="W51" s="827">
        <f t="shared" si="7"/>
        <v>141.85843803976002</v>
      </c>
      <c r="X51" s="1351">
        <f t="shared" si="8"/>
        <v>8.5554285714285729</v>
      </c>
      <c r="Y51" s="471" t="e">
        <f>O51*#REF!</f>
        <v>#REF!</v>
      </c>
      <c r="Z51" s="258">
        <f t="shared" si="9"/>
        <v>174.59500066432003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3229" t="str">
        <f>IF($B52=0,0,VLOOKUP($B52,Arbeitsgänge!$B$27:$T$80,7))</f>
        <v>102 kW</v>
      </c>
      <c r="I52" s="727">
        <f>IF($B52=0,0,VLOOKUP($B52,Arbeitsgänge!$B$27:$T$80,12))</f>
        <v>2.13</v>
      </c>
      <c r="J52" s="469">
        <f>IF($B52=0,0,VLOOKUP($B52,Arbeitsgänge!$B$27:$T$80,14))</f>
        <v>55.283621845199988</v>
      </c>
      <c r="K52" s="2636">
        <f>$L$9/500</f>
        <v>0.6785714285714286</v>
      </c>
      <c r="L52" s="337">
        <f t="shared" si="1"/>
        <v>37.513886252099994</v>
      </c>
      <c r="M52" s="2636">
        <f>N9/500</f>
        <v>0.88214285714285712</v>
      </c>
      <c r="N52" s="791">
        <f t="shared" si="2"/>
        <v>48.768052127729987</v>
      </c>
      <c r="O52" s="2636">
        <f>P9/500</f>
        <v>1.0857142857142859</v>
      </c>
      <c r="P52" s="337">
        <f t="shared" si="3"/>
        <v>60.022218003359995</v>
      </c>
      <c r="Q52" s="528"/>
      <c r="R52" s="1348">
        <f t="shared" si="4"/>
        <v>1.4453571428571428</v>
      </c>
      <c r="S52" s="471" t="e">
        <f>K52*#REF!</f>
        <v>#REF!</v>
      </c>
      <c r="T52" s="258">
        <f t="shared" si="5"/>
        <v>37.513886252099994</v>
      </c>
      <c r="U52" s="1349">
        <f t="shared" si="6"/>
        <v>1.8789642857142856</v>
      </c>
      <c r="V52" s="1350" t="e">
        <f>M52*#REF!</f>
        <v>#REF!</v>
      </c>
      <c r="W52" s="827">
        <f t="shared" si="7"/>
        <v>48.768052127729987</v>
      </c>
      <c r="X52" s="1351">
        <f t="shared" si="8"/>
        <v>2.3125714285714287</v>
      </c>
      <c r="Y52" s="471" t="e">
        <f>O52*#REF!</f>
        <v>#REF!</v>
      </c>
      <c r="Z52" s="258">
        <f t="shared" si="9"/>
        <v>60.022218003359995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3229">
        <f>IF($B53=0,0,VLOOKUP($B53,Arbeitsgänge!$B$27:$T$80,7))</f>
        <v>0</v>
      </c>
      <c r="I53" s="727">
        <f>IF($B53=0,0,VLOOKUP($B53,Arbeitsgänge!$B$27:$T$80,12))</f>
        <v>0</v>
      </c>
      <c r="J53" s="469">
        <f>IF($B53=0,0,VLOOKUP($B53,Arbeitsgänge!$B$27:$T$80,14))</f>
        <v>0</v>
      </c>
      <c r="K53" s="2636"/>
      <c r="L53" s="337">
        <f t="shared" si="1"/>
        <v>0</v>
      </c>
      <c r="M53" s="2636"/>
      <c r="N53" s="791">
        <f t="shared" si="2"/>
        <v>0</v>
      </c>
      <c r="O53" s="2636"/>
      <c r="P53" s="337">
        <f t="shared" si="3"/>
        <v>0</v>
      </c>
      <c r="Q53" s="528"/>
      <c r="R53" s="1348">
        <f t="shared" si="4"/>
        <v>0</v>
      </c>
      <c r="S53" s="471" t="e">
        <f>K53*#REF!</f>
        <v>#REF!</v>
      </c>
      <c r="T53" s="258">
        <f t="shared" si="5"/>
        <v>0</v>
      </c>
      <c r="U53" s="1349">
        <f t="shared" si="6"/>
        <v>0</v>
      </c>
      <c r="V53" s="1350" t="e">
        <f>M53*#REF!</f>
        <v>#REF!</v>
      </c>
      <c r="W53" s="827">
        <f t="shared" si="7"/>
        <v>0</v>
      </c>
      <c r="X53" s="1351">
        <f t="shared" si="8"/>
        <v>0</v>
      </c>
      <c r="Y53" s="471" t="e">
        <f>O53*#REF!</f>
        <v>#REF!</v>
      </c>
      <c r="Z53" s="258">
        <f t="shared" si="9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1"/>
        <v>0</v>
      </c>
      <c r="M54" s="2636"/>
      <c r="N54" s="791">
        <f t="shared" si="2"/>
        <v>0</v>
      </c>
      <c r="O54" s="2636"/>
      <c r="P54" s="337">
        <f t="shared" si="3"/>
        <v>0</v>
      </c>
      <c r="Q54" s="528"/>
      <c r="R54" s="1348">
        <f t="shared" si="4"/>
        <v>0</v>
      </c>
      <c r="S54" s="471" t="e">
        <f>K54*#REF!</f>
        <v>#REF!</v>
      </c>
      <c r="T54" s="258">
        <f t="shared" si="5"/>
        <v>0</v>
      </c>
      <c r="U54" s="1349">
        <f t="shared" si="6"/>
        <v>0</v>
      </c>
      <c r="V54" s="1350" t="e">
        <f>M54*#REF!</f>
        <v>#REF!</v>
      </c>
      <c r="W54" s="827">
        <f t="shared" si="7"/>
        <v>0</v>
      </c>
      <c r="X54" s="1351">
        <f t="shared" si="8"/>
        <v>0</v>
      </c>
      <c r="Y54" s="471" t="e">
        <f>O54*#REF!</f>
        <v>#REF!</v>
      </c>
      <c r="Z54" s="258">
        <f t="shared" si="9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1"/>
        <v>0</v>
      </c>
      <c r="M55" s="378"/>
      <c r="N55" s="3233">
        <f t="shared" si="2"/>
        <v>0</v>
      </c>
      <c r="O55" s="378"/>
      <c r="P55" s="3232">
        <f t="shared" si="3"/>
        <v>0</v>
      </c>
      <c r="Q55" s="528"/>
      <c r="R55" s="1352">
        <f t="shared" si="4"/>
        <v>0</v>
      </c>
      <c r="S55" s="472" t="e">
        <f>K55*#REF!</f>
        <v>#REF!</v>
      </c>
      <c r="T55" s="259">
        <f t="shared" si="5"/>
        <v>0</v>
      </c>
      <c r="U55" s="1353">
        <f t="shared" si="6"/>
        <v>0</v>
      </c>
      <c r="V55" s="1354" t="e">
        <f>M55*#REF!</f>
        <v>#REF!</v>
      </c>
      <c r="W55" s="3234">
        <f t="shared" si="7"/>
        <v>0</v>
      </c>
      <c r="X55" s="1356">
        <f t="shared" si="8"/>
        <v>0</v>
      </c>
      <c r="Y55" s="472" t="e">
        <f>O55*#REF!</f>
        <v>#REF!</v>
      </c>
      <c r="Z55" s="259">
        <f t="shared" si="9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7.4418333333333333</v>
      </c>
      <c r="L56" s="341"/>
      <c r="M56" s="3239">
        <f>SUM($U$45:$U$55)</f>
        <v>9.4795833333333324</v>
      </c>
      <c r="N56" s="798"/>
      <c r="O56" s="3238">
        <f>SUM($X$45:$X$55)</f>
        <v>11.517333333333335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13.395300000000001</v>
      </c>
      <c r="L57" s="3247"/>
      <c r="M57" s="3248">
        <f>IF(M56+(M56*$G$57/100)&gt;M56+10,M56+10,M56+(M56*$G$57/100))</f>
        <v>17.063249999999996</v>
      </c>
      <c r="N57" s="3249"/>
      <c r="O57" s="3246">
        <f>IF(O56+(O56*$G$57/100)&gt;O56+10,O56+10,O56+(O56*$G$57/100))</f>
        <v>20.731200000000001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322.60050000000001</v>
      </c>
      <c r="M58" s="3251"/>
      <c r="N58" s="3211">
        <f>SUM(N60:N62)</f>
        <v>383.97815000000003</v>
      </c>
      <c r="O58" s="3250"/>
      <c r="P58" s="3210">
        <f>SUM(P60:P62)</f>
        <v>445.35580000000004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25.24285714285714</v>
      </c>
      <c r="L62" s="308">
        <f>K62*I62</f>
        <v>135.1755</v>
      </c>
      <c r="M62" s="2626">
        <f>M11/($V$63)/10*($V$65*M17)</f>
        <v>32.815714285714286</v>
      </c>
      <c r="N62" s="828">
        <f>M62*I62</f>
        <v>175.72815000000003</v>
      </c>
      <c r="O62" s="2626">
        <f>O11/($V$63)/10*($V$65*O17)</f>
        <v>40.388571428571424</v>
      </c>
      <c r="P62" s="308">
        <f>O62*I62</f>
        <v>216.2808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18</v>
      </c>
      <c r="M63" s="829"/>
      <c r="N63" s="3209">
        <f>M64*$G64</f>
        <v>18</v>
      </c>
      <c r="O63" s="345"/>
      <c r="P63" s="3207">
        <f>O64*$G64</f>
        <v>18</v>
      </c>
      <c r="Q63" s="529"/>
      <c r="R63" s="542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>
        <v>10</v>
      </c>
      <c r="H64" s="148"/>
      <c r="I64" s="148"/>
      <c r="J64" s="356" t="s">
        <v>274</v>
      </c>
      <c r="K64" s="149">
        <f>27/15</f>
        <v>1.8</v>
      </c>
      <c r="L64" s="3253"/>
      <c r="M64" s="149">
        <f>27/15</f>
        <v>1.8</v>
      </c>
      <c r="N64" s="3254"/>
      <c r="O64" s="149">
        <f>27/15</f>
        <v>1.8</v>
      </c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7.1033400000000002</v>
      </c>
      <c r="M65" s="1357"/>
      <c r="N65" s="3211">
        <f>M66*$H66/100</f>
        <v>9.2343419999999998</v>
      </c>
      <c r="O65" s="347"/>
      <c r="P65" s="3210">
        <f>O66*$H66/100</f>
        <v>11.365344</v>
      </c>
      <c r="Q65" s="529"/>
      <c r="R65" s="542"/>
      <c r="S65" s="1167"/>
      <c r="T65" s="2598"/>
      <c r="U65" s="2598"/>
      <c r="V65" s="2599">
        <v>0.8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591.94500000000005</v>
      </c>
      <c r="L66" s="3257"/>
      <c r="M66" s="3181">
        <f>M15*0.3</f>
        <v>769.52850000000001</v>
      </c>
      <c r="N66" s="3258"/>
      <c r="O66" s="3181">
        <f>O15*0.3</f>
        <v>947.11200000000008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3259"/>
      <c r="N67" s="3211">
        <f>SUM(N68:N69)</f>
        <v>59.5</v>
      </c>
      <c r="O67" s="330"/>
      <c r="P67" s="3210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360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2146" r:id="rId4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7" r:id="rId5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8" r:id="rId6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9" r:id="rId7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0" r:id="rId8" name="Check Box 6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1" r:id="rId9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2" r:id="rId10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3" r:id="rId11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4" r:id="rId12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5" r:id="rId13" name="Check Box 11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6" r:id="rId14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7" r:id="rId15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8" r:id="rId16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9" r:id="rId17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0" r:id="rId18" name="Check Box 16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1" r:id="rId19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2" r:id="rId20" name="Drop Down 18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3" r:id="rId21" name="Drop Down 19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4" r:id="rId22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5" r:id="rId23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6" r:id="rId24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7" r:id="rId25" name="Drop Down 23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8" r:id="rId26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9" r:id="rId27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0" r:id="rId28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1" r:id="rId29" name="Drop Down 27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2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3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4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tabColor rgb="FFFFC000"/>
    <pageSetUpPr fitToPage="1"/>
  </sheetPr>
  <dimension ref="A1:BP92"/>
  <sheetViews>
    <sheetView showGridLines="0" showZeros="0" zoomScaleNormal="100" workbookViewId="0">
      <pane xSplit="12" ySplit="6" topLeftCell="M10" activePane="bottomRight" state="frozen"/>
      <selection activeCell="G1" sqref="G1:I1"/>
      <selection pane="topRight" activeCell="G1" sqref="G1:I1"/>
      <selection pane="bottomLeft" activeCell="G1" sqref="G1:I1"/>
      <selection pane="bottomRight" activeCell="W7" sqref="W7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'54)Dw. Silphie Biogas ex S(a)'!J2</f>
        <v>2022</v>
      </c>
      <c r="K2" s="3265" t="s">
        <v>858</v>
      </c>
      <c r="L2" s="2502"/>
      <c r="M2" s="2505"/>
      <c r="N2" s="2529"/>
      <c r="O2" s="3266" t="str">
        <f>'54)Dw. Silphie Biogas ex S(a)'!M2</f>
        <v>Durchw. Silphie Biogas ex Silo (N.: 15 J.)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39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'54)Dw. Silphie Biogas ex S(a)'!H3</f>
        <v>Silage für Biogasanlage; Rücklieferung Gärrest unter 100% Anrechung der Netto-Nährstoffe (30% N-Verluste); Vollkosten incl. Kosten der Gärrest-Ausbringung; Nutzungsdauer 15 Jahre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'54)Dw. Silphie Biogas ex S(a)'!K5</f>
        <v>100</v>
      </c>
      <c r="N6" s="1820">
        <f>'54)Dw. Silphie Biogas ex S(a)'!M5</f>
        <v>130</v>
      </c>
      <c r="O6" s="1822">
        <f>'54)Dw. Silphie Biogas ex S(a)'!O5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'54)Dw. Silphie Biogas ex S(a)'!K9</f>
        <v>95</v>
      </c>
      <c r="N7" s="1736">
        <f>'54)Dw. Silphie Biogas ex S(a)'!M9</f>
        <v>123.5</v>
      </c>
      <c r="O7" s="1744">
        <f>'54)Dw. Silphie Biogas ex S(a)'!O9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'54)Dw. Silphie Biogas ex S(a)'!L9</f>
        <v>339.28571428571428</v>
      </c>
      <c r="N8" s="1737">
        <f>'54)Dw. Silphie Biogas ex S(a)'!N9</f>
        <v>441.07142857142856</v>
      </c>
      <c r="O8" s="1583">
        <f>'54)Dw. Silphie Biogas ex S(a)'!P9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'54)Dw. Silphie Biogas ex S(a)'!K11</f>
        <v>88.35</v>
      </c>
      <c r="N9" s="1562">
        <f>'54)Dw. Silphie Biogas ex S(a)'!M11</f>
        <v>114.855</v>
      </c>
      <c r="O9" s="1747">
        <f>'54)Dw. Silphie Biogas ex S(a)'!O11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'54)Dw. Silphie Biogas ex S(a)'!L11</f>
        <v>294.5</v>
      </c>
      <c r="N10" s="1582">
        <f>'54)Dw. Silphie Biogas ex S(a)'!N11</f>
        <v>382.85</v>
      </c>
      <c r="O10" s="2014">
        <f>'54)Dw. Silphie Biogas ex S(a)'!P11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'54)Dw. Silphie Biogas ex S(a)'!L12</f>
        <v>42.071428571428569</v>
      </c>
      <c r="N11" s="3269">
        <f>'54)Dw. Silphie Biogas ex S(a)'!N12</f>
        <v>54.692857142857143</v>
      </c>
      <c r="O11" s="3270">
        <f>'54)Dw. Silphie Biogas ex S(a)'!P12</f>
        <v>67.314285714285717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'54)Dw. Silphie Biogas ex S(a)'!K15</f>
        <v>1973.15</v>
      </c>
      <c r="N12" s="1738">
        <f>'54)Dw. Silphie Biogas ex S(a)'!M15</f>
        <v>2565.0950000000003</v>
      </c>
      <c r="O12" s="1745">
        <f>'54)Dw. Silphie Biogas ex S(a)'!O15</f>
        <v>3157.0400000000004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'54)Dw. Silphie Biogas ex S(a)'!K16</f>
        <v>71.0334</v>
      </c>
      <c r="N13" s="2077">
        <f>'54)Dw. Silphie Biogas ex S(a)'!M16</f>
        <v>92.343420000000009</v>
      </c>
      <c r="O13" s="2078">
        <f>'54)Dw. Silphie Biogas ex S(a)'!O16</f>
        <v>113.65344000000002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'54)Dw. Silphie Biogas ex S(a)'!L24</f>
        <v>270</v>
      </c>
      <c r="N15" s="3338">
        <f>'54)Dw. Silphie Biogas ex S(a)'!N24</f>
        <v>270</v>
      </c>
      <c r="O15" s="3341">
        <f>'54)Dw. Silphie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'54)Dw. Silphie Biogas ex S(a)'!L18</f>
        <v>0</v>
      </c>
      <c r="N16" s="1736">
        <f>'54)Dw. Silphie Biogas ex S(a)'!N18</f>
        <v>0</v>
      </c>
      <c r="O16" s="3343">
        <f>'54)Dw. Silphie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'54)Dw. Silphie Biogas ex S(a)'!L27</f>
        <v>128.4</v>
      </c>
      <c r="N19" s="2098">
        <f>'54)Dw. Silphie Biogas ex S(a)'!N27</f>
        <v>128.4</v>
      </c>
      <c r="O19" s="3276">
        <f>'54)Dw. Silphie Biogas ex S(a)'!P27</f>
        <v>128.4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'54)Dw. Silphie Biogas ex S(a)'!L31-'54)Dw. Silphie Biogas ex S(a)'!L17</f>
        <v>39.160519999999963</v>
      </c>
      <c r="N20" s="1750">
        <f>'54)Dw. Silphie Biogas ex S(a)'!N31-'54)Dw. Silphie Biogas ex S(a)'!N17</f>
        <v>50.908676000000014</v>
      </c>
      <c r="O20" s="3278">
        <f>'54)Dw. Silphie Biogas ex S(a)'!P31-'54)Dw. Silphie Biogas ex S(a)'!P17</f>
        <v>62.656832000000009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'54)Dw. Silphie Biogas ex S(a)'!L37</f>
        <v>4.9515900000000004</v>
      </c>
      <c r="N21" s="1750">
        <f>'54)Dw. Silphie Biogas ex S(a)'!N37</f>
        <v>4.9515900000000004</v>
      </c>
      <c r="O21" s="3278">
        <f>'54)Dw. Silphie Biogas ex S(a)'!P37</f>
        <v>4.9515900000000004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'54)Dw. Silphie Biogas ex S(a)'!L65</f>
        <v>7.1033400000000002</v>
      </c>
      <c r="N22" s="1750">
        <f>'54)Dw. Silphie Biogas ex S(a)'!N65</f>
        <v>9.2343419999999998</v>
      </c>
      <c r="O22" s="3278">
        <f>'54)Dw. Silphie Biogas ex S(a)'!P65</f>
        <v>11.365344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'54)Dw. Silphie Biogas ex S(a)'!L67</f>
        <v>59.5</v>
      </c>
      <c r="N23" s="1750">
        <f>'54)Dw. Silphie Biogas ex S(a)'!N67</f>
        <v>59.5</v>
      </c>
      <c r="O23" s="3278">
        <f>'54)Dw. Silphie Biogas ex S(a)'!P67</f>
        <v>59.5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'54)Dw. Silphie Biogas ex S(a)'!L42</f>
        <v>164.59527224887336</v>
      </c>
      <c r="N24" s="1750">
        <f>'54)Dw. Silphie Biogas ex S(a)'!N42</f>
        <v>208.58600074906334</v>
      </c>
      <c r="O24" s="3278">
        <f>'54)Dw. Silphie Biogas ex S(a)'!P42</f>
        <v>252.57672924925336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'54)Dw. Silphie Biogas ex S(a)'!L58</f>
        <v>322.60050000000001</v>
      </c>
      <c r="N25" s="1750">
        <f>'54)Dw. Silphie Biogas ex S(a)'!N58</f>
        <v>383.97815000000003</v>
      </c>
      <c r="O25" s="3278">
        <f>'54)Dw. Silphie Biogas ex S(a)'!P58</f>
        <v>445.35580000000004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'54)Dw. Silphie Biogas ex S(a)'!L63</f>
        <v>18</v>
      </c>
      <c r="N26" s="2101">
        <f>'54)Dw. Silphie Biogas ex S(a)'!N63</f>
        <v>18</v>
      </c>
      <c r="O26" s="3279">
        <f>'54)Dw. Silphie Biogas ex S(a)'!P63</f>
        <v>18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744.31122224887338</v>
      </c>
      <c r="N27" s="1775">
        <f>SUM(N19:N26)</f>
        <v>863.55875874906337</v>
      </c>
      <c r="O27" s="2055">
        <f>SUM(O19:O26)</f>
        <v>982.80629524925348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-744.31122224887338</v>
      </c>
      <c r="N28" s="2060">
        <f>-N27</f>
        <v>-863.55875874906337</v>
      </c>
      <c r="O28" s="2061">
        <f>-O27</f>
        <v>-982.80629524925348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M27*'54)Dw. Silphie Biogas ex S(a)'!$L$70*'54)Dw. Silphie Biogas ex S(a)'!$P$70/12/100</f>
        <v>4.6519451390554583</v>
      </c>
      <c r="N30" s="2101">
        <f>N27*'54)Dw. Silphie Biogas ex S(a)'!$L$70*'54)Dw. Silphie Biogas ex S(a)'!$P$70/12/100</f>
        <v>5.3972422421816448</v>
      </c>
      <c r="O30" s="3279">
        <f>O27*'54)Dw. Silphie Biogas ex S(a)'!$L$70*'54)Dw. Silphie Biogas ex S(a)'!$P$70/12/100</f>
        <v>6.1425393453078332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-478.96316738792882</v>
      </c>
      <c r="N31" s="1769">
        <f>N28+N29-N30</f>
        <v>-598.95600099124499</v>
      </c>
      <c r="O31" s="1776">
        <f>O28+O29-O30</f>
        <v>-718.94883459456128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-0.2427403732042312</v>
      </c>
      <c r="N32" s="3282">
        <f>IF(N12=0,0,N31/N12)</f>
        <v>-0.23350246325818144</v>
      </c>
      <c r="O32" s="2517">
        <f>IF(O12=0,0,O31/O12)</f>
        <v>-0.22772876954190038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-6.7427881445619784</v>
      </c>
      <c r="N33" s="3284">
        <f>IF(N13=0,0,N31/N13)</f>
        <v>-6.4861795349494846</v>
      </c>
      <c r="O33" s="3285">
        <f>IF(O13=0,0,O31/O13)</f>
        <v>-6.3257991539416771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'54)Dw. Silphie Biogas ex S(a)'!K57</f>
        <v>13.395300000000001</v>
      </c>
      <c r="N35" s="2396">
        <f>'54)Dw. Silphie Biogas ex S(a)'!M57</f>
        <v>17.063249999999996</v>
      </c>
      <c r="O35" s="2398">
        <f>'54)Dw. Silphie Biogas ex S(a)'!O57</f>
        <v>20.731200000000001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'54)Dw. Silphie Biogas ex S(a)'!L10</f>
        <v>48.469387755102034</v>
      </c>
      <c r="N36" s="2431">
        <f>'54)Dw. Silphie Biogas ex S(a)'!N10</f>
        <v>63.010204081632651</v>
      </c>
      <c r="O36" s="2432">
        <f>'54)Dw. Silphie Biogas ex S(a)'!P10</f>
        <v>77.551020408163268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234.41775000000001</v>
      </c>
      <c r="N37" s="1750">
        <f>$J$37*N35</f>
        <v>298.60687499999995</v>
      </c>
      <c r="O37" s="3278">
        <f>$J$37*O35</f>
        <v>362.79600000000005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235.52083333333331</v>
      </c>
      <c r="N38" s="3289">
        <f>N36*$I$36</f>
        <v>306.17708333333331</v>
      </c>
      <c r="O38" s="3290">
        <f>O36*$I$36</f>
        <v>376.83333333333337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1452.6817273842591</v>
      </c>
      <c r="N43" s="1991">
        <f>SUM(N37:N42)</f>
        <v>1277.527102384259</v>
      </c>
      <c r="O43" s="1994">
        <f>SUM(O37:O42)</f>
        <v>1412.3724773842594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2201.6448947721879</v>
      </c>
      <c r="N46" s="2041">
        <f>N27+N30+N43</f>
        <v>2146.483103375504</v>
      </c>
      <c r="O46" s="2080">
        <f>O27+O30+O43</f>
        <v>2401.3213119788206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-2201.6448947721879</v>
      </c>
      <c r="N47" s="2227">
        <f>N45-N46</f>
        <v>-2146.483103375504</v>
      </c>
      <c r="O47" s="2228">
        <f>O45-O46</f>
        <v>-2401.3213119788206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-1931.6448947721879</v>
      </c>
      <c r="N49" s="1991">
        <f>N47+N48</f>
        <v>-1876.483103375504</v>
      </c>
      <c r="O49" s="1994">
        <f>O47+O48</f>
        <v>-2131.3213119788206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1931.6448947721879</v>
      </c>
      <c r="N51" s="1771">
        <f>N46-N48</f>
        <v>1876.483103375504</v>
      </c>
      <c r="O51" s="3358">
        <f>O46-O48</f>
        <v>2131.3213119788206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6.5590658566118432</v>
      </c>
      <c r="N52" s="2335">
        <f>IF(N10=0,0,N$51/N10)</f>
        <v>4.9013532803330389</v>
      </c>
      <c r="O52" s="2336">
        <f>IF(O10=0,0,O$51/O10)</f>
        <v>4.5231776570008924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21.863552855372813</v>
      </c>
      <c r="N53" s="2335">
        <f>IF(N9=0,0,N$51/N9)</f>
        <v>16.337844267776795</v>
      </c>
      <c r="O53" s="2336">
        <f>IF(O9=0,0,O$51/O9)</f>
        <v>15.077258856669641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45.913460996282907</v>
      </c>
      <c r="N54" s="2335">
        <f t="shared" si="3"/>
        <v>34.30947296233127</v>
      </c>
      <c r="O54" s="2336">
        <f t="shared" si="3"/>
        <v>31.662243599006249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0.9789650532256482</v>
      </c>
      <c r="N55" s="2219">
        <f t="shared" si="3"/>
        <v>0.73154526572134904</v>
      </c>
      <c r="O55" s="2220">
        <f t="shared" si="3"/>
        <v>0.67510114283595402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27.193473700712453</v>
      </c>
      <c r="N56" s="2219">
        <f>IF(N13=0,0,N$51/N13)</f>
        <v>20.32070182559303</v>
      </c>
      <c r="O56" s="2220">
        <f>IF(O13=0,0,O$51/O13)</f>
        <v>18.752809523220947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0.27193473700712451</v>
      </c>
      <c r="N57" s="2222">
        <f>N51/$N$12*10/$F$57</f>
        <v>0.20320701825593029</v>
      </c>
      <c r="O57" s="2223">
        <f>O51/$O$12*10/$F$57</f>
        <v>0.18752809523220945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1696.1240614388546</v>
      </c>
      <c r="N58" s="1769">
        <f>N51-N38</f>
        <v>1570.3060200421708</v>
      </c>
      <c r="O58" s="1776">
        <f>O51-O38</f>
        <v>1754.4879786454871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M58/M9</f>
        <v>19.197782246053816</v>
      </c>
      <c r="N59" s="3416">
        <f>N58/N9</f>
        <v>13.672073658457801</v>
      </c>
      <c r="O59" s="3417">
        <f>O58/O9</f>
        <v>12.411488247350643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0.8596021901218126</v>
      </c>
      <c r="N60" s="2130">
        <f>IF(N12=0,0,N$58/N12)</f>
        <v>0.61218240261751344</v>
      </c>
      <c r="O60" s="2217">
        <f>IF(O12=0,0,O$58/O12)</f>
        <v>0.55573827973211831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0.23877838614494795</v>
      </c>
      <c r="N61" s="2130">
        <f>N58/$N$12*10/$F$57</f>
        <v>0.17005066739375374</v>
      </c>
      <c r="O61" s="3422">
        <f>O58/$O$12*10/$F$57</f>
        <v>0.15437174437003287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23.877838614494795</v>
      </c>
      <c r="N62" s="1874">
        <f>IF(N13=0,0,N$58/N13)</f>
        <v>17.005066739375373</v>
      </c>
      <c r="O62" s="2032">
        <f>IF(O13=0,0,O$58/O13)</f>
        <v>15.437174437003288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243.76739513905545</v>
      </c>
      <c r="N64" s="1772">
        <f>SUM(N19:N23)+N30</f>
        <v>258.39185024218165</v>
      </c>
      <c r="O64" s="1773">
        <f>SUM(O19:O23)+O30</f>
        <v>273.0163053453079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0.12354225230674579</v>
      </c>
      <c r="N65" s="2031">
        <f>IF(N12=0,0,N64/N12)</f>
        <v>0.10073383256455672</v>
      </c>
      <c r="O65" s="2032">
        <f>IF(O12=0,0,O64/O12)</f>
        <v>8.647857022568857E-2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1258.5273947999895</v>
      </c>
      <c r="N66" s="2038">
        <f>N24+N25+N26+N39+N37</f>
        <v>1384.0941697999892</v>
      </c>
      <c r="O66" s="2039">
        <f>O24+O25+O26+O39+O37</f>
        <v>1553.6516733001793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0.63782651840964422</v>
      </c>
      <c r="N67" s="2168">
        <f>IF(N12=0,0,N66/N12)</f>
        <v>0.53958787873353198</v>
      </c>
      <c r="O67" s="2187">
        <f>IF(O12=0,0,O66/O12)</f>
        <v>0.49212289780939711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9.5</v>
      </c>
      <c r="N72" s="2877">
        <f>N7/10</f>
        <v>12.35</v>
      </c>
      <c r="O72" s="2877">
        <f>O7/10</f>
        <v>15.2</v>
      </c>
    </row>
    <row r="73" spans="2:41" x14ac:dyDescent="0.2">
      <c r="K73" s="7" t="s">
        <v>263</v>
      </c>
      <c r="M73" s="2725">
        <f>M6</f>
        <v>100</v>
      </c>
      <c r="N73" s="2725">
        <f>N6</f>
        <v>130</v>
      </c>
      <c r="O73" s="2725">
        <f>O6</f>
        <v>160</v>
      </c>
    </row>
    <row r="74" spans="2:41" x14ac:dyDescent="0.2">
      <c r="K74" s="7" t="s">
        <v>419</v>
      </c>
      <c r="M74" s="2941">
        <f>M9/10</f>
        <v>8.8349999999999991</v>
      </c>
      <c r="N74" s="2941">
        <f>N9/10</f>
        <v>11.4855</v>
      </c>
      <c r="O74" s="2941">
        <f>O9/10</f>
        <v>14.136000000000001</v>
      </c>
    </row>
    <row r="75" spans="2:41" x14ac:dyDescent="0.2">
      <c r="M75" s="2666">
        <f>M53*10</f>
        <v>218.63552855372814</v>
      </c>
      <c r="N75" s="2666">
        <f>N53*10</f>
        <v>163.37844267776796</v>
      </c>
      <c r="O75" s="2666">
        <f>O53*10</f>
        <v>150.77258856669641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Aulendorf&amp;C&amp;12 127&amp;9
&amp;R&amp;12&amp;F
&amp;A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5">
    <pageSetUpPr fitToPage="1"/>
  </sheetPr>
  <dimension ref="A1:CA70"/>
  <sheetViews>
    <sheetView showGridLines="0" showZeros="0" zoomScaleNormal="100" zoomScaleSheetLayoutView="75" workbookViewId="0">
      <pane xSplit="10" ySplit="5" topLeftCell="K39" activePane="bottomRight" state="frozen"/>
      <selection activeCell="G1" sqref="G1:I1"/>
      <selection pane="topRight" activeCell="G1" sqref="G1:I1"/>
      <selection pane="bottomLeft" activeCell="G1" sqref="G1:I1"/>
      <selection pane="bottomRight" activeCell="K52" sqref="K5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.285156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1375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110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271.42857142857144</v>
      </c>
      <c r="M9" s="809">
        <f>M5*(100-M6)/100</f>
        <v>104.5</v>
      </c>
      <c r="N9" s="810">
        <f>IF(M7=0,0,M9/M7*100)</f>
        <v>373.21428571428572</v>
      </c>
      <c r="O9" s="720">
        <f>O5*(100-O6)/100</f>
        <v>133</v>
      </c>
      <c r="P9" s="721">
        <f>IF(O7=0,0,O9/O7*100)</f>
        <v>475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38.775510204081634</v>
      </c>
      <c r="M10" s="286"/>
      <c r="N10" s="811">
        <f>IF(R10=TRUE,IF(M8=0,0,1/M8*N9),0)</f>
        <v>53.316326530612244</v>
      </c>
      <c r="O10" s="173"/>
      <c r="P10" s="722">
        <f>IF(R10=TRUE,IF(O8=0,0,1/O8*P9),0)</f>
        <v>67.857142857142847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70.680000000000007</v>
      </c>
      <c r="L11" s="709">
        <f>IF(L7=0,0,K11/L7*100)</f>
        <v>235.60000000000002</v>
      </c>
      <c r="M11" s="812">
        <f>M9*(100-N6)/100</f>
        <v>97.185000000000002</v>
      </c>
      <c r="N11" s="813">
        <f>IF(N7=0,0,M11/N7*100)</f>
        <v>323.95</v>
      </c>
      <c r="O11" s="708">
        <f>O9*(100-P6)/100</f>
        <v>123.69</v>
      </c>
      <c r="P11" s="709">
        <f>IF(P7=0,0,O11/P7*100)</f>
        <v>412.3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33.657142857142858</v>
      </c>
      <c r="M12" s="801"/>
      <c r="N12" s="814">
        <f>IF(N8=0,0,1/N8*N11)</f>
        <v>46.278571428571425</v>
      </c>
      <c r="O12" s="487"/>
      <c r="P12" s="502">
        <f>IF(P8=0,0,1/P8*P11)</f>
        <v>58.9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f>72/L7*10</f>
        <v>24</v>
      </c>
      <c r="L13" s="418"/>
      <c r="M13" s="499">
        <f>72/N7*10</f>
        <v>24</v>
      </c>
      <c r="N13" s="784"/>
      <c r="O13" s="499">
        <f>72/P7*10</f>
        <v>24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0.86399999999999988</v>
      </c>
      <c r="L14" s="418"/>
      <c r="M14" s="815">
        <f>M13*$G14</f>
        <v>0.86399999999999988</v>
      </c>
      <c r="N14" s="784"/>
      <c r="O14" s="513">
        <f>O13*$G14</f>
        <v>0.86399999999999988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1696.3200000000002</v>
      </c>
      <c r="L15" s="418"/>
      <c r="M15" s="816">
        <f>M$11*M13</f>
        <v>2332.44</v>
      </c>
      <c r="N15" s="784"/>
      <c r="O15" s="497">
        <f>O$11*O13</f>
        <v>2968.56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61.067519999999995</v>
      </c>
      <c r="L16" s="417"/>
      <c r="M16" s="817">
        <f>M$11*M14</f>
        <v>83.967839999999995</v>
      </c>
      <c r="N16" s="428"/>
      <c r="O16" s="498">
        <f>O$11*O14</f>
        <v>106.86815999999999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411.49604999999991</v>
      </c>
      <c r="M17" s="2600">
        <f>K17</f>
        <v>1</v>
      </c>
      <c r="N17" s="2591">
        <f>M17*(N33*(1-$AC$14)+N34*(1-$AC$15)+N35*(1-$AC$16)+N36*(1-$AC$17))</f>
        <v>639.29745249999985</v>
      </c>
      <c r="O17" s="2601">
        <f>K17</f>
        <v>1</v>
      </c>
      <c r="P17" s="2590">
        <f>O17*(P33*(1-$AC$14)+P34*(1-$AC$15)+P35*(1-$AC$16)+P36*(1-$AC$17))</f>
        <v>867.09885499999996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SUM($J19:$J23)</f>
        <v>0</v>
      </c>
      <c r="M18" s="3208"/>
      <c r="N18" s="4071">
        <f>SUM($J19:$J23)</f>
        <v>0</v>
      </c>
      <c r="O18" s="3206"/>
      <c r="P18" s="3207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1831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74.900000000000006</v>
      </c>
      <c r="M27" s="804"/>
      <c r="N27" s="3211">
        <f>SUM(N29:N30)</f>
        <v>74.900000000000006</v>
      </c>
      <c r="O27" s="330"/>
      <c r="P27" s="3210">
        <f>SUM(P29:P30)</f>
        <v>74.900000000000006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35</v>
      </c>
      <c r="I29" s="711">
        <f>H29*($H$27+100)/100</f>
        <v>37.450000000000003</v>
      </c>
      <c r="J29" s="357"/>
      <c r="K29" s="440">
        <v>2</v>
      </c>
      <c r="L29" s="337">
        <f>$I29*K29</f>
        <v>74.900000000000006</v>
      </c>
      <c r="M29" s="440">
        <v>2</v>
      </c>
      <c r="N29" s="791">
        <f>$I29*M29</f>
        <v>74.900000000000006</v>
      </c>
      <c r="O29" s="440">
        <v>2</v>
      </c>
      <c r="P29" s="337">
        <f>$I29*O29</f>
        <v>74.900000000000006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444.98859999999991</v>
      </c>
      <c r="M31" s="3216"/>
      <c r="N31" s="3211">
        <f>SUM(N33:N36)</f>
        <v>716.84558749999985</v>
      </c>
      <c r="O31" s="3215"/>
      <c r="P31" s="3210">
        <f>SUM(P33:P36)</f>
        <v>988.70257499999991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3</v>
      </c>
      <c r="H33" s="386">
        <v>-163</v>
      </c>
      <c r="I33"/>
      <c r="J33" s="172"/>
      <c r="K33" s="336">
        <f>G33*$K$9+H33</f>
        <v>65</v>
      </c>
      <c r="L33" s="337">
        <f>K33*$E33</f>
        <v>111.64183333333334</v>
      </c>
      <c r="M33" s="820">
        <f>G33*$M$9+H33</f>
        <v>150.5</v>
      </c>
      <c r="N33" s="791">
        <f>M33*$E33</f>
        <v>258.49378333333334</v>
      </c>
      <c r="O33" s="336">
        <f>G33*$O$9+H33</f>
        <v>236</v>
      </c>
      <c r="P33" s="337">
        <f>O33*$E33</f>
        <v>405.34573333333333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</v>
      </c>
      <c r="H34" s="386"/>
      <c r="I34"/>
      <c r="J34" s="172"/>
      <c r="K34" s="336">
        <f>G34*$K$9+H34</f>
        <v>53.199999999999996</v>
      </c>
      <c r="L34" s="337">
        <f>K34*$E34</f>
        <v>60.142599999999987</v>
      </c>
      <c r="M34" s="820">
        <f>G34*$M$9+H34</f>
        <v>73.149999999999991</v>
      </c>
      <c r="N34" s="791">
        <f>M34*$E34</f>
        <v>82.696074999999979</v>
      </c>
      <c r="O34" s="336">
        <f>G34*$O$9+H34</f>
        <v>93.1</v>
      </c>
      <c r="P34" s="337">
        <f>O34*$E34</f>
        <v>105.24954999999999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3.25</v>
      </c>
      <c r="H35" s="386"/>
      <c r="I35"/>
      <c r="J35" s="172"/>
      <c r="K35" s="336">
        <f>G35*$K$9+H35</f>
        <v>247</v>
      </c>
      <c r="L35" s="337">
        <f>K35*$E35</f>
        <v>259.63816666666662</v>
      </c>
      <c r="M35" s="820">
        <f>G35*$M$9+H35</f>
        <v>339.625</v>
      </c>
      <c r="N35" s="791">
        <f>M35*$E35</f>
        <v>357.00247916666666</v>
      </c>
      <c r="O35" s="336">
        <f>G35*$O$9+H35</f>
        <v>432.25</v>
      </c>
      <c r="P35" s="337">
        <f>O35*$E35</f>
        <v>454.36679166666664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22.8</v>
      </c>
      <c r="L36" s="333">
        <f>K36*$E36</f>
        <v>13.565999999999999</v>
      </c>
      <c r="M36" s="821">
        <f>G36*$M$9+H36</f>
        <v>31.349999999999998</v>
      </c>
      <c r="N36" s="792">
        <f>M36*$E36</f>
        <v>18.653249999999996</v>
      </c>
      <c r="O36" s="338">
        <f>G36*$O$9+H36</f>
        <v>39.9</v>
      </c>
      <c r="P36" s="333">
        <f>O36*$E36</f>
        <v>23.740499999999997</v>
      </c>
      <c r="Q36" s="528"/>
      <c r="R36" s="528" t="s">
        <v>1413</v>
      </c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161.22827084367998</v>
      </c>
      <c r="M42" s="3225"/>
      <c r="N42" s="3211">
        <f>SUM(W45:W55)</f>
        <v>205.21899934387</v>
      </c>
      <c r="O42" s="3224"/>
      <c r="P42" s="3210">
        <f>SUM(Z45:Z55)</f>
        <v>249.20972784406001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>
        <v>0.2</v>
      </c>
      <c r="L45" s="337">
        <f t="shared" ref="L45:L55" si="0">K45*$J45</f>
        <v>8.4244106260000002</v>
      </c>
      <c r="M45" s="374">
        <v>0.2</v>
      </c>
      <c r="N45" s="791">
        <f t="shared" ref="N45:N55" si="1">M45*$J45</f>
        <v>8.4244106260000002</v>
      </c>
      <c r="O45" s="374">
        <v>0.2</v>
      </c>
      <c r="P45" s="337">
        <f t="shared" ref="P45:P55" si="2">O45*$J45</f>
        <v>8.4244106260000002</v>
      </c>
      <c r="Q45" s="528"/>
      <c r="R45" s="1344">
        <f t="shared" ref="R45:R55" si="3">$I45*K45</f>
        <v>0.19</v>
      </c>
      <c r="S45" s="535" t="e">
        <f>K45*#REF!</f>
        <v>#REF!</v>
      </c>
      <c r="T45" s="258">
        <f t="shared" ref="T45:T55" si="4">K45*$J45</f>
        <v>8.4244106260000002</v>
      </c>
      <c r="U45" s="1345">
        <f t="shared" ref="U45:U55" si="5">$I45*M45</f>
        <v>0.19</v>
      </c>
      <c r="V45" s="1346" t="e">
        <f>M45*#REF!</f>
        <v>#REF!</v>
      </c>
      <c r="W45" s="827">
        <f t="shared" ref="W45:W55" si="6">M45*$J45</f>
        <v>8.4244106260000002</v>
      </c>
      <c r="X45" s="1347">
        <f t="shared" ref="X45:X55" si="7">$I45*O45</f>
        <v>0.19</v>
      </c>
      <c r="Y45" s="535" t="e">
        <f>O45*#REF!</f>
        <v>#REF!</v>
      </c>
      <c r="Z45" s="258">
        <f t="shared" ref="Z45:Z55" si="8">O45*$J45</f>
        <v>8.4244106260000002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5">
        <v>0.2</v>
      </c>
      <c r="L46" s="337">
        <f t="shared" si="0"/>
        <v>18.23967292</v>
      </c>
      <c r="M46" s="375">
        <v>0.2</v>
      </c>
      <c r="N46" s="791">
        <f t="shared" si="1"/>
        <v>18.23967292</v>
      </c>
      <c r="O46" s="375">
        <v>0.2</v>
      </c>
      <c r="P46" s="337">
        <f t="shared" si="2"/>
        <v>18.23967292</v>
      </c>
      <c r="Q46" s="528"/>
      <c r="R46" s="1348">
        <f t="shared" si="3"/>
        <v>0.28999999999999998</v>
      </c>
      <c r="S46" s="471" t="e">
        <f>K46*#REF!</f>
        <v>#REF!</v>
      </c>
      <c r="T46" s="258">
        <f t="shared" si="4"/>
        <v>18.23967292</v>
      </c>
      <c r="U46" s="1349">
        <f t="shared" si="5"/>
        <v>0.28999999999999998</v>
      </c>
      <c r="V46" s="1350" t="e">
        <f>M46*#REF!</f>
        <v>#REF!</v>
      </c>
      <c r="W46" s="827">
        <f t="shared" si="6"/>
        <v>18.23967292</v>
      </c>
      <c r="X46" s="1351">
        <f t="shared" si="7"/>
        <v>0.28999999999999998</v>
      </c>
      <c r="Y46" s="471" t="e">
        <f>O46*#REF!</f>
        <v>#REF!</v>
      </c>
      <c r="Z46" s="258">
        <f t="shared" si="8"/>
        <v>18.23967292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5">
        <v>0.2</v>
      </c>
      <c r="L47" s="337">
        <f t="shared" si="0"/>
        <v>6.4969701856000004</v>
      </c>
      <c r="M47" s="375">
        <v>0.2</v>
      </c>
      <c r="N47" s="791">
        <f t="shared" si="1"/>
        <v>6.4969701856000004</v>
      </c>
      <c r="O47" s="375">
        <v>0.2</v>
      </c>
      <c r="P47" s="337">
        <f t="shared" si="2"/>
        <v>6.4969701856000004</v>
      </c>
      <c r="Q47" s="528"/>
      <c r="R47" s="1348">
        <f t="shared" si="3"/>
        <v>0.20400000000000001</v>
      </c>
      <c r="S47" s="471" t="e">
        <f>K47*#REF!</f>
        <v>#REF!</v>
      </c>
      <c r="T47" s="258">
        <f t="shared" si="4"/>
        <v>6.4969701856000004</v>
      </c>
      <c r="U47" s="1349">
        <f t="shared" si="5"/>
        <v>0.20400000000000001</v>
      </c>
      <c r="V47" s="1350" t="e">
        <f>M47*#REF!</f>
        <v>#REF!</v>
      </c>
      <c r="W47" s="827">
        <f t="shared" si="6"/>
        <v>6.4969701856000004</v>
      </c>
      <c r="X47" s="1351">
        <f t="shared" si="7"/>
        <v>0.20400000000000001</v>
      </c>
      <c r="Y47" s="471" t="e">
        <f>O47*#REF!</f>
        <v>#REF!</v>
      </c>
      <c r="Z47" s="258">
        <f t="shared" si="8"/>
        <v>6.4969701856000004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9</v>
      </c>
      <c r="C48" s="104"/>
      <c r="D48" s="137"/>
      <c r="E48" s="8"/>
      <c r="F48" s="8"/>
      <c r="G48" s="731"/>
      <c r="H48" s="3229" t="str">
        <f>IF($B48=0,0,VLOOKUP($B48,Arbeitsgänge!$B$27:$T$80,7))</f>
        <v>67 Kw</v>
      </c>
      <c r="I48" s="727">
        <f>IF($B48=0,0,VLOOKUP($B48,Arbeitsgänge!$B$27:$T$80,12))</f>
        <v>0.61</v>
      </c>
      <c r="J48" s="469">
        <f>IF($B48=0,0,VLOOKUP($B48,Arbeitsgänge!$B$27:$T$80,14))</f>
        <v>14.5023886728</v>
      </c>
      <c r="K48" s="375">
        <v>0.2</v>
      </c>
      <c r="L48" s="337">
        <f t="shared" si="0"/>
        <v>2.9004777345600004</v>
      </c>
      <c r="M48" s="375">
        <v>0.2</v>
      </c>
      <c r="N48" s="791">
        <f t="shared" si="1"/>
        <v>2.9004777345600004</v>
      </c>
      <c r="O48" s="375">
        <v>0.2</v>
      </c>
      <c r="P48" s="337">
        <f t="shared" si="2"/>
        <v>2.9004777345600004</v>
      </c>
      <c r="Q48" s="528"/>
      <c r="R48" s="1348">
        <f t="shared" si="3"/>
        <v>0.122</v>
      </c>
      <c r="S48" s="471" t="e">
        <f>K48*#REF!</f>
        <v>#REF!</v>
      </c>
      <c r="T48" s="258">
        <f t="shared" si="4"/>
        <v>2.9004777345600004</v>
      </c>
      <c r="U48" s="1349">
        <f t="shared" si="5"/>
        <v>0.122</v>
      </c>
      <c r="V48" s="1350" t="e">
        <f>M48*#REF!</f>
        <v>#REF!</v>
      </c>
      <c r="W48" s="827">
        <f t="shared" si="6"/>
        <v>2.9004777345600004</v>
      </c>
      <c r="X48" s="1351">
        <f t="shared" si="7"/>
        <v>0.122</v>
      </c>
      <c r="Y48" s="471" t="e">
        <f>O48*#REF!</f>
        <v>#REF!</v>
      </c>
      <c r="Z48" s="258">
        <f t="shared" si="8"/>
        <v>2.9004777345600004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6</v>
      </c>
      <c r="C49" s="104"/>
      <c r="D49" s="137"/>
      <c r="E49" s="8"/>
      <c r="F49" s="8"/>
      <c r="G49" s="731"/>
      <c r="H49" s="3229" t="str">
        <f>IF($B49=0,0,VLOOKUP($B49,Arbeitsgänge!$B$27:$T$80,7))</f>
        <v>54 kW</v>
      </c>
      <c r="I49" s="727">
        <f>IF($B49=0,0,VLOOKUP($B49,Arbeitsgänge!$B$27:$T$80,12))</f>
        <v>0.63</v>
      </c>
      <c r="J49" s="469">
        <f>IF($B49=0,0,VLOOKUP($B49,Arbeitsgänge!$B$27:$T$80,14))</f>
        <v>12.038093180399995</v>
      </c>
      <c r="K49" s="375">
        <v>0.2</v>
      </c>
      <c r="L49" s="337">
        <f t="shared" si="0"/>
        <v>2.4076186360799992</v>
      </c>
      <c r="M49" s="375">
        <v>0.2</v>
      </c>
      <c r="N49" s="791">
        <f t="shared" si="1"/>
        <v>2.4076186360799992</v>
      </c>
      <c r="O49" s="375">
        <v>0.2</v>
      </c>
      <c r="P49" s="337">
        <f t="shared" si="2"/>
        <v>2.4076186360799992</v>
      </c>
      <c r="Q49" s="528"/>
      <c r="R49" s="1348">
        <f t="shared" si="3"/>
        <v>0.126</v>
      </c>
      <c r="S49" s="471" t="e">
        <f>K49*#REF!</f>
        <v>#REF!</v>
      </c>
      <c r="T49" s="258">
        <f t="shared" si="4"/>
        <v>2.4076186360799992</v>
      </c>
      <c r="U49" s="1349">
        <f t="shared" si="5"/>
        <v>0.126</v>
      </c>
      <c r="V49" s="1350" t="e">
        <f>M49*#REF!</f>
        <v>#REF!</v>
      </c>
      <c r="W49" s="827">
        <f t="shared" si="6"/>
        <v>2.4076186360799992</v>
      </c>
      <c r="X49" s="1351">
        <f t="shared" si="7"/>
        <v>0.126</v>
      </c>
      <c r="Y49" s="471" t="e">
        <f>O49*#REF!</f>
        <v>#REF!</v>
      </c>
      <c r="Z49" s="258">
        <f t="shared" si="8"/>
        <v>2.4076186360799992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3229" t="str">
        <f>IF($B50=0,0,VLOOKUP($B50,Arbeitsgänge!$B$27:$T$80,7))</f>
        <v>45 kW</v>
      </c>
      <c r="I50" s="727">
        <f>IF($B50=0,0,VLOOKUP($B50,Arbeitsgänge!$B$27:$T$80,12))</f>
        <v>0.37</v>
      </c>
      <c r="J50" s="469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3229" t="str">
        <f>IF($B51=0,0,VLOOKUP($B51,Arbeitsgänge!$B$27:$T$80,7))</f>
        <v>54 kW</v>
      </c>
      <c r="I51" s="727">
        <f>IF($B51=0,0,VLOOKUP($B51,Arbeitsgänge!$B$27:$T$80,12))</f>
        <v>0.22</v>
      </c>
      <c r="J51" s="469">
        <f>IF($B51=0,0,VLOOKUP($B51,Arbeitsgänge!$B$27:$T$80,14))</f>
        <v>4.4729452375999994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7.88</v>
      </c>
      <c r="J52" s="469">
        <f>IF($B52=0,0,VLOOKUP($B52,Arbeitsgänge!$B$27:$T$80,14))</f>
        <v>160.81118482240001</v>
      </c>
      <c r="K52" s="2636">
        <f>L9/500</f>
        <v>0.54285714285714293</v>
      </c>
      <c r="L52" s="337">
        <f t="shared" si="0"/>
        <v>87.297500332160013</v>
      </c>
      <c r="M52" s="2636">
        <f>N9/500</f>
        <v>0.74642857142857144</v>
      </c>
      <c r="N52" s="791">
        <f t="shared" si="1"/>
        <v>120.03406295672001</v>
      </c>
      <c r="O52" s="2636">
        <f>P9/500</f>
        <v>0.95</v>
      </c>
      <c r="P52" s="337">
        <f t="shared" si="2"/>
        <v>152.77062558128</v>
      </c>
      <c r="Q52" s="528"/>
      <c r="R52" s="1348">
        <f t="shared" si="3"/>
        <v>4.2777142857142865</v>
      </c>
      <c r="S52" s="471" t="e">
        <f>K52*#REF!</f>
        <v>#REF!</v>
      </c>
      <c r="T52" s="258">
        <f t="shared" si="4"/>
        <v>87.297500332160013</v>
      </c>
      <c r="U52" s="1349">
        <f t="shared" si="5"/>
        <v>5.8818571428571431</v>
      </c>
      <c r="V52" s="1350" t="e">
        <f>M52*#REF!</f>
        <v>#REF!</v>
      </c>
      <c r="W52" s="827">
        <f t="shared" si="6"/>
        <v>120.03406295672001</v>
      </c>
      <c r="X52" s="1351">
        <f t="shared" si="7"/>
        <v>7.4859999999999998</v>
      </c>
      <c r="Y52" s="471" t="e">
        <f>O52*#REF!</f>
        <v>#REF!</v>
      </c>
      <c r="Z52" s="258">
        <f t="shared" si="8"/>
        <v>152.77062558128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3229" t="str">
        <f>IF($B53=0,0,VLOOKUP($B53,Arbeitsgänge!$B$27:$T$80,7))</f>
        <v>102 kW</v>
      </c>
      <c r="I53" s="727">
        <f>IF($B53=0,0,VLOOKUP($B53,Arbeitsgänge!$B$27:$T$80,12))</f>
        <v>2.13</v>
      </c>
      <c r="J53" s="469">
        <f>IF($B53=0,0,VLOOKUP($B53,Arbeitsgänge!$B$27:$T$80,14))</f>
        <v>55.283621845199988</v>
      </c>
      <c r="K53" s="2636">
        <f>L9/500</f>
        <v>0.54285714285714293</v>
      </c>
      <c r="L53" s="337">
        <f t="shared" si="0"/>
        <v>30.011109001679998</v>
      </c>
      <c r="M53" s="2636">
        <f>N9/500</f>
        <v>0.74642857142857144</v>
      </c>
      <c r="N53" s="791">
        <f t="shared" si="1"/>
        <v>41.265274877309992</v>
      </c>
      <c r="O53" s="2636">
        <f>P9/500</f>
        <v>0.95</v>
      </c>
      <c r="P53" s="337">
        <f t="shared" si="2"/>
        <v>52.519440752939985</v>
      </c>
      <c r="Q53" s="528"/>
      <c r="R53" s="1348">
        <f t="shared" si="3"/>
        <v>1.1562857142857144</v>
      </c>
      <c r="S53" s="471" t="e">
        <f>K53*#REF!</f>
        <v>#REF!</v>
      </c>
      <c r="T53" s="258">
        <f t="shared" si="4"/>
        <v>30.011109001679998</v>
      </c>
      <c r="U53" s="1349">
        <f t="shared" si="5"/>
        <v>1.589892857142857</v>
      </c>
      <c r="V53" s="1350" t="e">
        <f>M53*#REF!</f>
        <v>#REF!</v>
      </c>
      <c r="W53" s="827">
        <f t="shared" si="6"/>
        <v>41.265274877309992</v>
      </c>
      <c r="X53" s="1351">
        <f t="shared" si="7"/>
        <v>2.0234999999999999</v>
      </c>
      <c r="Y53" s="471" t="e">
        <f>O53*#REF!</f>
        <v>#REF!</v>
      </c>
      <c r="Z53" s="258">
        <f t="shared" si="8"/>
        <v>52.519440752939985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6.7360000000000015</v>
      </c>
      <c r="L56" s="341"/>
      <c r="M56" s="3239">
        <f>SUM($U$45:$U$55)</f>
        <v>8.7737499999999997</v>
      </c>
      <c r="N56" s="798"/>
      <c r="O56" s="3238">
        <f>SUM($X$45:$X$55)</f>
        <v>10.811500000000001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12.124800000000002</v>
      </c>
      <c r="L57" s="3247"/>
      <c r="M57" s="3248">
        <f>IF(M56+(M56*$G$57/100)&gt;M56+10,M56+10,M56+(M56*$G$57/100))</f>
        <v>15.79275</v>
      </c>
      <c r="N57" s="3249"/>
      <c r="O57" s="3246">
        <f>IF(O56+(O56*$G$57/100)&gt;O56+10,O56+10,O56+(O56*$G$57/100))</f>
        <v>19.460700000000003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295.56540000000001</v>
      </c>
      <c r="M58" s="3251"/>
      <c r="N58" s="3211">
        <f>SUM(N60:N62)</f>
        <v>356.94304999999997</v>
      </c>
      <c r="O58" s="3250"/>
      <c r="P58" s="3210">
        <f>SUM(P60:P62)</f>
        <v>418.32069999999999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1164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 t="s">
        <v>1165</v>
      </c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20.194285714285712</v>
      </c>
      <c r="L62" s="308">
        <f>K62*I62</f>
        <v>108.1404</v>
      </c>
      <c r="M62" s="2626">
        <f>M11/($V$63)/10*($V$65*M17)</f>
        <v>27.767142857142854</v>
      </c>
      <c r="N62" s="828">
        <f>M62*I62</f>
        <v>148.69305</v>
      </c>
      <c r="O62" s="2626">
        <f>O11/($V$63)/10*($V$65*O17)</f>
        <v>35.339999999999996</v>
      </c>
      <c r="P62" s="308">
        <f>O62*I62</f>
        <v>189.2457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/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6.1067520000000002</v>
      </c>
      <c r="M65" s="1357"/>
      <c r="N65" s="3211">
        <f>M66*$H66/100</f>
        <v>8.3967839999999985</v>
      </c>
      <c r="O65" s="347"/>
      <c r="P65" s="3210">
        <f>O66*$H66/100</f>
        <v>10.686815999999999</v>
      </c>
      <c r="Q65" s="529"/>
      <c r="R65" s="542"/>
      <c r="S65" s="1167"/>
      <c r="T65" s="2598"/>
      <c r="U65" s="2598"/>
      <c r="V65" s="2599">
        <v>0.8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508.89600000000002</v>
      </c>
      <c r="L66" s="3257"/>
      <c r="M66" s="3181">
        <f>M15*0.3</f>
        <v>699.73199999999997</v>
      </c>
      <c r="N66" s="3258"/>
      <c r="O66" s="3181">
        <f>O15*0.3</f>
        <v>890.56799999999998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3259"/>
      <c r="N67" s="3211">
        <f>SUM(N68:N69)</f>
        <v>59.5</v>
      </c>
      <c r="O67" s="330"/>
      <c r="P67" s="3210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360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70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11</xdr:col>
                    <xdr:colOff>209550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1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0</xdr:rowOff>
                  </from>
                  <to>
                    <xdr:col>11</xdr:col>
                    <xdr:colOff>209550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2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3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4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5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6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7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8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9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0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1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2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3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4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28575</xdr:rowOff>
                  </from>
                  <to>
                    <xdr:col>15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96" r:id="rId19" name="Check Box 28">
              <controlPr defaultSize="0" autoFill="0" autoLine="0" autoPict="0">
                <anchor moveWithCells="1">
                  <from>
                    <xdr:col>5</xdr:col>
                    <xdr:colOff>152400</xdr:colOff>
                    <xdr:row>9</xdr:row>
                    <xdr:rowOff>28575</xdr:rowOff>
                  </from>
                  <to>
                    <xdr:col>5</xdr:col>
                    <xdr:colOff>428625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08" r:id="rId20" name="Drop Down 40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09" r:id="rId21" name="Drop Down 41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0" r:id="rId22" name="Drop Down 42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1" r:id="rId23" name="Drop Down 43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2" r:id="rId24" name="Drop Down 44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3" r:id="rId25" name="Drop Down 45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4" r:id="rId26" name="Drop Down 46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5" r:id="rId27" name="Drop Down 47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6" r:id="rId28" name="Drop Down 48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7" r:id="rId29" name="Drop Down 49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8" r:id="rId30" name="Drop Down 50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U16" sqref="U15:U1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'55)Wildpflanzen Biogas ex S(a)'!J2</f>
        <v>2022</v>
      </c>
      <c r="K2" s="3265" t="s">
        <v>858</v>
      </c>
      <c r="L2" s="2502"/>
      <c r="M2" s="2505"/>
      <c r="N2" s="2529"/>
      <c r="O2" s="3266" t="str">
        <f>'55)Wildpflanzen Biogas ex S(a)'!M2</f>
        <v>Wildpflanzen Biogas ex Silo (N.: 5 J.)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36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'55)Wildpflanzen Biogas ex S(a)'!H3</f>
        <v>Silage für Biogasanlage;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'55)Wildpflanzen Biogas ex S(a)'!K5</f>
        <v>80</v>
      </c>
      <c r="N6" s="1820">
        <f>'55)Wildpflanzen Biogas ex S(a)'!M5</f>
        <v>110</v>
      </c>
      <c r="O6" s="1822">
        <f>'55)Wildpflanzen Biogas ex S(a)'!O5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'55)Wildpflanzen Biogas ex S(a)'!K9</f>
        <v>76</v>
      </c>
      <c r="N7" s="1736">
        <f>'55)Wildpflanzen Biogas ex S(a)'!M9</f>
        <v>104.5</v>
      </c>
      <c r="O7" s="1744">
        <f>'55)Wildpflanzen Biogas ex S(a)'!O9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'55)Wildpflanzen Biogas ex S(a)'!L9</f>
        <v>271.42857142857144</v>
      </c>
      <c r="N8" s="1737">
        <f>'55)Wildpflanzen Biogas ex S(a)'!N9</f>
        <v>373.21428571428572</v>
      </c>
      <c r="O8" s="1583">
        <f>'55)Wildpflanzen Biogas ex S(a)'!P9</f>
        <v>475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'55)Wildpflanzen Biogas ex S(a)'!K11</f>
        <v>70.680000000000007</v>
      </c>
      <c r="N9" s="1562">
        <f>'55)Wildpflanzen Biogas ex S(a)'!M11</f>
        <v>97.185000000000002</v>
      </c>
      <c r="O9" s="1747">
        <f>'55)Wildpflanzen Biogas ex S(a)'!O11</f>
        <v>123.69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'55)Wildpflanzen Biogas ex S(a)'!L11</f>
        <v>235.60000000000002</v>
      </c>
      <c r="N10" s="1582">
        <f>'55)Wildpflanzen Biogas ex S(a)'!N11</f>
        <v>323.95</v>
      </c>
      <c r="O10" s="2014">
        <f>'55)Wildpflanzen Biogas ex S(a)'!P11</f>
        <v>412.3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'55)Wildpflanzen Biogas ex S(a)'!L12</f>
        <v>33.657142857142858</v>
      </c>
      <c r="N11" s="3269">
        <f>'55)Wildpflanzen Biogas ex S(a)'!N12</f>
        <v>46.278571428571425</v>
      </c>
      <c r="O11" s="3270">
        <f>'55)Wildpflanzen Biogas ex S(a)'!P12</f>
        <v>58.9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'55)Wildpflanzen Biogas ex S(a)'!K15</f>
        <v>1696.3200000000002</v>
      </c>
      <c r="N12" s="1738">
        <f>'55)Wildpflanzen Biogas ex S(a)'!M15</f>
        <v>2332.44</v>
      </c>
      <c r="O12" s="1745">
        <f>'55)Wildpflanzen Biogas ex S(a)'!O15</f>
        <v>2968.56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'55)Wildpflanzen Biogas ex S(a)'!K16</f>
        <v>61.067519999999995</v>
      </c>
      <c r="N13" s="2077">
        <f>'55)Wildpflanzen Biogas ex S(a)'!M16</f>
        <v>83.967839999999995</v>
      </c>
      <c r="O13" s="2078">
        <f>'55)Wildpflanzen Biogas ex S(a)'!O16</f>
        <v>106.86815999999999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'55)Wildpflanzen Biogas ex S(a)'!L24</f>
        <v>270</v>
      </c>
      <c r="N15" s="3338">
        <f>'55)Wildpflanzen Biogas ex S(a)'!N24</f>
        <v>270</v>
      </c>
      <c r="O15" s="3341">
        <f>'55)Wildpflanzen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'55)Wildpflanzen Biogas ex S(a)'!L18</f>
        <v>0</v>
      </c>
      <c r="N16" s="1736">
        <f>'55)Wildpflanzen Biogas ex S(a)'!N18</f>
        <v>0</v>
      </c>
      <c r="O16" s="3343">
        <f>'55)Wildpflanzen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'55)Wildpflanzen Biogas ex S(a)'!L27</f>
        <v>74.900000000000006</v>
      </c>
      <c r="N19" s="2098">
        <f>'55)Wildpflanzen Biogas ex S(a)'!N27</f>
        <v>74.900000000000006</v>
      </c>
      <c r="O19" s="3276">
        <f>'55)Wildpflanzen Biogas ex S(a)'!P27</f>
        <v>74.900000000000006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'55)Wildpflanzen Biogas ex S(a)'!L31-'55)Wildpflanzen Biogas ex S(a)'!L17</f>
        <v>33.492549999999994</v>
      </c>
      <c r="N20" s="1750">
        <f>'55)Wildpflanzen Biogas ex S(a)'!N31-'55)Wildpflanzen Biogas ex S(a)'!N17</f>
        <v>77.548135000000002</v>
      </c>
      <c r="O20" s="3278">
        <f>'55)Wildpflanzen Biogas ex S(a)'!P31-'55)Wildpflanzen Biogas ex S(a)'!P17</f>
        <v>121.60371999999995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'55)Wildpflanzen Biogas ex S(a)'!L37</f>
        <v>0</v>
      </c>
      <c r="N21" s="1750">
        <f>'55)Wildpflanzen Biogas ex S(a)'!N37</f>
        <v>0</v>
      </c>
      <c r="O21" s="3278">
        <f>'55)Wildpflanzen Biogas ex S(a)'!P37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'55)Wildpflanzen Biogas ex S(a)'!L65</f>
        <v>6.1067520000000002</v>
      </c>
      <c r="N22" s="1750">
        <f>'55)Wildpflanzen Biogas ex S(a)'!N65</f>
        <v>8.3967839999999985</v>
      </c>
      <c r="O22" s="3278">
        <f>'55)Wildpflanzen Biogas ex S(a)'!P65</f>
        <v>10.686815999999999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'55)Wildpflanzen Biogas ex S(a)'!L67</f>
        <v>59.5</v>
      </c>
      <c r="N23" s="1750">
        <f>'55)Wildpflanzen Biogas ex S(a)'!N67</f>
        <v>59.5</v>
      </c>
      <c r="O23" s="3278">
        <f>'55)Wildpflanzen Biogas ex S(a)'!P67</f>
        <v>59.5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'55)Wildpflanzen Biogas ex S(a)'!L42</f>
        <v>161.22827084367998</v>
      </c>
      <c r="N24" s="1750">
        <f>'55)Wildpflanzen Biogas ex S(a)'!N42</f>
        <v>205.21899934387</v>
      </c>
      <c r="O24" s="3278">
        <f>'55)Wildpflanzen Biogas ex S(a)'!P42</f>
        <v>249.20972784406001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'55)Wildpflanzen Biogas ex S(a)'!L58</f>
        <v>295.56540000000001</v>
      </c>
      <c r="N25" s="1750">
        <f>'55)Wildpflanzen Biogas ex S(a)'!N58</f>
        <v>356.94304999999997</v>
      </c>
      <c r="O25" s="3278">
        <f>'55)Wildpflanzen Biogas ex S(a)'!P58</f>
        <v>418.32069999999999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'55)Wildpflanzen Biogas ex S(a)'!L63</f>
        <v>0</v>
      </c>
      <c r="N26" s="2101">
        <f>'55)Wildpflanzen Biogas ex S(a)'!N63</f>
        <v>0</v>
      </c>
      <c r="O26" s="3279">
        <f>'55)Wildpflanzen Biogas ex S(a)'!P63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630.79297284367999</v>
      </c>
      <c r="N27" s="1775">
        <f>SUM(N19:N26)</f>
        <v>782.50696834386997</v>
      </c>
      <c r="O27" s="2055">
        <f>SUM(O19:O26)</f>
        <v>934.22096384405995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-630.79297284367999</v>
      </c>
      <c r="N28" s="2060">
        <f>-N27</f>
        <v>-782.50696834386997</v>
      </c>
      <c r="O28" s="2061">
        <f>-O27</f>
        <v>-934.22096384405995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M27*'55)Wildpflanzen Biogas ex S(a)'!$L$70*'55)Wildpflanzen Biogas ex S(a)'!$P$70/12/100</f>
        <v>3.9424560802730002</v>
      </c>
      <c r="N30" s="2101">
        <f>N27*'55)Wildpflanzen Biogas ex S(a)'!$L$70*'55)Wildpflanzen Biogas ex S(a)'!$P$70/12/100</f>
        <v>4.8906685521491866</v>
      </c>
      <c r="O30" s="3279">
        <f>O27*'55)Wildpflanzen Biogas ex S(a)'!$L$70*'55)Wildpflanzen Biogas ex S(a)'!$P$70/12/100</f>
        <v>5.8388810240253743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-364.73542892395301</v>
      </c>
      <c r="N31" s="1769">
        <f>N28+N29-N30</f>
        <v>-517.39763689601921</v>
      </c>
      <c r="O31" s="1776">
        <f>O28+O29-O30</f>
        <v>-670.05984486808529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-0.21501569805458462</v>
      </c>
      <c r="N32" s="3282">
        <f>IF(N12=0,0,N31/N12)</f>
        <v>-0.22182677234827872</v>
      </c>
      <c r="O32" s="2517">
        <f>IF(O12=0,0,O31/O12)</f>
        <v>-0.22571881480181816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-5.9726582792940182</v>
      </c>
      <c r="N33" s="3284">
        <f>IF(N13=0,0,N31/N13)</f>
        <v>-6.161854787452187</v>
      </c>
      <c r="O33" s="3285">
        <f>IF(O13=0,0,O31/O13)</f>
        <v>-6.2699670778282828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'55)Wildpflanzen Biogas ex S(a)'!K57</f>
        <v>12.124800000000002</v>
      </c>
      <c r="N35" s="2396">
        <f>'55)Wildpflanzen Biogas ex S(a)'!M57</f>
        <v>15.79275</v>
      </c>
      <c r="O35" s="2398">
        <f>'55)Wildpflanzen Biogas ex S(a)'!O57</f>
        <v>19.460700000000003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'55)Wildpflanzen Biogas ex S(a)'!L10</f>
        <v>38.775510204081634</v>
      </c>
      <c r="N36" s="2431">
        <f>'55)Wildpflanzen Biogas ex S(a)'!N10</f>
        <v>53.316326530612244</v>
      </c>
      <c r="O36" s="2432">
        <f>'55)Wildpflanzen Biogas ex S(a)'!P10</f>
        <v>67.857142857142847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212.18400000000003</v>
      </c>
      <c r="N37" s="1750">
        <f>$J$37*N35</f>
        <v>276.37312500000002</v>
      </c>
      <c r="O37" s="3278">
        <f>$J$37*O35</f>
        <v>340.56225000000006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188.41666666666669</v>
      </c>
      <c r="N38" s="3289">
        <f>N36*$I$36</f>
        <v>259.07291666666669</v>
      </c>
      <c r="O38" s="3290">
        <f>O36*$I$36</f>
        <v>329.72916666666663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1383.3438107175925</v>
      </c>
      <c r="N43" s="1991">
        <f>SUM(N37:N42)</f>
        <v>1208.1891857175926</v>
      </c>
      <c r="O43" s="1994">
        <f>SUM(O37:O42)</f>
        <v>1343.0345607175925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2018.0792396415454</v>
      </c>
      <c r="N46" s="2041">
        <f>N27+N30+N43</f>
        <v>1995.5868226136117</v>
      </c>
      <c r="O46" s="2080">
        <f>O27+O30+O43</f>
        <v>2283.094405585678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-2018.0792396415454</v>
      </c>
      <c r="N47" s="2227">
        <f>N45-N46</f>
        <v>-1995.5868226136117</v>
      </c>
      <c r="O47" s="2228">
        <f>O45-O46</f>
        <v>-2283.094405585678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-1748.0792396415454</v>
      </c>
      <c r="N49" s="1991">
        <f>N47+N48</f>
        <v>-1725.5868226136117</v>
      </c>
      <c r="O49" s="1994">
        <f>O47+O48</f>
        <v>-2013.094405585678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1748.0792396415454</v>
      </c>
      <c r="N51" s="1771">
        <f>N46-N48</f>
        <v>1725.5868226136117</v>
      </c>
      <c r="O51" s="3358">
        <f>O46-O48</f>
        <v>2013.094405585678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7.4196911699556249</v>
      </c>
      <c r="N52" s="2335">
        <f>IF(N10=0,0,N$51/N10)</f>
        <v>5.3267072777083246</v>
      </c>
      <c r="O52" s="2336">
        <f>IF(O10=0,0,O$51/O10)</f>
        <v>4.8825961813865586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24.732303899852084</v>
      </c>
      <c r="N53" s="2335">
        <f>IF(N9=0,0,N$51/N9)</f>
        <v>17.755690925694413</v>
      </c>
      <c r="O53" s="2336">
        <f>IF(O9=0,0,O$51/O9)</f>
        <v>16.275320604621861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51.93783818968938</v>
      </c>
      <c r="N54" s="2335">
        <f t="shared" si="3"/>
        <v>37.286950943958274</v>
      </c>
      <c r="O54" s="2336">
        <f t="shared" si="3"/>
        <v>34.178173269705908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1.0305126624938368</v>
      </c>
      <c r="N55" s="2219">
        <f t="shared" si="3"/>
        <v>0.73982045523726725</v>
      </c>
      <c r="O55" s="2220">
        <f t="shared" si="3"/>
        <v>0.67813835852591087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28.625351735939915</v>
      </c>
      <c r="N56" s="2219">
        <f>IF(N13=0,0,N$51/N13)</f>
        <v>20.550568201035205</v>
      </c>
      <c r="O56" s="2220">
        <f>IF(O13=0,0,O$51/O13)</f>
        <v>18.837176625719749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0.28625351735939908</v>
      </c>
      <c r="N57" s="2222">
        <f>N51/$N$12*10/$F$57</f>
        <v>0.20550568201035202</v>
      </c>
      <c r="O57" s="2223">
        <f>O51/$O$12*10/$F$57</f>
        <v>0.18837176625719745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1559.6625729748787</v>
      </c>
      <c r="N58" s="1769">
        <f>N51-N38</f>
        <v>1466.513905946945</v>
      </c>
      <c r="O58" s="1776">
        <f>O51-O38</f>
        <v>1683.3652389190115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M58/M9</f>
        <v>22.066533290533087</v>
      </c>
      <c r="N59" s="3416">
        <f>N58/N9</f>
        <v>15.089920316375418</v>
      </c>
      <c r="O59" s="3417">
        <f>O58/O9</f>
        <v>13.609549995302867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0.91943888710554522</v>
      </c>
      <c r="N60" s="2130">
        <f>IF(N12=0,0,N$58/N12)</f>
        <v>0.6287466798489757</v>
      </c>
      <c r="O60" s="2217">
        <f>IF(O12=0,0,O$58/O12)</f>
        <v>0.56706458313761943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0.25539969086265146</v>
      </c>
      <c r="N61" s="2130">
        <f>N58/$N$12*10/$F$57</f>
        <v>0.17465185551360438</v>
      </c>
      <c r="O61" s="3422">
        <f>O58/$O$12*10/$F$57</f>
        <v>0.15751793976044984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25.539969086265152</v>
      </c>
      <c r="N62" s="1874">
        <f>IF(N13=0,0,N$58/N13)</f>
        <v>17.465185551360438</v>
      </c>
      <c r="O62" s="2032">
        <f>IF(O13=0,0,O$58/O13)</f>
        <v>15.751793976044986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177.94175808027299</v>
      </c>
      <c r="N64" s="1772">
        <f>SUM(N19:N23)+N30</f>
        <v>225.23558755214918</v>
      </c>
      <c r="O64" s="1773">
        <f>SUM(O19:O23)+O30</f>
        <v>272.52941702402535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0.10489869722709923</v>
      </c>
      <c r="N65" s="2031">
        <f>IF(N12=0,0,N64/N12)</f>
        <v>9.6566508699966205E-2</v>
      </c>
      <c r="O65" s="2032">
        <f>IF(O12=0,0,O64/O12)</f>
        <v>9.1805258113033042E-2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1187.8915433947959</v>
      </c>
      <c r="N66" s="2038">
        <f>N24+N25+N26+N39+N37</f>
        <v>1313.4583183947959</v>
      </c>
      <c r="O66" s="2039">
        <f>O24+O25+O26+O39+O37</f>
        <v>1483.0158218949859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0.70027562216727723</v>
      </c>
      <c r="N67" s="2168">
        <f>IF(N12=0,0,N66/N12)</f>
        <v>0.56312630481161186</v>
      </c>
      <c r="O67" s="2187">
        <f>IF(O12=0,0,O66/O12)</f>
        <v>0.49957414433091668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7.6</v>
      </c>
      <c r="N72" s="2877">
        <f>N7/10</f>
        <v>10.45</v>
      </c>
      <c r="O72" s="2877">
        <f>O7/10</f>
        <v>13.3</v>
      </c>
    </row>
    <row r="73" spans="2:41" x14ac:dyDescent="0.2">
      <c r="K73" s="7" t="s">
        <v>263</v>
      </c>
      <c r="M73" s="2725">
        <f>M6</f>
        <v>80</v>
      </c>
      <c r="N73" s="2725">
        <f>N6</f>
        <v>110</v>
      </c>
      <c r="O73" s="2725">
        <f>O6</f>
        <v>140</v>
      </c>
    </row>
    <row r="74" spans="2:41" x14ac:dyDescent="0.2">
      <c r="K74" s="7" t="s">
        <v>419</v>
      </c>
      <c r="M74" s="2941">
        <f>M9/10</f>
        <v>7.0680000000000005</v>
      </c>
      <c r="N74" s="2941">
        <f>N9/10</f>
        <v>9.7185000000000006</v>
      </c>
      <c r="O74" s="2941">
        <f>O9/10</f>
        <v>12.369</v>
      </c>
    </row>
    <row r="75" spans="2:41" x14ac:dyDescent="0.2">
      <c r="M75" s="2666">
        <f>M53*10</f>
        <v>247.32303899852084</v>
      </c>
      <c r="N75" s="2666">
        <f>N53*10</f>
        <v>177.55690925694412</v>
      </c>
      <c r="O75" s="2666">
        <f>O53*10</f>
        <v>162.75320604621862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Aulendorf&amp;C&amp;12 129
&amp;9
&amp;R&amp;12&amp;F
&amp;A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1">
    <pageSetUpPr fitToPage="1"/>
  </sheetPr>
  <dimension ref="A1:CA70"/>
  <sheetViews>
    <sheetView showGridLines="0" showZeros="0" zoomScaleNormal="100" zoomScaleSheetLayoutView="75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D39" sqref="D39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11.570312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12.4257812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1819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1830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/>
      <c r="L5" s="417"/>
      <c r="M5" s="370"/>
      <c r="N5" s="2261"/>
      <c r="O5" s="370"/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30</v>
      </c>
      <c r="L7" s="706">
        <v>32</v>
      </c>
      <c r="M7" s="702">
        <v>30</v>
      </c>
      <c r="N7" s="706">
        <v>32</v>
      </c>
      <c r="O7" s="702">
        <v>30</v>
      </c>
      <c r="P7" s="706">
        <v>32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0</v>
      </c>
      <c r="L9" s="721">
        <f>IF(K7=0,0,K9/K7*100)</f>
        <v>0</v>
      </c>
      <c r="M9" s="809">
        <f>M5*(100-M6)/100</f>
        <v>0</v>
      </c>
      <c r="N9" s="810">
        <f>IF(M7=0,0,M9/M7*100)</f>
        <v>0</v>
      </c>
      <c r="O9" s="720">
        <f>O5*(100-O6)/100</f>
        <v>0</v>
      </c>
      <c r="P9" s="721">
        <f>IF(O7=0,0,O9/O7*100)</f>
        <v>0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0</v>
      </c>
      <c r="L11" s="709">
        <f>IF(L7=0,0,K11/L7*100)</f>
        <v>0</v>
      </c>
      <c r="M11" s="812">
        <f>M9*(100-N6)/100</f>
        <v>0</v>
      </c>
      <c r="N11" s="813">
        <f>IF(N7=0,0,M11/N7*100)</f>
        <v>0</v>
      </c>
      <c r="O11" s="708">
        <f>O9*(100-P6)/100</f>
        <v>0</v>
      </c>
      <c r="P11" s="709">
        <f>IF(P7=0,0,O11/P7*100)</f>
        <v>0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0</v>
      </c>
      <c r="M12" s="801"/>
      <c r="N12" s="814">
        <f>IF(N8=0,0,1/N8*N11)</f>
        <v>0</v>
      </c>
      <c r="O12" s="487"/>
      <c r="P12" s="502">
        <f>IF(P8=0,0,1/P8*P11)</f>
        <v>0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f>72/L7*10</f>
        <v>22.5</v>
      </c>
      <c r="L13" s="418"/>
      <c r="M13" s="499">
        <f>72/N7*10</f>
        <v>22.5</v>
      </c>
      <c r="N13" s="784"/>
      <c r="O13" s="499">
        <f>72/P7*10</f>
        <v>22.5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0.80999999999999994</v>
      </c>
      <c r="L14" s="418"/>
      <c r="M14" s="815">
        <f>M13*$G14</f>
        <v>0.80999999999999994</v>
      </c>
      <c r="N14" s="784"/>
      <c r="O14" s="513">
        <f>O13*$G14</f>
        <v>0.80999999999999994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0</v>
      </c>
      <c r="L15" s="418"/>
      <c r="M15" s="816">
        <f>M$11*M13</f>
        <v>0</v>
      </c>
      <c r="N15" s="784"/>
      <c r="O15" s="497">
        <f>O$11*O13</f>
        <v>0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0</v>
      </c>
      <c r="L16" s="417"/>
      <c r="M16" s="817">
        <f>M$11*M14</f>
        <v>0</v>
      </c>
      <c r="N16" s="428"/>
      <c r="O16" s="498">
        <f>O$11*O14</f>
        <v>0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0</v>
      </c>
      <c r="M17" s="2600">
        <f>K17</f>
        <v>1</v>
      </c>
      <c r="N17" s="2591">
        <f>M17*(N33*(1-$AC$14)+N34*(1-$AC$15)+N35*(1-$AC$16)+N36*(1-$AC$17))</f>
        <v>0</v>
      </c>
      <c r="O17" s="2601">
        <f>K17</f>
        <v>1</v>
      </c>
      <c r="P17" s="2590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SUM($J19:$J23)</f>
        <v>0</v>
      </c>
      <c r="M18" s="3208"/>
      <c r="N18" s="3207">
        <f>SUM($J19:$J23)</f>
        <v>0</v>
      </c>
      <c r="O18" s="3206"/>
      <c r="P18" s="3207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1831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0</v>
      </c>
      <c r="M27" s="804"/>
      <c r="N27" s="3211">
        <f>SUM(N29:N30)</f>
        <v>0</v>
      </c>
      <c r="O27" s="330"/>
      <c r="P27" s="3210">
        <f>SUM(P29:P30)</f>
        <v>0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/>
      <c r="I29" s="711">
        <f>H29*($H$27+100)/100</f>
        <v>0</v>
      </c>
      <c r="J29" s="357"/>
      <c r="K29" s="3462"/>
      <c r="L29" s="337">
        <f>$I29*K29</f>
        <v>0</v>
      </c>
      <c r="M29" s="3462"/>
      <c r="N29" s="791">
        <f>$I29*M29</f>
        <v>0</v>
      </c>
      <c r="O29" s="3462"/>
      <c r="P29" s="337">
        <f>$I29*O29</f>
        <v>0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0</v>
      </c>
      <c r="M31" s="3216"/>
      <c r="N31" s="3211">
        <f>SUM(N33:N36)</f>
        <v>0</v>
      </c>
      <c r="O31" s="3215"/>
      <c r="P31" s="3210">
        <f>SUM(P33:P36)</f>
        <v>0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/>
      <c r="H33" s="386">
        <v>0</v>
      </c>
      <c r="I33"/>
      <c r="J33" s="172"/>
      <c r="K33" s="336">
        <f>G33*$K$9+H33</f>
        <v>0</v>
      </c>
      <c r="L33" s="337">
        <f>K33*$E33</f>
        <v>0</v>
      </c>
      <c r="M33" s="820">
        <f>G33*$M$9+H33</f>
        <v>0</v>
      </c>
      <c r="N33" s="791">
        <f>M33*$E33</f>
        <v>0</v>
      </c>
      <c r="O33" s="336">
        <f>G33*$O$9+H33</f>
        <v>0</v>
      </c>
      <c r="P33" s="337">
        <f>O33*$E33</f>
        <v>0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/>
      <c r="H34" s="386"/>
      <c r="I34"/>
      <c r="J34" s="172"/>
      <c r="K34" s="336">
        <f>G34*$K$9+H34</f>
        <v>0</v>
      </c>
      <c r="L34" s="337">
        <f>K34*$E34</f>
        <v>0</v>
      </c>
      <c r="M34" s="820">
        <f>G34*$M$9+H34</f>
        <v>0</v>
      </c>
      <c r="N34" s="791">
        <f>M34*$E34</f>
        <v>0</v>
      </c>
      <c r="O34" s="336">
        <f>G34*$O$9+H34</f>
        <v>0</v>
      </c>
      <c r="P34" s="337">
        <f>O34*$E34</f>
        <v>0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/>
      <c r="H35" s="386"/>
      <c r="I35"/>
      <c r="J35" s="172"/>
      <c r="K35" s="336">
        <f>G35*$K$9+H35</f>
        <v>0</v>
      </c>
      <c r="L35" s="337">
        <f>K35*$E35</f>
        <v>0</v>
      </c>
      <c r="M35" s="820">
        <f>G35*$M$9+H35</f>
        <v>0</v>
      </c>
      <c r="N35" s="791">
        <f>M35*$E35</f>
        <v>0</v>
      </c>
      <c r="O35" s="336">
        <f>G35*$O$9+H35</f>
        <v>0</v>
      </c>
      <c r="P35" s="337">
        <f>O35*$E35</f>
        <v>0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/>
      <c r="H36" s="387"/>
      <c r="I36" s="36"/>
      <c r="J36" s="36"/>
      <c r="K36" s="338">
        <f>G36*$K$9+H36</f>
        <v>0</v>
      </c>
      <c r="L36" s="333">
        <f>K36*$E36</f>
        <v>0</v>
      </c>
      <c r="M36" s="821">
        <f>G36*$M$9+H36</f>
        <v>0</v>
      </c>
      <c r="N36" s="792">
        <f>M36*$E36</f>
        <v>0</v>
      </c>
      <c r="O36" s="338">
        <f>G36*$O$9+H36</f>
        <v>0</v>
      </c>
      <c r="P36" s="333">
        <f>O36*$E36</f>
        <v>0</v>
      </c>
      <c r="Q36" s="528"/>
      <c r="R36" s="528" t="s">
        <v>1413</v>
      </c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0</v>
      </c>
      <c r="M42" s="3225"/>
      <c r="N42" s="3211">
        <f>SUM(W45:W55)</f>
        <v>0</v>
      </c>
      <c r="O42" s="3224"/>
      <c r="P42" s="3210">
        <f>SUM(Z45:Z55)</f>
        <v>0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20</v>
      </c>
      <c r="C45" s="104"/>
      <c r="D45" s="137"/>
      <c r="E45" s="8"/>
      <c r="F45" s="8"/>
      <c r="G45" s="731"/>
      <c r="H45" s="3229" t="str">
        <f>IF($B45=0,0,VLOOKUP($B45,Arbeitsgänge!$B$27:$T$80,7))</f>
        <v>102 kW</v>
      </c>
      <c r="I45" s="727">
        <f>IF($B45=0,0,VLOOKUP($B45,Arbeitsgänge!$B$27:$T$80,12))</f>
        <v>0.86</v>
      </c>
      <c r="J45" s="469">
        <f>IF($B45=0,0,VLOOKUP($B45,Arbeitsgänge!$B$27:$T$80,14))</f>
        <v>30.651086754399994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20</v>
      </c>
      <c r="C46" s="104"/>
      <c r="D46" s="137"/>
      <c r="E46" s="8"/>
      <c r="F46" s="8"/>
      <c r="G46" s="731"/>
      <c r="H46" s="3229" t="str">
        <f>IF($B46=0,0,VLOOKUP($B46,Arbeitsgänge!$B$27:$T$80,7))</f>
        <v>102 kW</v>
      </c>
      <c r="I46" s="727">
        <f>IF($B46=0,0,VLOOKUP($B46,Arbeitsgänge!$B$27:$T$80,12))</f>
        <v>0.86</v>
      </c>
      <c r="J46" s="469">
        <f>IF($B46=0,0,VLOOKUP($B46,Arbeitsgänge!$B$27:$T$80,14))</f>
        <v>30.651086754399994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20</v>
      </c>
      <c r="C47" s="104"/>
      <c r="D47" s="137"/>
      <c r="E47" s="8"/>
      <c r="F47" s="8"/>
      <c r="G47" s="731"/>
      <c r="H47" s="3229" t="str">
        <f>IF($B47=0,0,VLOOKUP($B47,Arbeitsgänge!$B$27:$T$80,7))</f>
        <v>102 kW</v>
      </c>
      <c r="I47" s="727">
        <f>IF($B47=0,0,VLOOKUP($B47,Arbeitsgänge!$B$27:$T$80,12))</f>
        <v>0.86</v>
      </c>
      <c r="J47" s="469">
        <f>IF($B47=0,0,VLOOKUP($B47,Arbeitsgänge!$B$27:$T$80,14))</f>
        <v>30.651086754399994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/>
      <c r="C48" s="104"/>
      <c r="D48" s="137"/>
      <c r="E48" s="8"/>
      <c r="F48" s="8"/>
      <c r="G48" s="731"/>
      <c r="H48" s="3229">
        <f>IF($B48=0,0,VLOOKUP($B48,Arbeitsgänge!$B$27:$T$80,7))</f>
        <v>0</v>
      </c>
      <c r="I48" s="727">
        <f>IF($B48=0,0,VLOOKUP($B48,Arbeitsgänge!$B$27:$T$80,12))</f>
        <v>0</v>
      </c>
      <c r="J48" s="469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/>
      <c r="C49" s="104"/>
      <c r="D49" s="137"/>
      <c r="E49" s="8"/>
      <c r="F49" s="8"/>
      <c r="G49" s="731"/>
      <c r="H49" s="3229">
        <f>IF($B49=0,0,VLOOKUP($B49,Arbeitsgänge!$B$27:$T$80,7))</f>
        <v>0</v>
      </c>
      <c r="I49" s="727">
        <f>IF($B49=0,0,VLOOKUP($B49,Arbeitsgänge!$B$27:$T$80,12))</f>
        <v>0</v>
      </c>
      <c r="J49" s="469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04"/>
      <c r="D50" s="137"/>
      <c r="E50" s="8"/>
      <c r="F50" s="8"/>
      <c r="G50" s="731"/>
      <c r="H50" s="3229">
        <f>IF($B50=0,0,VLOOKUP($B50,Arbeitsgänge!$B$27:$T$80,7))</f>
        <v>0</v>
      </c>
      <c r="I50" s="727">
        <f>IF($B50=0,0,VLOOKUP($B50,Arbeitsgänge!$B$27:$T$80,12))</f>
        <v>0</v>
      </c>
      <c r="J50" s="469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04"/>
      <c r="D51" s="137"/>
      <c r="E51" s="8"/>
      <c r="F51" s="8"/>
      <c r="G51" s="731"/>
      <c r="H51" s="3229">
        <f>IF($B51=0,0,VLOOKUP($B51,Arbeitsgänge!$B$27:$T$80,7))</f>
        <v>0</v>
      </c>
      <c r="I51" s="727">
        <f>IF($B51=0,0,VLOOKUP($B51,Arbeitsgänge!$B$27:$T$80,12))</f>
        <v>0</v>
      </c>
      <c r="J51" s="469">
        <f>IF($B51=0,0,VLOOKUP($B51,Arbeitsgänge!$B$27:$T$80,14))</f>
        <v>0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04"/>
      <c r="D52" s="137"/>
      <c r="E52" s="8"/>
      <c r="F52" s="8"/>
      <c r="G52" s="731"/>
      <c r="H52" s="3229">
        <f>IF($B52=0,0,VLOOKUP($B52,Arbeitsgänge!$B$27:$T$80,7))</f>
        <v>0</v>
      </c>
      <c r="I52" s="727">
        <f>IF($B52=0,0,VLOOKUP($B52,Arbeitsgänge!$B$27:$T$80,12))</f>
        <v>0</v>
      </c>
      <c r="J52" s="469">
        <f>IF($B52=0,0,VLOOKUP($B52,Arbeitsgänge!$B$27:$T$80,14))</f>
        <v>0</v>
      </c>
      <c r="K52" s="2636"/>
      <c r="L52" s="337">
        <f t="shared" si="0"/>
        <v>0</v>
      </c>
      <c r="M52" s="2636"/>
      <c r="N52" s="791">
        <f t="shared" si="1"/>
        <v>0</v>
      </c>
      <c r="O52" s="2636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3229">
        <f>IF($B53=0,0,VLOOKUP($B53,Arbeitsgänge!$B$27:$T$80,7))</f>
        <v>0</v>
      </c>
      <c r="I53" s="727">
        <f>IF($B53=0,0,VLOOKUP($B53,Arbeitsgänge!$B$27:$T$80,12))</f>
        <v>0</v>
      </c>
      <c r="J53" s="469">
        <f>IF($B53=0,0,VLOOKUP($B53,Arbeitsgänge!$B$27:$T$80,14))</f>
        <v>0</v>
      </c>
      <c r="K53" s="2636"/>
      <c r="L53" s="337">
        <f t="shared" si="0"/>
        <v>0</v>
      </c>
      <c r="M53" s="2636"/>
      <c r="N53" s="791">
        <f t="shared" si="1"/>
        <v>0</v>
      </c>
      <c r="O53" s="2636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0</v>
      </c>
      <c r="L56" s="341"/>
      <c r="M56" s="3239">
        <f>SUM($U$45:$U$55)</f>
        <v>0</v>
      </c>
      <c r="N56" s="798"/>
      <c r="O56" s="3238">
        <f>SUM($X$45:$X$55)</f>
        <v>0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0</v>
      </c>
      <c r="L57" s="3247"/>
      <c r="M57" s="3248">
        <f>IF(M56+(M56*$G$57/100)&gt;M56+10,M56+10,M56+(M56*$G$57/100))</f>
        <v>0</v>
      </c>
      <c r="N57" s="3249"/>
      <c r="O57" s="3246">
        <f>IF(O56+(O56*$G$57/100)&gt;O56+10,O56+10,O56+(O56*$G$57/100))</f>
        <v>0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0</v>
      </c>
      <c r="M58" s="3251"/>
      <c r="N58" s="3211">
        <f>SUM(N60:N62)</f>
        <v>0</v>
      </c>
      <c r="O58" s="3250"/>
      <c r="P58" s="3210">
        <f>SUM(P60:P62)</f>
        <v>0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/>
      <c r="E60" s="3020"/>
      <c r="F60" s="3020"/>
      <c r="G60" s="3021"/>
      <c r="H60" s="3012"/>
      <c r="I60" s="3022"/>
      <c r="J60" s="3015">
        <f>H60*($H$58+100)/100</f>
        <v>0</v>
      </c>
      <c r="K60" s="3023"/>
      <c r="L60" s="3015">
        <f>K60*J60</f>
        <v>0</v>
      </c>
      <c r="M60" s="3023"/>
      <c r="N60" s="3016">
        <f>M60*J60</f>
        <v>0</v>
      </c>
      <c r="O60" s="3023"/>
      <c r="P60" s="3015">
        <f>O60*J60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0</v>
      </c>
      <c r="L62" s="308">
        <f>K62*I62</f>
        <v>0</v>
      </c>
      <c r="M62" s="2626">
        <f>M11/($V$63)/10*($V$65*M17)</f>
        <v>0</v>
      </c>
      <c r="N62" s="828">
        <f>M62*I62</f>
        <v>0</v>
      </c>
      <c r="O62" s="2626">
        <f>O11/($V$63)/10*($V$65*O17)</f>
        <v>0</v>
      </c>
      <c r="P62" s="308">
        <f>O62*I62</f>
        <v>0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>
        <v>10</v>
      </c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0</v>
      </c>
      <c r="M65" s="1357"/>
      <c r="N65" s="3211">
        <f>M66*$H66/100</f>
        <v>0</v>
      </c>
      <c r="O65" s="347"/>
      <c r="P65" s="3210">
        <f>O66*$H66/100</f>
        <v>0</v>
      </c>
      <c r="Q65" s="529"/>
      <c r="R65" s="542"/>
      <c r="S65" s="1167"/>
      <c r="T65" s="2598"/>
      <c r="U65" s="2598"/>
      <c r="V65" s="2599">
        <v>0.8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/>
      <c r="I66" s="74"/>
      <c r="J66" s="361" t="s">
        <v>266</v>
      </c>
      <c r="K66" s="3181">
        <f>K15*0.3</f>
        <v>0</v>
      </c>
      <c r="L66" s="3257"/>
      <c r="M66" s="3181">
        <f>M15*0.3</f>
        <v>0</v>
      </c>
      <c r="N66" s="3258"/>
      <c r="O66" s="3181">
        <f>O15*0.3</f>
        <v>0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3259"/>
      <c r="N67" s="3211">
        <f>SUM(N68:N69)</f>
        <v>0</v>
      </c>
      <c r="O67" s="330"/>
      <c r="P67" s="3210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360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8" firstPageNumber="15" orientation="portrait" horizontalDpi="300" verticalDpi="300" r:id="rId1"/>
  <headerFooter alignWithMargins="0">
    <oddFooter>&amp;L&amp;12LEL Schwäbisch Gmünd (Abtlg. II)
LAZBW Aulendorf&amp;C&amp;12 130&amp;9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4194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11</xdr:col>
                    <xdr:colOff>209550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5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0</xdr:rowOff>
                  </from>
                  <to>
                    <xdr:col>11</xdr:col>
                    <xdr:colOff>209550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6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7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8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9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0</xdr:rowOff>
                  </from>
                  <to>
                    <xdr:col>13</xdr:col>
                    <xdr:colOff>209550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0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1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2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3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4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5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6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7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0</xdr:rowOff>
                  </from>
                  <to>
                    <xdr:col>15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8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0" r:id="rId19" name="Check Box 28">
              <controlPr defaultSize="0" autoFill="0" autoLine="0" autoPict="0">
                <anchor moveWithCells="1">
                  <from>
                    <xdr:col>5</xdr:col>
                    <xdr:colOff>238125</xdr:colOff>
                    <xdr:row>9</xdr:row>
                    <xdr:rowOff>28575</xdr:rowOff>
                  </from>
                  <to>
                    <xdr:col>6</xdr:col>
                    <xdr:colOff>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1" r:id="rId20" name="Drop Down 29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2" r:id="rId21" name="Drop Down 30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3" r:id="rId22" name="Drop Down 31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4" r:id="rId23" name="Drop Down 32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5" r:id="rId24" name="Drop Down 33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6" r:id="rId25" name="Drop Down 34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7" r:id="rId26" name="Drop Down 35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8" r:id="rId27" name="Drop Down 36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9" r:id="rId28" name="Drop Down 37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30" r:id="rId29" name="Drop Down 38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31" r:id="rId30" name="Drop Down 39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36" r:id="rId31" name="Drop Down 44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2">
    <tabColor rgb="FFFFC000"/>
    <pageSetUpPr fitToPage="1"/>
  </sheetPr>
  <dimension ref="A1:BP92"/>
  <sheetViews>
    <sheetView showGridLines="0" showZeros="0" zoomScaleNormal="100" workbookViewId="0">
      <pane xSplit="12" ySplit="6" topLeftCell="M56" activePane="bottomRight" state="frozen"/>
      <selection activeCell="G1" sqref="G1:I1"/>
      <selection pane="topRight" activeCell="G1" sqref="G1:I1"/>
      <selection pane="bottomLeft" activeCell="G1" sqref="G1:I1"/>
      <selection pane="bottomRight" activeCell="M59" sqref="M5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'56)Individuelle Eingabe(a)'!J2</f>
        <v>2022</v>
      </c>
      <c r="K2" s="3265" t="s">
        <v>858</v>
      </c>
      <c r="L2" s="2502"/>
      <c r="M2" s="2505"/>
      <c r="N2" s="2529"/>
      <c r="O2" s="3266" t="str">
        <f>'56)Individuelle Eingabe(a)'!M2</f>
        <v>Individuelle Eingabe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36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'56)Individuelle Eingabe(a)'!H3</f>
        <v>Eigenes Verfahren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'56)Individuelle Eingabe(a)'!K5</f>
        <v>0</v>
      </c>
      <c r="N6" s="1820">
        <f>'56)Individuelle Eingabe(a)'!M5</f>
        <v>0</v>
      </c>
      <c r="O6" s="1822">
        <f>'56)Individuelle Eingabe(a)'!O5</f>
        <v>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'56)Individuelle Eingabe(a)'!K9</f>
        <v>0</v>
      </c>
      <c r="N7" s="1736">
        <f>'56)Individuelle Eingabe(a)'!M9</f>
        <v>0</v>
      </c>
      <c r="O7" s="1744">
        <f>'56)Individuelle Eingabe(a)'!O9</f>
        <v>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'56)Individuelle Eingabe(a)'!L9</f>
        <v>0</v>
      </c>
      <c r="N8" s="1737">
        <f>'56)Individuelle Eingabe(a)'!N9</f>
        <v>0</v>
      </c>
      <c r="O8" s="1583">
        <f>'56)Individuelle Eingabe(a)'!P9</f>
        <v>0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'56)Individuelle Eingabe(a)'!K11</f>
        <v>0</v>
      </c>
      <c r="N9" s="1562">
        <f>'56)Individuelle Eingabe(a)'!M11</f>
        <v>0</v>
      </c>
      <c r="O9" s="1747">
        <f>'56)Individuelle Eingabe(a)'!O11</f>
        <v>0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'56)Individuelle Eingabe(a)'!L11</f>
        <v>0</v>
      </c>
      <c r="N10" s="1582">
        <f>'56)Individuelle Eingabe(a)'!N11</f>
        <v>0</v>
      </c>
      <c r="O10" s="2014">
        <f>'56)Individuelle Eingabe(a)'!P11</f>
        <v>0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'56)Individuelle Eingabe(a)'!L12</f>
        <v>0</v>
      </c>
      <c r="N11" s="3269">
        <f>'56)Individuelle Eingabe(a)'!N12</f>
        <v>0</v>
      </c>
      <c r="O11" s="3270">
        <f>'56)Individuelle Eingabe(a)'!P12</f>
        <v>0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'56)Individuelle Eingabe(a)'!K15</f>
        <v>0</v>
      </c>
      <c r="N12" s="1738">
        <f>'56)Individuelle Eingabe(a)'!M15</f>
        <v>0</v>
      </c>
      <c r="O12" s="1745">
        <f>'56)Individuelle Eingabe(a)'!O15</f>
        <v>0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'56)Individuelle Eingabe(a)'!K16</f>
        <v>0</v>
      </c>
      <c r="N13" s="2077">
        <f>'56)Individuelle Eingabe(a)'!M16</f>
        <v>0</v>
      </c>
      <c r="O13" s="2078">
        <f>'56)Individuelle Eingabe(a)'!O16</f>
        <v>0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'56)Individuelle Eingabe(a)'!L24</f>
        <v>270</v>
      </c>
      <c r="N15" s="3338">
        <f>'56)Individuelle Eingabe(a)'!N24</f>
        <v>270</v>
      </c>
      <c r="O15" s="3341">
        <f>'56)Individuelle Eingabe(a)'!P24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'56)Individuelle Eingabe(a)'!L18</f>
        <v>0</v>
      </c>
      <c r="N16" s="1736">
        <f>'56)Individuelle Eingabe(a)'!N18</f>
        <v>0</v>
      </c>
      <c r="O16" s="3343">
        <f>'56)Individuelle Eingabe(a)'!P18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'56)Individuelle Eingabe(a)'!L27</f>
        <v>0</v>
      </c>
      <c r="N19" s="2098">
        <f>'56)Individuelle Eingabe(a)'!N27</f>
        <v>0</v>
      </c>
      <c r="O19" s="3276">
        <f>'56)Individuelle Eingabe(a)'!P27</f>
        <v>0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'56)Individuelle Eingabe(a)'!L31-'56)Individuelle Eingabe(a)'!L17</f>
        <v>0</v>
      </c>
      <c r="N20" s="1750">
        <f>'56)Individuelle Eingabe(a)'!N31-'56)Individuelle Eingabe(a)'!N17</f>
        <v>0</v>
      </c>
      <c r="O20" s="3278">
        <f>'56)Individuelle Eingabe(a)'!P31-'56)Individuelle Eingabe(a)'!P17</f>
        <v>0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'56)Individuelle Eingabe(a)'!L37</f>
        <v>0</v>
      </c>
      <c r="N21" s="1750">
        <f>'56)Individuelle Eingabe(a)'!N37</f>
        <v>0</v>
      </c>
      <c r="O21" s="3278">
        <f>'56)Individuelle Eingabe(a)'!P37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'56)Individuelle Eingabe(a)'!L65</f>
        <v>0</v>
      </c>
      <c r="N22" s="1750">
        <f>'56)Individuelle Eingabe(a)'!N65</f>
        <v>0</v>
      </c>
      <c r="O22" s="3278">
        <f>'56)Individuelle Eingabe(a)'!P65</f>
        <v>0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'56)Individuelle Eingabe(a)'!L67</f>
        <v>0</v>
      </c>
      <c r="N23" s="1750">
        <f>'56)Individuelle Eingabe(a)'!N67</f>
        <v>0</v>
      </c>
      <c r="O23" s="3278">
        <f>'56)Individuelle Eingabe(a)'!P67</f>
        <v>0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'56)Individuelle Eingabe(a)'!L42</f>
        <v>0</v>
      </c>
      <c r="N24" s="1750">
        <f>'56)Individuelle Eingabe(a)'!N42</f>
        <v>0</v>
      </c>
      <c r="O24" s="3278">
        <f>'56)Individuelle Eingabe(a)'!P42</f>
        <v>0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'56)Individuelle Eingabe(a)'!L58</f>
        <v>0</v>
      </c>
      <c r="N25" s="1750">
        <f>'56)Individuelle Eingabe(a)'!N58</f>
        <v>0</v>
      </c>
      <c r="O25" s="3278">
        <f>'56)Individuelle Eingabe(a)'!P58</f>
        <v>0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'56)Individuelle Eingabe(a)'!L63</f>
        <v>0</v>
      </c>
      <c r="N26" s="2101">
        <f>'56)Individuelle Eingabe(a)'!N63</f>
        <v>0</v>
      </c>
      <c r="O26" s="3279">
        <f>'56)Individuelle Eingabe(a)'!P63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0</v>
      </c>
      <c r="N27" s="1775">
        <f>SUM(N19:N26)</f>
        <v>0</v>
      </c>
      <c r="O27" s="2055">
        <f>SUM(O19:O26)</f>
        <v>0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0</v>
      </c>
      <c r="N28" s="2060">
        <f>-N27</f>
        <v>0</v>
      </c>
      <c r="O28" s="2061">
        <f>-O27</f>
        <v>0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M27*'56)Individuelle Eingabe(a)'!$L$70*'56)Individuelle Eingabe(a)'!$P$70/12/100</f>
        <v>0</v>
      </c>
      <c r="N30" s="2101">
        <f>N27*'56)Individuelle Eingabe(a)'!$L$70*'56)Individuelle Eingabe(a)'!$P$70/12/100</f>
        <v>0</v>
      </c>
      <c r="O30" s="3279">
        <f>O27*'56)Individuelle Eingabe(a)'!$L$70*'56)Individuelle Eingabe(a)'!$P$70/12/100</f>
        <v>0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270</v>
      </c>
      <c r="N31" s="1769">
        <f>N28+N29-N30</f>
        <v>270</v>
      </c>
      <c r="O31" s="1776">
        <f>O28+O29-O30</f>
        <v>270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0</v>
      </c>
      <c r="N32" s="3282">
        <f>IF(N12=0,0,N31/N12)</f>
        <v>0</v>
      </c>
      <c r="O32" s="2517">
        <f>IF(O12=0,0,O31/O12)</f>
        <v>0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0</v>
      </c>
      <c r="N33" s="3284">
        <f>IF(N13=0,0,N31/N13)</f>
        <v>0</v>
      </c>
      <c r="O33" s="3285">
        <f>IF(O13=0,0,O31/O13)</f>
        <v>0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'56)Individuelle Eingabe(a)'!K57</f>
        <v>0</v>
      </c>
      <c r="N35" s="2396">
        <f>'56)Individuelle Eingabe(a)'!M57</f>
        <v>0</v>
      </c>
      <c r="O35" s="2398">
        <f>'56)Individuelle Eingabe(a)'!O57</f>
        <v>0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'56)Individuelle Eingabe(a)'!L10</f>
        <v>0</v>
      </c>
      <c r="N36" s="2431">
        <f>'56)Individuelle Eingabe(a)'!N10</f>
        <v>0</v>
      </c>
      <c r="O36" s="2432">
        <f>'56)Individuelle Eingabe(a)'!P10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0</v>
      </c>
      <c r="N37" s="1750">
        <f>$J$37*N35</f>
        <v>0</v>
      </c>
      <c r="O37" s="3278">
        <f>$J$37*O35</f>
        <v>0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0</v>
      </c>
      <c r="N38" s="3289">
        <f>N36*$I$36</f>
        <v>0</v>
      </c>
      <c r="O38" s="3290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'Sonst-Festk'!$L39</f>
        <v>310</v>
      </c>
      <c r="O41" s="3278">
        <f>'Sonst-Festk'!$L39</f>
        <v>310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982.74314405092582</v>
      </c>
      <c r="N43" s="1991">
        <f>SUM(N37:N42)</f>
        <v>982.74314405092582</v>
      </c>
      <c r="O43" s="1994">
        <f>SUM(O37:O42)</f>
        <v>982.74314405092582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982.74314405092582</v>
      </c>
      <c r="N46" s="2041">
        <f>N27+N30+N43</f>
        <v>982.74314405092582</v>
      </c>
      <c r="O46" s="2080">
        <f>O27+O30+O43</f>
        <v>982.74314405092582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-982.74314405092582</v>
      </c>
      <c r="N47" s="2227">
        <f>N45-N46</f>
        <v>-982.74314405092582</v>
      </c>
      <c r="O47" s="2228">
        <f>O45-O46</f>
        <v>-982.74314405092582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-712.74314405092582</v>
      </c>
      <c r="N49" s="1991">
        <f>N47+N48</f>
        <v>-712.74314405092582</v>
      </c>
      <c r="O49" s="1994">
        <f>O47+O48</f>
        <v>-712.74314405092582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712.74314405092582</v>
      </c>
      <c r="N51" s="1771">
        <f>N46-N48</f>
        <v>712.74314405092582</v>
      </c>
      <c r="O51" s="3358">
        <f>O46-O48</f>
        <v>712.74314405092582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0</v>
      </c>
      <c r="N52" s="2335">
        <f>IF(N10=0,0,N$51/N10)</f>
        <v>0</v>
      </c>
      <c r="O52" s="2336">
        <f>IF(O10=0,0,O$51/O10)</f>
        <v>0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0</v>
      </c>
      <c r="N53" s="2335">
        <f>IF(N9=0,0,N$51/N9)</f>
        <v>0</v>
      </c>
      <c r="O53" s="2336">
        <f>IF(O9=0,0,O$51/O9)</f>
        <v>0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0</v>
      </c>
      <c r="N54" s="2335">
        <f t="shared" si="3"/>
        <v>0</v>
      </c>
      <c r="O54" s="2336">
        <f t="shared" si="3"/>
        <v>0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0</v>
      </c>
      <c r="N55" s="2219">
        <f t="shared" si="3"/>
        <v>0</v>
      </c>
      <c r="O55" s="2220">
        <f t="shared" si="3"/>
        <v>0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0</v>
      </c>
      <c r="N56" s="2219">
        <f>IF(N13=0,0,N$51/N13)</f>
        <v>0</v>
      </c>
      <c r="O56" s="2220">
        <f>IF(O13=0,0,O$51/O13)</f>
        <v>0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 t="e">
        <f>M51/$M$12*10/$F$57</f>
        <v>#DIV/0!</v>
      </c>
      <c r="N57" s="2222" t="e">
        <f>N51/$N$12*10/$F$57</f>
        <v>#DIV/0!</v>
      </c>
      <c r="O57" s="2223" t="e">
        <f>O51/$O$12*10/$F$57</f>
        <v>#DIV/0!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712.74314405092582</v>
      </c>
      <c r="N58" s="1769">
        <f>N51-N38</f>
        <v>712.74314405092582</v>
      </c>
      <c r="O58" s="1776">
        <f>O51-O38</f>
        <v>712.74314405092582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 t="e">
        <f>M58/M9</f>
        <v>#DIV/0!</v>
      </c>
      <c r="N59" s="3416" t="e">
        <f>N58/N9</f>
        <v>#DIV/0!</v>
      </c>
      <c r="O59" s="3417" t="e">
        <f>O58/O9</f>
        <v>#DIV/0!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0</v>
      </c>
      <c r="N60" s="2130">
        <f>IF(N12=0,0,N$58/N12)</f>
        <v>0</v>
      </c>
      <c r="O60" s="2217">
        <f>IF(O12=0,0,O$58/O12)</f>
        <v>0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 t="e">
        <f>M58/$M$12*10/$F$57</f>
        <v>#DIV/0!</v>
      </c>
      <c r="N61" s="2130" t="e">
        <f>N58/$N$12*10/$F$57</f>
        <v>#DIV/0!</v>
      </c>
      <c r="O61" s="3422" t="e">
        <f>O58/$O$12*10/$F$57</f>
        <v>#DIV/0!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0</v>
      </c>
      <c r="N62" s="1874">
        <f>IF(N13=0,0,N$58/N13)</f>
        <v>0</v>
      </c>
      <c r="O62" s="2032">
        <f>IF(O13=0,0,O$58/O13)</f>
        <v>0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0</v>
      </c>
      <c r="N64" s="1772">
        <f>SUM(N19:N23)+N30</f>
        <v>0</v>
      </c>
      <c r="O64" s="1773">
        <f>SUM(O19:O23)+O30</f>
        <v>0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</v>
      </c>
      <c r="N65" s="2031">
        <f>IF(N12=0,0,N64/N12)</f>
        <v>0</v>
      </c>
      <c r="O65" s="2032">
        <f>IF(O12=0,0,O64/O12)</f>
        <v>0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474.92314405092588</v>
      </c>
      <c r="N66" s="2038">
        <f>N24+N25+N26+N39+N37</f>
        <v>474.92314405092588</v>
      </c>
      <c r="O66" s="2039">
        <f>O24+O25+O26+O39+O37</f>
        <v>474.92314405092588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</v>
      </c>
      <c r="N67" s="2168">
        <f>IF(N12=0,0,N66/N12)</f>
        <v>0</v>
      </c>
      <c r="O67" s="2187">
        <f>IF(O12=0,0,O66/O12)</f>
        <v>0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0</v>
      </c>
      <c r="N72" s="2877">
        <f>N7/10</f>
        <v>0</v>
      </c>
      <c r="O72" s="2877">
        <f>O7/10</f>
        <v>0</v>
      </c>
    </row>
    <row r="73" spans="2:41" x14ac:dyDescent="0.2">
      <c r="K73" s="7" t="s">
        <v>263</v>
      </c>
      <c r="M73" s="2725">
        <f>M6</f>
        <v>0</v>
      </c>
      <c r="N73" s="2725">
        <f>N6</f>
        <v>0</v>
      </c>
      <c r="O73" s="2725">
        <f>O6</f>
        <v>0</v>
      </c>
    </row>
    <row r="74" spans="2:41" x14ac:dyDescent="0.2">
      <c r="K74" s="7" t="s">
        <v>419</v>
      </c>
      <c r="M74" s="2941">
        <f>M9/10</f>
        <v>0</v>
      </c>
      <c r="N74" s="2941">
        <f>N9/10</f>
        <v>0</v>
      </c>
      <c r="O74" s="2941">
        <f>O9/10</f>
        <v>0</v>
      </c>
    </row>
    <row r="75" spans="2:41" x14ac:dyDescent="0.2">
      <c r="M75" s="2666">
        <f>M53*10</f>
        <v>0</v>
      </c>
      <c r="N75" s="2666">
        <f>N53*10</f>
        <v>0</v>
      </c>
      <c r="O75" s="2666">
        <f>O53*10</f>
        <v>0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Aulendorf&amp;C&amp;12 131&amp;9
&amp;R&amp;12&amp;F
&amp;A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7">
    <pageSetUpPr fitToPage="1"/>
  </sheetPr>
  <dimension ref="A1:CA70"/>
  <sheetViews>
    <sheetView showGridLines="0" showZeros="0" zoomScaleNormal="100" zoomScaleSheetLayoutView="75" workbookViewId="0">
      <pane xSplit="10" ySplit="5" topLeftCell="K54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647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1397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140</v>
      </c>
      <c r="N5" s="2261"/>
      <c r="O5" s="370">
        <v>180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133</v>
      </c>
      <c r="N9" s="810">
        <f>IF(M7=0,0,M9/M7*100)</f>
        <v>475</v>
      </c>
      <c r="O9" s="720">
        <f>O5*(100-O6)/100</f>
        <v>171</v>
      </c>
      <c r="P9" s="721">
        <f>IF(O7=0,0,O9/O7*100)</f>
        <v>610.71428571428567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48.469387755102034</v>
      </c>
      <c r="M10" s="286"/>
      <c r="N10" s="811">
        <f>IF(R10=TRUE,IF(M8=0,0,1/M8*N9),0)</f>
        <v>67.857142857142847</v>
      </c>
      <c r="O10" s="173"/>
      <c r="P10" s="722">
        <f>IF(R10=TRUE,IF(O8=0,0,1/O8*P9),0)</f>
        <v>87.24489795918366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123.69</v>
      </c>
      <c r="N11" s="813">
        <f>IF(N7=0,0,M11/N7*100)</f>
        <v>412.3</v>
      </c>
      <c r="O11" s="708">
        <f>O9*(100-P6)/100</f>
        <v>159.03</v>
      </c>
      <c r="P11" s="709">
        <f>IF(P7=0,0,O11/P7*100)</f>
        <v>530.1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42.071428571428569</v>
      </c>
      <c r="M12" s="801"/>
      <c r="N12" s="814">
        <f>IF(N8=0,0,1/N8*N11)</f>
        <v>58.9</v>
      </c>
      <c r="O12" s="487"/>
      <c r="P12" s="502">
        <f>IF(P8=0,0,1/P8*P11)</f>
        <v>75.728571428571428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v>25</v>
      </c>
      <c r="L13" s="418"/>
      <c r="M13" s="499">
        <v>25</v>
      </c>
      <c r="N13" s="784"/>
      <c r="O13" s="499">
        <v>25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0.89999999999999991</v>
      </c>
      <c r="L14" s="418"/>
      <c r="M14" s="815">
        <f>M13*$G14</f>
        <v>0.89999999999999991</v>
      </c>
      <c r="N14" s="784"/>
      <c r="O14" s="513">
        <f>O13*$G14</f>
        <v>0.89999999999999991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2208.75</v>
      </c>
      <c r="L15" s="418"/>
      <c r="M15" s="816">
        <f>M$11*M13</f>
        <v>3092.25</v>
      </c>
      <c r="N15" s="784"/>
      <c r="O15" s="497">
        <f>O$11*O13</f>
        <v>3975.75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79.514999999999986</v>
      </c>
      <c r="L16" s="417"/>
      <c r="M16" s="817">
        <f>M$11*M14</f>
        <v>111.32099999999998</v>
      </c>
      <c r="N16" s="428"/>
      <c r="O16" s="498">
        <f>O$11*O14</f>
        <v>143.12699999999998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657.82928283333331</v>
      </c>
      <c r="M17" s="2600">
        <f>K17</f>
        <v>1</v>
      </c>
      <c r="N17" s="2591">
        <f>M17*(N33*(1-$AC$14)+N34*(1-$AC$15)+N35*(1-$AC$16)+N36*(1-$AC$17))</f>
        <v>920.96099596666659</v>
      </c>
      <c r="O17" s="2601">
        <f>K17</f>
        <v>1</v>
      </c>
      <c r="P17" s="2590">
        <f>O17*(P33*(1-$AC$14)+P34*(1-$AC$15)+P35*(1-$AC$16)+P36*(1-$AC$17))</f>
        <v>1184.0927091000001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SUM(L19:L23)</f>
        <v>0</v>
      </c>
      <c r="M18" s="3208"/>
      <c r="N18" s="3209">
        <f>SUM(N19:N23)</f>
        <v>0</v>
      </c>
      <c r="O18" s="3206"/>
      <c r="P18" s="3207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63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1053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1444.5</v>
      </c>
      <c r="M27" s="804"/>
      <c r="N27" s="3211">
        <f>SUM(N29:N30)</f>
        <v>1444.5</v>
      </c>
      <c r="O27" s="330"/>
      <c r="P27" s="3210">
        <f>SUM(P29:P30)</f>
        <v>1444.5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0.45</v>
      </c>
      <c r="I29" s="711">
        <f>H29*($H$27+100)/100</f>
        <v>0.48149999999999998</v>
      </c>
      <c r="J29" s="357"/>
      <c r="K29" s="440">
        <v>3000</v>
      </c>
      <c r="L29" s="337">
        <f>$I29*K29</f>
        <v>1444.5</v>
      </c>
      <c r="M29" s="440">
        <v>3000</v>
      </c>
      <c r="N29" s="791">
        <f>$I29*M29</f>
        <v>1444.5</v>
      </c>
      <c r="O29" s="440">
        <v>3000</v>
      </c>
      <c r="P29" s="337">
        <f>$I29*O29</f>
        <v>1444.5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739.57686833333332</v>
      </c>
      <c r="M31" s="3216"/>
      <c r="N31" s="3211">
        <f>SUM(N33:N36)</f>
        <v>1035.4076156666665</v>
      </c>
      <c r="O31" s="3215"/>
      <c r="P31" s="3210">
        <f>SUM(P33:P36)</f>
        <v>1331.2383630000002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1.67</v>
      </c>
      <c r="H33" s="386">
        <v>0</v>
      </c>
      <c r="I33"/>
      <c r="J33" s="172"/>
      <c r="K33" s="336">
        <f>G33*$K$9+H33</f>
        <v>158.65</v>
      </c>
      <c r="L33" s="337">
        <f>K33*$E33</f>
        <v>272.49195166666669</v>
      </c>
      <c r="M33" s="820">
        <f>G33*$M$9+H33</f>
        <v>222.10999999999999</v>
      </c>
      <c r="N33" s="791">
        <f>M33*$E33</f>
        <v>381.4887323333333</v>
      </c>
      <c r="O33" s="336">
        <f>G33*$O$9+H33</f>
        <v>285.57</v>
      </c>
      <c r="P33" s="337">
        <f>O33*$E33</f>
        <v>490.48551299999997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59.85</v>
      </c>
      <c r="L34" s="337">
        <f>K34*$E34</f>
        <v>67.660424999999989</v>
      </c>
      <c r="M34" s="820">
        <f>G34*$M$9+H34</f>
        <v>83.79</v>
      </c>
      <c r="N34" s="791">
        <f>M34*$E34</f>
        <v>94.724594999999994</v>
      </c>
      <c r="O34" s="336">
        <f>G34*$O$9+H34</f>
        <v>107.73</v>
      </c>
      <c r="P34" s="337">
        <f>O34*$E34</f>
        <v>121.78876499999998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3.83</v>
      </c>
      <c r="H35" s="386"/>
      <c r="I35"/>
      <c r="J35" s="172"/>
      <c r="K35" s="336">
        <f>G35*$K$9+H35</f>
        <v>363.85</v>
      </c>
      <c r="L35" s="337">
        <f>K35*$E35</f>
        <v>382.46699166666667</v>
      </c>
      <c r="M35" s="820">
        <f>G35*$M$9+H35</f>
        <v>509.39</v>
      </c>
      <c r="N35" s="791">
        <f>M35*$E35</f>
        <v>535.45378833333325</v>
      </c>
      <c r="O35" s="336">
        <f>G35*$O$9+H35</f>
        <v>654.93000000000006</v>
      </c>
      <c r="P35" s="337">
        <f>O35*$E35</f>
        <v>688.44058500000006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28.5</v>
      </c>
      <c r="L36" s="333">
        <f>K36*$E36</f>
        <v>16.9575</v>
      </c>
      <c r="M36" s="821">
        <f>G36*$M$9+H36</f>
        <v>39.9</v>
      </c>
      <c r="N36" s="792">
        <f>M36*$E36</f>
        <v>23.740499999999997</v>
      </c>
      <c r="O36" s="338">
        <f>G36*$O$9+H36</f>
        <v>51.3</v>
      </c>
      <c r="P36" s="333">
        <f>O36*$E36</f>
        <v>30.523499999999999</v>
      </c>
      <c r="Q36" s="528"/>
      <c r="R36" s="528" t="s">
        <v>1413</v>
      </c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152.08627307490002</v>
      </c>
      <c r="M42" s="3225"/>
      <c r="N42" s="3211">
        <f>SUM(W45:W55)</f>
        <v>210.74057774182</v>
      </c>
      <c r="O42" s="3224"/>
      <c r="P42" s="3210">
        <f>SUM(Z45:Z55)</f>
        <v>269.39488240873999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52</v>
      </c>
      <c r="C48" s="104"/>
      <c r="D48" s="137"/>
      <c r="E48" s="8"/>
      <c r="F48" s="8"/>
      <c r="G48" s="731"/>
      <c r="H48" s="3229">
        <f>IF($B48=0,0,VLOOKUP($B48,Arbeitsgänge!$B$27:$T$80,7))</f>
        <v>0</v>
      </c>
      <c r="I48" s="727">
        <f>IF($B48=0,0,VLOOKUP($B48,Arbeitsgänge!$B$27:$T$80,12))</f>
        <v>0</v>
      </c>
      <c r="J48" s="469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52</v>
      </c>
      <c r="C49" s="104"/>
      <c r="D49" s="137"/>
      <c r="E49" s="8"/>
      <c r="F49" s="8"/>
      <c r="G49" s="731"/>
      <c r="H49" s="3229">
        <f>IF($B49=0,0,VLOOKUP($B49,Arbeitsgänge!$B$27:$T$80,7))</f>
        <v>0</v>
      </c>
      <c r="I49" s="727">
        <f>IF($B49=0,0,VLOOKUP($B49,Arbeitsgänge!$B$27:$T$80,12))</f>
        <v>0</v>
      </c>
      <c r="J49" s="469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3229" t="str">
        <f>IF($B50=0,0,VLOOKUP($B50,Arbeitsgänge!$B$27:$T$80,7))</f>
        <v>45 kW</v>
      </c>
      <c r="I50" s="727">
        <f>IF($B50=0,0,VLOOKUP($B50,Arbeitsgänge!$B$27:$T$80,12))</f>
        <v>0.37</v>
      </c>
      <c r="J50" s="469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3229" t="str">
        <f>IF($B51=0,0,VLOOKUP($B51,Arbeitsgänge!$B$27:$T$80,7))</f>
        <v>54 kW</v>
      </c>
      <c r="I51" s="727">
        <f>IF($B51=0,0,VLOOKUP($B51,Arbeitsgänge!$B$27:$T$80,12))</f>
        <v>0.22</v>
      </c>
      <c r="J51" s="469">
        <f>IF($B51=0,0,VLOOKUP($B51,Arbeitsgänge!$B$27:$T$80,14))</f>
        <v>4.4729452375999994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7.88</v>
      </c>
      <c r="J52" s="469">
        <f>IF($B52=0,0,VLOOKUP($B52,Arbeitsgänge!$B$27:$T$80,14))</f>
        <v>160.81118482240001</v>
      </c>
      <c r="K52" s="2636">
        <f>L9/500</f>
        <v>0.6785714285714286</v>
      </c>
      <c r="L52" s="337">
        <f t="shared" si="0"/>
        <v>109.12187541520001</v>
      </c>
      <c r="M52" s="2636">
        <f>N9/500</f>
        <v>0.95</v>
      </c>
      <c r="N52" s="791">
        <f t="shared" si="1"/>
        <v>152.77062558128</v>
      </c>
      <c r="O52" s="2636">
        <f>P9/500</f>
        <v>1.2214285714285713</v>
      </c>
      <c r="P52" s="337">
        <f t="shared" si="2"/>
        <v>196.41937574735999</v>
      </c>
      <c r="Q52" s="528"/>
      <c r="R52" s="1348">
        <f t="shared" si="3"/>
        <v>5.347142857142857</v>
      </c>
      <c r="S52" s="471" t="e">
        <f>K52*#REF!</f>
        <v>#REF!</v>
      </c>
      <c r="T52" s="258">
        <f t="shared" si="4"/>
        <v>109.12187541520001</v>
      </c>
      <c r="U52" s="1349">
        <f t="shared" si="5"/>
        <v>7.4859999999999998</v>
      </c>
      <c r="V52" s="1350" t="e">
        <f>M52*#REF!</f>
        <v>#REF!</v>
      </c>
      <c r="W52" s="827">
        <f t="shared" si="6"/>
        <v>152.77062558128</v>
      </c>
      <c r="X52" s="1351">
        <f t="shared" si="7"/>
        <v>9.6248571428571417</v>
      </c>
      <c r="Y52" s="471" t="e">
        <f>O52*#REF!</f>
        <v>#REF!</v>
      </c>
      <c r="Z52" s="258">
        <f t="shared" si="8"/>
        <v>196.41937574735999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3229" t="str">
        <f>IF($B53=0,0,VLOOKUP($B53,Arbeitsgänge!$B$27:$T$80,7))</f>
        <v>102 kW</v>
      </c>
      <c r="I53" s="727">
        <f>IF($B53=0,0,VLOOKUP($B53,Arbeitsgänge!$B$27:$T$80,12))</f>
        <v>2.13</v>
      </c>
      <c r="J53" s="469">
        <f>IF($B53=0,0,VLOOKUP($B53,Arbeitsgänge!$B$27:$T$80,14))</f>
        <v>55.283621845199988</v>
      </c>
      <c r="K53" s="2636">
        <f>L9/500</f>
        <v>0.6785714285714286</v>
      </c>
      <c r="L53" s="337">
        <f t="shared" si="0"/>
        <v>37.513886252099994</v>
      </c>
      <c r="M53" s="2636">
        <f>N9/500</f>
        <v>0.95</v>
      </c>
      <c r="N53" s="791">
        <f t="shared" si="1"/>
        <v>52.519440752939985</v>
      </c>
      <c r="O53" s="2636">
        <f>P9/500</f>
        <v>1.2214285714285713</v>
      </c>
      <c r="P53" s="337">
        <f t="shared" si="2"/>
        <v>67.524995253779977</v>
      </c>
      <c r="Q53" s="528"/>
      <c r="R53" s="1348">
        <f t="shared" si="3"/>
        <v>1.4453571428571428</v>
      </c>
      <c r="S53" s="471" t="e">
        <f>K53*#REF!</f>
        <v>#REF!</v>
      </c>
      <c r="T53" s="258">
        <f t="shared" si="4"/>
        <v>37.513886252099994</v>
      </c>
      <c r="U53" s="1349">
        <f t="shared" si="5"/>
        <v>2.0234999999999999</v>
      </c>
      <c r="V53" s="1350" t="e">
        <f>M53*#REF!</f>
        <v>#REF!</v>
      </c>
      <c r="W53" s="827">
        <f t="shared" si="6"/>
        <v>52.519440752939985</v>
      </c>
      <c r="X53" s="1351">
        <f t="shared" si="7"/>
        <v>2.6016428571428567</v>
      </c>
      <c r="Y53" s="471" t="e">
        <f>O53*#REF!</f>
        <v>#REF!</v>
      </c>
      <c r="Z53" s="258">
        <f t="shared" si="8"/>
        <v>67.524995253779977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7.1624999999999996</v>
      </c>
      <c r="L56" s="341"/>
      <c r="M56" s="3239">
        <f>SUM($U$45:$U$55)</f>
        <v>9.8795000000000002</v>
      </c>
      <c r="N56" s="798"/>
      <c r="O56" s="3238">
        <f>SUM($X$45:$X$55)</f>
        <v>12.596499999999997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12.8925</v>
      </c>
      <c r="L57" s="3247"/>
      <c r="M57" s="3248">
        <f>IF(M56+(M56*$G$57/100)&gt;M56+10,M56+10,M56+(M56*$G$57/100))</f>
        <v>17.783100000000001</v>
      </c>
      <c r="N57" s="3249"/>
      <c r="O57" s="3246">
        <f>IF(O56+(O56*$G$57/100)&gt;O56+10,O56+10,O56+(O56*$G$57/100))</f>
        <v>22.596499999999999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320.91080625000001</v>
      </c>
      <c r="M58" s="3251"/>
      <c r="N58" s="3211">
        <f>SUM(N60:N62)</f>
        <v>395.13012875000004</v>
      </c>
      <c r="O58" s="3250"/>
      <c r="P58" s="3210">
        <f>SUM(P60:P62)</f>
        <v>469.34945125000002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24.927321428571425</v>
      </c>
      <c r="L62" s="308">
        <f>K62*I62</f>
        <v>133.48580625</v>
      </c>
      <c r="M62" s="2626">
        <f>M11/($V$63)/10*($V$65*M17)</f>
        <v>34.898249999999997</v>
      </c>
      <c r="N62" s="828">
        <f>M62*I62</f>
        <v>186.88012875000001</v>
      </c>
      <c r="O62" s="2626">
        <f>O11/($V$63)/10*($V$65*O17)</f>
        <v>44.86917857142857</v>
      </c>
      <c r="P62" s="308">
        <f>O62*I62</f>
        <v>240.27445125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/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7.9514999999999993</v>
      </c>
      <c r="M65" s="1357"/>
      <c r="N65" s="3211">
        <f>M66*$H66/100</f>
        <v>11.132099999999998</v>
      </c>
      <c r="O65" s="347"/>
      <c r="P65" s="3210">
        <f>O66*$H66/100</f>
        <v>14.312699999999998</v>
      </c>
      <c r="Q65" s="529"/>
      <c r="R65" s="542"/>
      <c r="S65" s="1167"/>
      <c r="T65" s="2598"/>
      <c r="U65" s="2598"/>
      <c r="V65" s="2599">
        <v>0.79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662.625</v>
      </c>
      <c r="L66" s="3257"/>
      <c r="M66" s="3181">
        <f>M15*0.3</f>
        <v>927.67499999999995</v>
      </c>
      <c r="N66" s="3258"/>
      <c r="O66" s="3181">
        <f>O15*0.3</f>
        <v>1192.7249999999999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3259"/>
      <c r="N67" s="3211">
        <f>SUM(N68:N69)</f>
        <v>59.5</v>
      </c>
      <c r="O67" s="330"/>
      <c r="P67" s="3210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360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15" orientation="portrait" horizontalDpi="300" verticalDpi="300" r:id="rId1"/>
  <headerFooter alignWithMargins="0">
    <oddFooter>&amp;L&amp;12LEL Schwäbisch Gmünd (Abtlg. II)
LAZBW Aulendorf&amp;C&amp;12 132&amp;9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5218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9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0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1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28575</xdr:rowOff>
                  </from>
                  <to>
                    <xdr:col>11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2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3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4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5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6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7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28575</xdr:rowOff>
                  </from>
                  <to>
                    <xdr:col>13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8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9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0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1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2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28575</xdr:rowOff>
                  </from>
                  <to>
                    <xdr:col>15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4" r:id="rId19" name="Check Box 28">
              <controlPr defaultSize="0" autoFill="0" autoLine="0" autoPict="0">
                <anchor moveWithCells="1">
                  <from>
                    <xdr:col>5</xdr:col>
                    <xdr:colOff>228600</xdr:colOff>
                    <xdr:row>9</xdr:row>
                    <xdr:rowOff>28575</xdr:rowOff>
                  </from>
                  <to>
                    <xdr:col>6</xdr:col>
                    <xdr:colOff>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5" r:id="rId20" name="Drop Down 29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6" r:id="rId21" name="Drop Down 30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7" r:id="rId22" name="Drop Down 31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8" r:id="rId23" name="Drop Down 32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9" r:id="rId24" name="Drop Down 33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0" r:id="rId25" name="Drop Down 34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1" r:id="rId26" name="Drop Down 35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2" r:id="rId27" name="Drop Down 36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3" r:id="rId28" name="Drop Down 37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4" r:id="rId29" name="Drop Down 38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5" r:id="rId30" name="Drop Down 39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8">
    <tabColor rgb="FFFFC000"/>
    <pageSetUpPr fitToPage="1"/>
  </sheetPr>
  <dimension ref="A1:BP92"/>
  <sheetViews>
    <sheetView showGridLines="0" showZeros="0" zoomScaleNormal="100" workbookViewId="0">
      <pane xSplit="12" ySplit="6" topLeftCell="M19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'57)Topi Kraut f Biogas ex S (a)'!J2</f>
        <v>2022</v>
      </c>
      <c r="K2" s="3265" t="s">
        <v>858</v>
      </c>
      <c r="L2" s="2502"/>
      <c r="M2" s="2505"/>
      <c r="N2" s="2529"/>
      <c r="O2" s="3266" t="str">
        <f>'57)Topi Kraut f Biogas ex S (a)'!M2</f>
        <v>Topinambur-Kraut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43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'57)Topi Kraut f Biogas ex S (a)'!H3</f>
        <v>Kraut-Silage im Spätsommer für Biogasanlage (ohne Knollennutzung);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'57)Topi Kraut f Biogas ex S (a)'!K5</f>
        <v>100</v>
      </c>
      <c r="N6" s="1820">
        <f>'57)Topi Kraut f Biogas ex S (a)'!M5</f>
        <v>140</v>
      </c>
      <c r="O6" s="1822">
        <f>'57)Topi Kraut f Biogas ex S (a)'!O5</f>
        <v>180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'57)Topi Kraut f Biogas ex S (a)'!K9</f>
        <v>95</v>
      </c>
      <c r="N7" s="1736">
        <f>'57)Topi Kraut f Biogas ex S (a)'!M9</f>
        <v>133</v>
      </c>
      <c r="O7" s="1744">
        <f>'57)Topi Kraut f Biogas ex S (a)'!O9</f>
        <v>171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'57)Topi Kraut f Biogas ex S (a)'!L9</f>
        <v>339.28571428571428</v>
      </c>
      <c r="N8" s="1737">
        <f>'57)Topi Kraut f Biogas ex S (a)'!N9</f>
        <v>475</v>
      </c>
      <c r="O8" s="1583">
        <f>'57)Topi Kraut f Biogas ex S (a)'!P9</f>
        <v>610.71428571428567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'57)Topi Kraut f Biogas ex S (a)'!K11</f>
        <v>88.35</v>
      </c>
      <c r="N9" s="1562">
        <f>'57)Topi Kraut f Biogas ex S (a)'!M11</f>
        <v>123.69</v>
      </c>
      <c r="O9" s="1747">
        <f>'57)Topi Kraut f Biogas ex S (a)'!O11</f>
        <v>159.03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'57)Topi Kraut f Biogas ex S (a)'!L11</f>
        <v>294.5</v>
      </c>
      <c r="N10" s="1582">
        <f>'57)Topi Kraut f Biogas ex S (a)'!N11</f>
        <v>412.3</v>
      </c>
      <c r="O10" s="2014">
        <f>'57)Topi Kraut f Biogas ex S (a)'!P11</f>
        <v>530.1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'57)Topi Kraut f Biogas ex S (a)'!L12</f>
        <v>42.071428571428569</v>
      </c>
      <c r="N11" s="3269">
        <f>'57)Topi Kraut f Biogas ex S (a)'!N12</f>
        <v>58.9</v>
      </c>
      <c r="O11" s="3270">
        <f>'57)Topi Kraut f Biogas ex S (a)'!P12</f>
        <v>75.728571428571428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'57)Topi Kraut f Biogas ex S (a)'!K15</f>
        <v>2208.75</v>
      </c>
      <c r="N12" s="1738">
        <f>'57)Topi Kraut f Biogas ex S (a)'!M15</f>
        <v>3092.25</v>
      </c>
      <c r="O12" s="1745">
        <f>'57)Topi Kraut f Biogas ex S (a)'!O15</f>
        <v>3975.75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'57)Topi Kraut f Biogas ex S (a)'!K16</f>
        <v>79.514999999999986</v>
      </c>
      <c r="N13" s="2077">
        <f>'57)Topi Kraut f Biogas ex S (a)'!M16</f>
        <v>111.32099999999998</v>
      </c>
      <c r="O13" s="2078">
        <f>'57)Topi Kraut f Biogas ex S (a)'!O16</f>
        <v>143.12699999999998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'57)Topi Kraut f Biogas ex S (a)'!L24</f>
        <v>270</v>
      </c>
      <c r="N15" s="3338">
        <f>'57)Topi Kraut f Biogas ex S (a)'!N24</f>
        <v>270</v>
      </c>
      <c r="O15" s="3341">
        <f>'57)Topi Kraut f Biogas ex S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'57)Topi Kraut f Biogas ex S (a)'!L18</f>
        <v>0</v>
      </c>
      <c r="N16" s="1736">
        <f>'57)Topi Kraut f Biogas ex S (a)'!N18</f>
        <v>0</v>
      </c>
      <c r="O16" s="3343">
        <f>'57)Topi Kraut f Biogas ex S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'57)Topi Kraut f Biogas ex S (a)'!L27</f>
        <v>1444.5</v>
      </c>
      <c r="N19" s="2098">
        <f>'57)Topi Kraut f Biogas ex S (a)'!N27</f>
        <v>1444.5</v>
      </c>
      <c r="O19" s="3276">
        <f>'57)Topi Kraut f Biogas ex S (a)'!P27</f>
        <v>1444.5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'57)Topi Kraut f Biogas ex S (a)'!L31-'57)Topi Kraut f Biogas ex S (a)'!L17</f>
        <v>81.747585500000014</v>
      </c>
      <c r="N20" s="1750">
        <f>'57)Topi Kraut f Biogas ex S (a)'!N31-'57)Topi Kraut f Biogas ex S (a)'!N17</f>
        <v>114.44661969999993</v>
      </c>
      <c r="O20" s="3278">
        <f>'57)Topi Kraut f Biogas ex S (a)'!P31-'57)Topi Kraut f Biogas ex S (a)'!P17</f>
        <v>147.14565390000007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'57)Topi Kraut f Biogas ex S (a)'!L37</f>
        <v>0</v>
      </c>
      <c r="N21" s="1750">
        <f>'57)Topi Kraut f Biogas ex S (a)'!N37</f>
        <v>0</v>
      </c>
      <c r="O21" s="3278">
        <f>'57)Topi Kraut f Biogas ex S 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'57)Topi Kraut f Biogas ex S (a)'!L65</f>
        <v>7.9514999999999993</v>
      </c>
      <c r="N22" s="1750">
        <f>'57)Topi Kraut f Biogas ex S (a)'!N65</f>
        <v>11.132099999999998</v>
      </c>
      <c r="O22" s="3278">
        <f>'57)Topi Kraut f Biogas ex S (a)'!P65</f>
        <v>14.312699999999998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'57)Topi Kraut f Biogas ex S (a)'!L67</f>
        <v>59.5</v>
      </c>
      <c r="N23" s="1750">
        <f>'57)Topi Kraut f Biogas ex S (a)'!N67</f>
        <v>59.5</v>
      </c>
      <c r="O23" s="3278">
        <f>'57)Topi Kraut f Biogas ex S (a)'!P67</f>
        <v>59.5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'57)Topi Kraut f Biogas ex S (a)'!L42</f>
        <v>152.08627307490002</v>
      </c>
      <c r="N24" s="1750">
        <f>'57)Topi Kraut f Biogas ex S (a)'!N42</f>
        <v>210.74057774182</v>
      </c>
      <c r="O24" s="3278">
        <f>'57)Topi Kraut f Biogas ex S (a)'!P42</f>
        <v>269.39488240873999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'57)Topi Kraut f Biogas ex S (a)'!L58</f>
        <v>320.91080625000001</v>
      </c>
      <c r="N25" s="1750">
        <f>'57)Topi Kraut f Biogas ex S (a)'!N58</f>
        <v>395.13012875000004</v>
      </c>
      <c r="O25" s="3278">
        <f>'57)Topi Kraut f Biogas ex S (a)'!P58</f>
        <v>469.34945125000002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'57)Topi Kraut f Biogas ex S (a)'!L63</f>
        <v>0</v>
      </c>
      <c r="N26" s="2101">
        <f>'57)Topi Kraut f Biogas ex S (a)'!N63</f>
        <v>0</v>
      </c>
      <c r="O26" s="3279">
        <f>'57)Topi Kraut f Biogas ex S 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2066.6961648248998</v>
      </c>
      <c r="N27" s="1775">
        <f>SUM(N19:N26)</f>
        <v>2235.4494261918198</v>
      </c>
      <c r="O27" s="2055">
        <f>SUM(O19:O26)</f>
        <v>2404.2026875587399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-2066.6961648248998</v>
      </c>
      <c r="N28" s="2060">
        <f>-N27</f>
        <v>-2235.4494261918198</v>
      </c>
      <c r="O28" s="2061">
        <f>-O27</f>
        <v>-2404.2026875587399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M27*'57)Topi Kraut f Biogas ex S (a)'!$L$70*'57)Topi Kraut f Biogas ex S (a)'!$P$70/12/100</f>
        <v>12.916851030155623</v>
      </c>
      <c r="N30" s="2101">
        <f>N27*'57)Topi Kraut f Biogas ex S (a)'!$L$70*'57)Topi Kraut f Biogas ex S (a)'!$P$70/12/100</f>
        <v>13.971558913698873</v>
      </c>
      <c r="O30" s="3279">
        <f>O27*'57)Topi Kraut f Biogas ex S (a)'!$L$70*'57)Topi Kraut f Biogas ex S (a)'!$P$70/12/100</f>
        <v>15.026266797242124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-1809.6130158550554</v>
      </c>
      <c r="N31" s="1769">
        <f>N28+N29-N30</f>
        <v>-1979.4209851055186</v>
      </c>
      <c r="O31" s="1776">
        <f>O28+O29-O30</f>
        <v>-2149.2289543559818</v>
      </c>
      <c r="P31" s="172"/>
      <c r="T31" s="3293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-0.81929281985514679</v>
      </c>
      <c r="N32" s="3282">
        <f>IF(N12=0,0,N31/N12)</f>
        <v>-0.64012320643722809</v>
      </c>
      <c r="O32" s="2517">
        <f>IF(O12=0,0,O31/O12)</f>
        <v>-0.54058453231616221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-22.758133884865192</v>
      </c>
      <c r="N33" s="3284">
        <f>IF(N13=0,0,N31/N13)</f>
        <v>-17.781200178811893</v>
      </c>
      <c r="O33" s="3285">
        <f>IF(O13=0,0,O31/O13)</f>
        <v>-15.016237008782285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'57)Topi Kraut f Biogas ex S (a)'!K57</f>
        <v>12.8925</v>
      </c>
      <c r="N35" s="2396">
        <f>'57)Topi Kraut f Biogas ex S (a)'!M57</f>
        <v>17.783100000000001</v>
      </c>
      <c r="O35" s="2398">
        <f>'57)Topi Kraut f Biogas ex S (a)'!O57</f>
        <v>22.596499999999999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'57)Topi Kraut f Biogas ex S (a)'!L10</f>
        <v>48.469387755102034</v>
      </c>
      <c r="N36" s="2431">
        <f>'57)Topi Kraut f Biogas ex S (a)'!N10</f>
        <v>67.857142857142847</v>
      </c>
      <c r="O36" s="2432">
        <f>'57)Topi Kraut f Biogas ex S (a)'!P10</f>
        <v>87.24489795918366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225.61875000000001</v>
      </c>
      <c r="N37" s="1750">
        <f>$J$37*N35</f>
        <v>311.20425</v>
      </c>
      <c r="O37" s="3278">
        <f>$J$37*O35</f>
        <v>395.43874999999997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235.52083333333331</v>
      </c>
      <c r="N38" s="3289">
        <f>N36*$I$36</f>
        <v>329.72916666666663</v>
      </c>
      <c r="O38" s="3290">
        <f>O36*$I$36</f>
        <v>423.93749999999994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1443.8827273842592</v>
      </c>
      <c r="N43" s="1991">
        <f>SUM(N37:N42)</f>
        <v>1313.6765607175923</v>
      </c>
      <c r="O43" s="1994">
        <f>SUM(O37:O42)</f>
        <v>1492.1193940509258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3523.4957432393148</v>
      </c>
      <c r="N46" s="2041">
        <f>N27+N30+N43</f>
        <v>3563.0975458231114</v>
      </c>
      <c r="O46" s="2080">
        <f>O27+O30+O43</f>
        <v>3911.3483484069075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-3523.4957432393148</v>
      </c>
      <c r="N47" s="2227">
        <f>N45-N46</f>
        <v>-3563.0975458231114</v>
      </c>
      <c r="O47" s="2228">
        <f>O45-O46</f>
        <v>-3911.3483484069075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-3253.4957432393148</v>
      </c>
      <c r="N49" s="1991">
        <f>N47+N48</f>
        <v>-3293.0975458231114</v>
      </c>
      <c r="O49" s="1994">
        <f>O47+O48</f>
        <v>-3641.3483484069075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3253.4957432393148</v>
      </c>
      <c r="N51" s="1771">
        <f>N46-N48</f>
        <v>3293.0975458231114</v>
      </c>
      <c r="O51" s="3358">
        <f>O46-O48</f>
        <v>3641.3483484069075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11.047523746143684</v>
      </c>
      <c r="N52" s="2335">
        <f>IF(N10=0,0,N$51/N10)</f>
        <v>7.9871393301554967</v>
      </c>
      <c r="O52" s="2336">
        <f>IF(O10=0,0,O$51/O10)</f>
        <v>6.8691725116146145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36.825079153812283</v>
      </c>
      <c r="N53" s="2335">
        <f>IF(N9=0,0,N$51/N9)</f>
        <v>26.623797767184989</v>
      </c>
      <c r="O53" s="2336">
        <f>IF(O9=0,0,O$51/O9)</f>
        <v>22.897241705382051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77.332666223005788</v>
      </c>
      <c r="N54" s="2335">
        <f t="shared" si="3"/>
        <v>55.909975311088481</v>
      </c>
      <c r="O54" s="2336">
        <f t="shared" si="3"/>
        <v>48.084207581302309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1.4730031661524912</v>
      </c>
      <c r="N55" s="2219">
        <f t="shared" si="3"/>
        <v>1.0649519106873997</v>
      </c>
      <c r="O55" s="2220">
        <f t="shared" si="3"/>
        <v>0.91588966821528206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40.916754615346981</v>
      </c>
      <c r="N56" s="2219">
        <f>IF(N13=0,0,N$51/N13)</f>
        <v>29.581997519094436</v>
      </c>
      <c r="O56" s="2220">
        <f>IF(O13=0,0,O$51/O13)</f>
        <v>25.441379672646725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0.40916754615346979</v>
      </c>
      <c r="N57" s="2222">
        <f>N51/$N$12*10/$F$57</f>
        <v>0.29581997519094438</v>
      </c>
      <c r="O57" s="2223">
        <f>O51/$O$12*10/$F$57</f>
        <v>0.25441379672646725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3017.9749099059813</v>
      </c>
      <c r="N58" s="1769">
        <f>N51-N38</f>
        <v>2963.3683791564449</v>
      </c>
      <c r="O58" s="1776">
        <f>O51-O38</f>
        <v>3217.4108484069075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M58/M9</f>
        <v>34.159308544493285</v>
      </c>
      <c r="N59" s="3416">
        <f>N58/N9</f>
        <v>23.958027157865995</v>
      </c>
      <c r="O59" s="3417">
        <f>O58/O9</f>
        <v>20.231471096063053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1.3663723417797313</v>
      </c>
      <c r="N60" s="2130">
        <f>IF(N12=0,0,N$58/N12)</f>
        <v>0.95832108631463975</v>
      </c>
      <c r="O60" s="2217">
        <f>IF(O12=0,0,O$58/O12)</f>
        <v>0.80925884384252211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0.37954787271659207</v>
      </c>
      <c r="N61" s="2130">
        <f>N58/$N$12*10/$F$57</f>
        <v>0.26620030175406661</v>
      </c>
      <c r="O61" s="3422">
        <f>O58/$O$12*10/$F$57</f>
        <v>0.22479412328958948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37.954787271659207</v>
      </c>
      <c r="N62" s="1874">
        <f>IF(N13=0,0,N$58/N13)</f>
        <v>26.620030175406665</v>
      </c>
      <c r="O62" s="2032">
        <f>IF(O13=0,0,O$58/O13)</f>
        <v>22.479412328958951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1606.6159365301555</v>
      </c>
      <c r="N64" s="1772">
        <f>SUM(N19:N23)+N30</f>
        <v>1643.5502786136988</v>
      </c>
      <c r="O64" s="1773">
        <f>SUM(O19:O23)+O30</f>
        <v>1680.4846206972422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0.72738695485236238</v>
      </c>
      <c r="N65" s="2031">
        <f>IF(N12=0,0,N64/N12)</f>
        <v>0.53150627491751923</v>
      </c>
      <c r="O65" s="2032">
        <f>IF(O12=0,0,O64/O12)</f>
        <v>0.42268367495371745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1232.193278042746</v>
      </c>
      <c r="N66" s="2038">
        <f>N24+N25+N26+N39+N37</f>
        <v>1391.998100542746</v>
      </c>
      <c r="O66" s="2039">
        <f>O24+O25+O26+O39+O37</f>
        <v>1609.106227709666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0.55786905627289007</v>
      </c>
      <c r="N67" s="2168">
        <f>IF(N12=0,0,N66/N12)</f>
        <v>0.45015703793119766</v>
      </c>
      <c r="O67" s="2187">
        <f>IF(O12=0,0,O66/O12)</f>
        <v>0.40473023397086488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9.5</v>
      </c>
      <c r="N72" s="2877">
        <f>N7/10</f>
        <v>13.3</v>
      </c>
      <c r="O72" s="2877">
        <f>O7/10</f>
        <v>17.100000000000001</v>
      </c>
    </row>
    <row r="73" spans="2:41" x14ac:dyDescent="0.2">
      <c r="K73" s="7" t="s">
        <v>263</v>
      </c>
      <c r="M73" s="2725">
        <f>M6</f>
        <v>100</v>
      </c>
      <c r="N73" s="2725">
        <f>N6</f>
        <v>140</v>
      </c>
      <c r="O73" s="2725">
        <f>O6</f>
        <v>180</v>
      </c>
    </row>
    <row r="74" spans="2:41" x14ac:dyDescent="0.2">
      <c r="K74" s="7" t="s">
        <v>419</v>
      </c>
      <c r="M74" s="2941">
        <f>M9/10</f>
        <v>8.8349999999999991</v>
      </c>
      <c r="N74" s="2941">
        <f>N9/10</f>
        <v>12.369</v>
      </c>
      <c r="O74" s="2941">
        <f>O9/10</f>
        <v>15.903</v>
      </c>
    </row>
    <row r="75" spans="2:41" x14ac:dyDescent="0.2">
      <c r="M75" s="2666">
        <f>M53*10</f>
        <v>368.25079153812283</v>
      </c>
      <c r="N75" s="2666">
        <f>N53*10</f>
        <v>266.23797767184988</v>
      </c>
      <c r="O75" s="2666">
        <f>O53*10</f>
        <v>228.97241705382049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4" firstPageNumber="15" orientation="portrait" useFirstPageNumber="1" horizontalDpi="300" verticalDpi="300" r:id="rId1"/>
  <headerFooter alignWithMargins="0">
    <oddFooter>&amp;L&amp;12LEL Schwäbisch Gmünd (Abtlg. II)
LAZBW Aulendorf&amp;C&amp;12 133&amp;9
&amp;R&amp;12&amp;F
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/>
  <dimension ref="A1:AR83"/>
  <sheetViews>
    <sheetView showGridLines="0" showZeros="0" zoomScale="80" zoomScaleNormal="80" workbookViewId="0">
      <selection activeCell="D5" sqref="D5"/>
    </sheetView>
  </sheetViews>
  <sheetFormatPr baseColWidth="10" defaultColWidth="11.42578125" defaultRowHeight="12.75" x14ac:dyDescent="0.2"/>
  <cols>
    <col min="1" max="1" width="2" style="530" customWidth="1"/>
    <col min="2" max="2" width="4.85546875" style="542" customWidth="1"/>
    <col min="3" max="3" width="52.28515625" style="542" customWidth="1"/>
    <col min="4" max="4" width="10.28515625" style="1397" customWidth="1"/>
    <col min="5" max="5" width="8.7109375" style="542" customWidth="1"/>
    <col min="6" max="6" width="9.85546875" style="542" customWidth="1"/>
    <col min="7" max="7" width="7" style="542" customWidth="1"/>
    <col min="8" max="8" width="11" style="542" customWidth="1"/>
    <col min="9" max="9" width="6.42578125" style="542" customWidth="1"/>
    <col min="10" max="10" width="7.42578125" style="542" bestFit="1" customWidth="1"/>
    <col min="11" max="11" width="7.42578125" style="542" customWidth="1"/>
    <col min="12" max="12" width="12.28515625" style="542" customWidth="1"/>
    <col min="13" max="13" width="9.85546875" style="542" customWidth="1"/>
    <col min="14" max="14" width="12.140625" style="542" customWidth="1"/>
    <col min="15" max="15" width="12.7109375" style="951" customWidth="1"/>
    <col min="16" max="16" width="13.7109375" style="951" customWidth="1"/>
    <col min="17" max="17" width="9.5703125" style="951" hidden="1" customWidth="1"/>
    <col min="18" max="18" width="7.85546875" style="951" customWidth="1"/>
    <col min="19" max="19" width="10.5703125" style="951" customWidth="1"/>
    <col min="20" max="20" width="11.5703125" style="951" customWidth="1"/>
    <col min="21" max="21" width="11.85546875" style="542" customWidth="1"/>
    <col min="22" max="24" width="9.140625" style="530" customWidth="1"/>
    <col min="25" max="29" width="11.42578125" style="530"/>
    <col min="30" max="30" width="21.28515625" style="530" customWidth="1"/>
    <col min="31" max="16384" width="11.42578125" style="530"/>
  </cols>
  <sheetData>
    <row r="1" spans="1:41" ht="15" x14ac:dyDescent="0.2">
      <c r="A1" s="542"/>
      <c r="B1" s="4192"/>
      <c r="C1" s="4271"/>
      <c r="D1" s="3754"/>
      <c r="E1" s="3754" t="s">
        <v>1657</v>
      </c>
      <c r="F1" s="3754"/>
      <c r="G1" s="4206"/>
      <c r="H1" s="4207"/>
      <c r="I1" s="3708"/>
      <c r="J1" s="3706"/>
      <c r="K1" s="3708"/>
      <c r="L1" s="3708"/>
      <c r="M1" s="3708"/>
      <c r="N1" s="3708"/>
      <c r="O1" s="7"/>
      <c r="P1" s="7"/>
      <c r="Q1" s="7"/>
    </row>
    <row r="2" spans="1:41" ht="57" customHeight="1" x14ac:dyDescent="0.2">
      <c r="A2" s="3551"/>
      <c r="B2" s="3704"/>
      <c r="C2" s="3704"/>
      <c r="D2" s="3704"/>
      <c r="E2" s="3704"/>
      <c r="F2" s="8"/>
      <c r="G2" s="3717"/>
      <c r="H2" s="3717"/>
      <c r="I2" s="3717"/>
      <c r="J2" s="3717"/>
      <c r="K2" s="3719"/>
      <c r="L2" s="4207"/>
      <c r="M2" s="4207"/>
      <c r="N2" s="4207"/>
      <c r="O2" s="8"/>
      <c r="P2" s="8"/>
      <c r="Q2" s="8"/>
      <c r="R2" s="530"/>
      <c r="S2" s="530"/>
      <c r="T2" s="530"/>
      <c r="U2" s="530"/>
    </row>
    <row r="3" spans="1:41" ht="20.25" customHeight="1" x14ac:dyDescent="0.2">
      <c r="A3" s="945"/>
      <c r="B3" s="1008" t="s">
        <v>77</v>
      </c>
      <c r="C3" s="523"/>
      <c r="D3" s="1395"/>
      <c r="E3" s="523"/>
      <c r="F3" s="523"/>
      <c r="G3" s="523"/>
      <c r="H3" s="1009"/>
      <c r="I3" s="1009">
        <f>Deckbl!D27</f>
        <v>44635</v>
      </c>
      <c r="J3" s="1010"/>
      <c r="K3" s="526"/>
      <c r="L3" s="610" t="s">
        <v>517</v>
      </c>
      <c r="M3" s="610"/>
      <c r="N3" s="526"/>
      <c r="O3" s="71" t="str">
        <f>Ausglleist!AA2</f>
        <v>Futterbau</v>
      </c>
      <c r="P3" s="542"/>
      <c r="Q3" s="530"/>
      <c r="R3" s="530"/>
      <c r="S3" s="530"/>
      <c r="T3" s="530"/>
      <c r="U3" s="530"/>
    </row>
    <row r="4" spans="1:41" ht="29.25" customHeight="1" x14ac:dyDescent="0.2">
      <c r="A4" s="945"/>
      <c r="B4" s="1421"/>
      <c r="C4" s="526"/>
      <c r="D4" s="1396"/>
      <c r="E4" s="526"/>
      <c r="F4" s="1442" t="s">
        <v>78</v>
      </c>
      <c r="G4" s="556"/>
      <c r="H4" s="526"/>
      <c r="I4" s="526"/>
      <c r="J4" s="526"/>
      <c r="K4" s="526"/>
      <c r="L4" s="610" t="s">
        <v>606</v>
      </c>
      <c r="M4" s="610"/>
      <c r="N4" s="526"/>
      <c r="O4" s="72">
        <f>Ausglleist!AA3</f>
        <v>2022</v>
      </c>
      <c r="P4" s="542"/>
      <c r="Q4" s="952"/>
      <c r="R4" s="952"/>
      <c r="S4" s="952"/>
      <c r="T4" s="952"/>
      <c r="U4" s="952"/>
      <c r="V4" s="952"/>
      <c r="W4" s="952"/>
      <c r="X4" s="952"/>
      <c r="Y4" s="952"/>
      <c r="Z4" s="952"/>
      <c r="AA4" s="952"/>
      <c r="AB4" s="952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</row>
    <row r="5" spans="1:41" ht="19.5" customHeight="1" x14ac:dyDescent="0.2">
      <c r="B5" s="1011" t="s">
        <v>546</v>
      </c>
      <c r="C5" s="523"/>
      <c r="D5" s="1963">
        <v>2.2999999999999998</v>
      </c>
      <c r="F5" s="2344">
        <f>'Preise-Stammdaten'!N10</f>
        <v>19</v>
      </c>
      <c r="G5" s="79" t="s">
        <v>79</v>
      </c>
      <c r="I5" s="2773">
        <v>0.21479999999999999</v>
      </c>
      <c r="J5" s="922" t="s">
        <v>80</v>
      </c>
      <c r="K5" s="1010" t="s">
        <v>81</v>
      </c>
      <c r="L5" s="1010"/>
      <c r="M5" s="1010"/>
      <c r="N5" s="3186">
        <f>(Y5)-I5</f>
        <v>1.7179731092436974</v>
      </c>
      <c r="O5" s="922" t="s">
        <v>80</v>
      </c>
      <c r="P5" s="542"/>
      <c r="Q5" s="952"/>
      <c r="R5" s="952"/>
      <c r="S5" s="952"/>
      <c r="T5" s="1011" t="s">
        <v>1114</v>
      </c>
      <c r="X5" s="523"/>
      <c r="Y5" s="3186">
        <f>(D5)/(100+AA5)*100</f>
        <v>1.9327731092436973</v>
      </c>
      <c r="Z5" s="556"/>
      <c r="AA5" s="2344">
        <v>19</v>
      </c>
      <c r="AB5" s="3186">
        <f>D5*AA5/100</f>
        <v>0.43699999999999994</v>
      </c>
      <c r="AC5" s="952"/>
      <c r="AD5" s="952"/>
      <c r="AE5" s="952"/>
      <c r="AF5" s="952"/>
      <c r="AG5" s="952"/>
      <c r="AH5" s="952"/>
      <c r="AI5" s="952"/>
      <c r="AJ5" s="952"/>
      <c r="AK5" s="952"/>
      <c r="AL5" s="952"/>
      <c r="AM5" s="952"/>
    </row>
    <row r="6" spans="1:41" ht="13.5" customHeight="1" x14ac:dyDescent="0.2">
      <c r="A6" s="945"/>
      <c r="H6" s="526"/>
      <c r="I6" s="526"/>
      <c r="J6" s="526"/>
      <c r="K6" s="526"/>
      <c r="L6" s="526"/>
      <c r="M6" s="526"/>
      <c r="N6" s="526"/>
      <c r="P6" s="542"/>
      <c r="Q6" s="952"/>
      <c r="R6" s="952"/>
      <c r="S6" s="952"/>
      <c r="AC6" s="952"/>
      <c r="AD6" s="952"/>
      <c r="AE6" s="952"/>
      <c r="AF6" s="952"/>
      <c r="AG6" s="952"/>
      <c r="AH6" s="952"/>
      <c r="AI6" s="952"/>
      <c r="AJ6" s="952"/>
      <c r="AK6" s="952"/>
      <c r="AL6" s="952"/>
      <c r="AM6" s="952"/>
    </row>
    <row r="7" spans="1:41" ht="9" customHeight="1" x14ac:dyDescent="0.2">
      <c r="A7" s="945"/>
      <c r="B7" s="946"/>
      <c r="C7" s="523"/>
      <c r="D7" s="1396"/>
      <c r="E7" s="556"/>
      <c r="F7" s="877"/>
      <c r="G7" s="877"/>
      <c r="H7" s="554"/>
      <c r="I7" s="554"/>
      <c r="J7" s="554"/>
      <c r="K7" s="554"/>
      <c r="L7" s="554"/>
      <c r="M7" s="554"/>
      <c r="N7" s="526"/>
      <c r="O7" s="554"/>
      <c r="P7" s="554"/>
      <c r="Q7" s="542"/>
      <c r="R7" s="952"/>
      <c r="S7" s="952"/>
      <c r="T7" s="952"/>
      <c r="U7" s="952"/>
      <c r="V7" s="952"/>
      <c r="W7" s="952"/>
      <c r="X7" s="952"/>
      <c r="Y7" s="952"/>
      <c r="Z7" s="952"/>
      <c r="AA7" s="952"/>
      <c r="AB7" s="952"/>
      <c r="AC7" s="952"/>
      <c r="AD7" s="952"/>
      <c r="AE7" s="952"/>
      <c r="AF7" s="952"/>
      <c r="AG7" s="952"/>
      <c r="AH7" s="952"/>
      <c r="AI7" s="952"/>
      <c r="AJ7" s="952"/>
      <c r="AK7" s="952"/>
      <c r="AL7" s="952"/>
      <c r="AM7" s="952"/>
      <c r="AN7" s="952"/>
    </row>
    <row r="8" spans="1:41" ht="21.2" customHeight="1" x14ac:dyDescent="0.2">
      <c r="A8" s="945"/>
      <c r="B8" s="1012" t="s">
        <v>82</v>
      </c>
      <c r="C8" s="1013"/>
      <c r="D8" s="1014"/>
      <c r="E8" s="1015"/>
      <c r="F8" s="1015"/>
      <c r="G8" s="1016" t="s">
        <v>83</v>
      </c>
      <c r="H8" s="1017"/>
      <c r="I8" s="1017"/>
      <c r="J8" s="1017"/>
      <c r="K8" s="1017"/>
      <c r="L8" s="1017"/>
      <c r="M8" s="1017"/>
      <c r="N8" s="1017"/>
      <c r="O8" s="1018"/>
      <c r="P8" s="554"/>
      <c r="Q8" s="554"/>
      <c r="R8" s="554"/>
      <c r="S8" s="54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2"/>
      <c r="AJ8" s="952"/>
      <c r="AK8" s="952"/>
      <c r="AL8" s="952"/>
      <c r="AM8" s="952"/>
      <c r="AN8" s="952"/>
      <c r="AO8" s="952"/>
    </row>
    <row r="9" spans="1:41" ht="21.2" customHeight="1" x14ac:dyDescent="0.2">
      <c r="A9" s="945"/>
      <c r="B9" s="2992"/>
      <c r="D9" s="1021" t="s">
        <v>85</v>
      </c>
      <c r="E9" s="1022" t="s">
        <v>41</v>
      </c>
      <c r="F9" s="1960"/>
      <c r="H9" s="1958"/>
      <c r="I9" s="1959"/>
      <c r="J9" s="1023"/>
      <c r="K9" s="2988" t="s">
        <v>506</v>
      </c>
      <c r="L9" s="1927"/>
      <c r="M9" s="2987"/>
      <c r="N9" s="2987"/>
      <c r="O9" s="925"/>
      <c r="P9" s="554"/>
      <c r="Q9" s="3780" t="s">
        <v>1737</v>
      </c>
      <c r="R9" s="554"/>
      <c r="S9" s="54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2"/>
      <c r="AO9" s="952"/>
    </row>
    <row r="10" spans="1:41" ht="21.2" customHeight="1" x14ac:dyDescent="0.2">
      <c r="A10" s="945"/>
      <c r="B10" s="1019"/>
      <c r="C10" s="1020"/>
      <c r="D10" s="1021" t="s">
        <v>766</v>
      </c>
      <c r="E10" s="1022" t="s">
        <v>42</v>
      </c>
      <c r="F10" s="1022"/>
      <c r="G10" s="3154"/>
      <c r="J10" s="1968"/>
      <c r="K10" s="310" t="s">
        <v>44</v>
      </c>
      <c r="L10" s="310"/>
      <c r="M10" s="310"/>
      <c r="N10" s="310"/>
      <c r="O10" s="925"/>
      <c r="P10" s="554"/>
      <c r="Q10" s="554"/>
      <c r="R10" s="554"/>
      <c r="S10" s="542"/>
      <c r="T10" s="952"/>
      <c r="U10" s="952"/>
      <c r="V10" s="952"/>
      <c r="W10" s="952"/>
      <c r="X10" s="952"/>
      <c r="Y10" s="952"/>
      <c r="Z10" s="952"/>
      <c r="AA10" s="952"/>
      <c r="AB10" s="952"/>
      <c r="AC10" s="952"/>
      <c r="AD10" s="952"/>
      <c r="AE10" s="952"/>
      <c r="AF10" s="952"/>
      <c r="AG10" s="952"/>
      <c r="AH10" s="952"/>
      <c r="AI10" s="952"/>
      <c r="AJ10" s="952"/>
      <c r="AK10" s="952"/>
      <c r="AL10" s="952"/>
      <c r="AM10" s="952"/>
      <c r="AN10" s="952"/>
      <c r="AO10" s="952"/>
    </row>
    <row r="11" spans="1:41" ht="21.2" customHeight="1" x14ac:dyDescent="0.2">
      <c r="A11" s="945"/>
      <c r="B11" s="1019"/>
      <c r="C11" s="1020"/>
      <c r="D11" s="1024" t="s">
        <v>768</v>
      </c>
      <c r="F11" s="4270" t="s">
        <v>40</v>
      </c>
      <c r="G11" s="2989"/>
      <c r="H11" s="2989"/>
      <c r="I11" s="2990"/>
      <c r="J11" s="1968"/>
      <c r="K11" s="1170"/>
      <c r="L11" s="2991">
        <f>N5</f>
        <v>1.7179731092436974</v>
      </c>
      <c r="M11" s="2990" t="s">
        <v>80</v>
      </c>
      <c r="N11" s="1919"/>
      <c r="O11" s="925"/>
      <c r="P11" s="554"/>
      <c r="Q11" s="554"/>
      <c r="R11" s="554"/>
      <c r="S11" s="542"/>
      <c r="T11" s="952"/>
      <c r="U11" s="952"/>
      <c r="V11" s="952"/>
      <c r="W11" s="952"/>
      <c r="X11" s="952"/>
      <c r="Y11" s="952"/>
      <c r="Z11" s="952"/>
      <c r="AA11" s="952"/>
      <c r="AB11" s="952"/>
      <c r="AC11" s="952"/>
      <c r="AD11" s="952"/>
      <c r="AE11" s="952"/>
      <c r="AF11" s="952"/>
      <c r="AG11" s="952"/>
      <c r="AH11" s="952"/>
      <c r="AI11" s="952"/>
      <c r="AJ11" s="952"/>
      <c r="AK11" s="952"/>
      <c r="AL11" s="952"/>
      <c r="AM11" s="952"/>
      <c r="AN11" s="952"/>
      <c r="AO11" s="952"/>
    </row>
    <row r="12" spans="1:41" ht="21.2" customHeight="1" x14ac:dyDescent="0.2">
      <c r="A12" s="945"/>
      <c r="B12" s="1019"/>
      <c r="C12" s="1020"/>
      <c r="D12" s="1025"/>
      <c r="E12" s="1962" t="s">
        <v>767</v>
      </c>
      <c r="F12" s="4270"/>
      <c r="G12" s="1918"/>
      <c r="H12" s="1023"/>
      <c r="J12" s="1968"/>
      <c r="K12" s="310" t="s">
        <v>43</v>
      </c>
      <c r="L12" s="1927"/>
      <c r="M12" s="1927"/>
      <c r="N12" s="1927"/>
      <c r="O12" s="923"/>
      <c r="P12" s="554"/>
      <c r="Q12" s="554"/>
      <c r="R12" s="554"/>
      <c r="S12" s="542"/>
      <c r="T12" s="952"/>
      <c r="U12" s="952"/>
      <c r="V12" s="952"/>
      <c r="W12" s="952"/>
      <c r="X12" s="952"/>
      <c r="Y12" s="952"/>
      <c r="Z12" s="952"/>
      <c r="AA12" s="952"/>
      <c r="AB12" s="952"/>
      <c r="AC12" s="952"/>
      <c r="AD12" s="952"/>
      <c r="AE12" s="952"/>
      <c r="AF12" s="952"/>
      <c r="AG12" s="952"/>
      <c r="AH12" s="952"/>
      <c r="AI12" s="952"/>
      <c r="AJ12" s="952"/>
      <c r="AK12" s="952"/>
      <c r="AL12" s="952"/>
      <c r="AM12" s="952"/>
      <c r="AN12" s="952"/>
      <c r="AO12" s="952"/>
    </row>
    <row r="13" spans="1:41" ht="17.45" customHeight="1" x14ac:dyDescent="0.2">
      <c r="A13" s="945"/>
      <c r="B13" s="1071" t="s">
        <v>552</v>
      </c>
      <c r="C13" s="2993" t="s">
        <v>84</v>
      </c>
      <c r="D13" s="2346"/>
      <c r="E13" s="1961" t="s">
        <v>769</v>
      </c>
      <c r="F13" s="2986" t="s">
        <v>770</v>
      </c>
      <c r="G13"/>
      <c r="H13"/>
      <c r="I13"/>
      <c r="J13" s="3155">
        <v>0.7</v>
      </c>
      <c r="K13" s="1262"/>
      <c r="L13" s="3156">
        <v>1</v>
      </c>
      <c r="M13" s="1921"/>
      <c r="N13" s="3156">
        <v>1.5</v>
      </c>
      <c r="O13" s="924"/>
      <c r="P13" s="554"/>
      <c r="Q13" s="554"/>
      <c r="R13" s="554"/>
      <c r="S13" s="54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</row>
    <row r="14" spans="1:41" ht="17.45" customHeight="1" x14ac:dyDescent="0.2">
      <c r="A14" s="945"/>
      <c r="B14" s="4141">
        <v>1</v>
      </c>
      <c r="C14" s="3986" t="s">
        <v>1840</v>
      </c>
      <c r="D14" s="4093" t="s">
        <v>1411</v>
      </c>
      <c r="E14" s="4094">
        <v>23.3</v>
      </c>
      <c r="F14" s="4097">
        <v>12</v>
      </c>
      <c r="G14" s="310"/>
      <c r="H14"/>
      <c r="I14"/>
      <c r="J14" s="3157">
        <f t="shared" ref="J14:J21" si="0">E14*0.7*$N$5+F14</f>
        <v>40.020141411764698</v>
      </c>
      <c r="K14" s="1170"/>
      <c r="L14" s="3158">
        <f t="shared" ref="L14:L21" si="1">E14*$N$5+F14</f>
        <v>52.02877344537815</v>
      </c>
      <c r="M14" s="3159"/>
      <c r="N14" s="3158">
        <f t="shared" ref="N14:N21" si="2">E14*1.5*$N$5+F14</f>
        <v>72.043160168067232</v>
      </c>
      <c r="O14" s="1920"/>
      <c r="P14" s="554"/>
      <c r="Q14" s="3468" t="s">
        <v>1688</v>
      </c>
      <c r="S14" s="542"/>
      <c r="T14" s="952"/>
      <c r="U14" s="952"/>
      <c r="V14" s="952"/>
      <c r="W14" s="952"/>
      <c r="X14" s="952"/>
      <c r="Y14" s="952"/>
      <c r="Z14" s="952"/>
      <c r="AA14" s="952"/>
      <c r="AB14" s="952"/>
      <c r="AC14" s="952"/>
      <c r="AD14" s="952"/>
      <c r="AE14" s="952"/>
      <c r="AF14" s="952"/>
      <c r="AG14" s="952"/>
      <c r="AH14" s="952"/>
      <c r="AI14" s="952"/>
      <c r="AJ14" s="952"/>
      <c r="AK14" s="952"/>
      <c r="AL14" s="952"/>
      <c r="AM14" s="952"/>
      <c r="AN14" s="952"/>
      <c r="AO14" s="952"/>
    </row>
    <row r="15" spans="1:41" ht="17.45" customHeight="1" x14ac:dyDescent="0.2">
      <c r="A15" s="945"/>
      <c r="B15" s="4141">
        <v>2</v>
      </c>
      <c r="C15" s="3986" t="s">
        <v>1841</v>
      </c>
      <c r="D15" s="4093" t="s">
        <v>1836</v>
      </c>
      <c r="E15" s="4094">
        <v>14</v>
      </c>
      <c r="F15" s="4098">
        <v>8.5</v>
      </c>
      <c r="G15" s="310"/>
      <c r="H15"/>
      <c r="I15"/>
      <c r="J15" s="3157">
        <f t="shared" si="0"/>
        <v>25.336136470588233</v>
      </c>
      <c r="K15" s="1170"/>
      <c r="L15" s="3158">
        <f t="shared" si="1"/>
        <v>32.551623529411764</v>
      </c>
      <c r="M15" s="3159"/>
      <c r="N15" s="3158">
        <f t="shared" si="2"/>
        <v>44.577435294117649</v>
      </c>
      <c r="O15" s="1920"/>
      <c r="P15" s="554"/>
      <c r="Q15" s="3468" t="s">
        <v>1688</v>
      </c>
      <c r="S15" s="542"/>
      <c r="T15" s="952"/>
      <c r="U15" s="952"/>
      <c r="V15" s="952"/>
      <c r="W15" s="952"/>
      <c r="X15" s="952"/>
      <c r="Y15" s="952"/>
      <c r="Z15" s="952"/>
      <c r="AA15" s="952"/>
      <c r="AB15" s="952"/>
      <c r="AC15" s="952"/>
      <c r="AD15" s="952"/>
      <c r="AE15" s="952"/>
      <c r="AF15" s="952"/>
      <c r="AG15" s="952"/>
      <c r="AH15" s="952"/>
      <c r="AI15" s="952"/>
      <c r="AJ15" s="952"/>
      <c r="AK15" s="952"/>
      <c r="AL15" s="952"/>
      <c r="AM15" s="952"/>
      <c r="AN15" s="952"/>
      <c r="AO15" s="952"/>
    </row>
    <row r="16" spans="1:41" ht="17.45" customHeight="1" x14ac:dyDescent="0.2">
      <c r="A16" s="945"/>
      <c r="B16" s="4141">
        <v>3</v>
      </c>
      <c r="C16" s="3986" t="s">
        <v>1842</v>
      </c>
      <c r="D16" s="4093" t="s">
        <v>1837</v>
      </c>
      <c r="E16" s="4094">
        <v>11.9</v>
      </c>
      <c r="F16" s="4098">
        <v>7.5</v>
      </c>
      <c r="G16" s="3773"/>
      <c r="H16"/>
      <c r="I16"/>
      <c r="J16" s="3157">
        <f t="shared" si="0"/>
        <v>21.810715999999999</v>
      </c>
      <c r="K16" s="1170"/>
      <c r="L16" s="3158">
        <f t="shared" si="1"/>
        <v>27.94388</v>
      </c>
      <c r="M16" s="3159"/>
      <c r="N16" s="3158">
        <f t="shared" si="2"/>
        <v>38.165819999999997</v>
      </c>
      <c r="O16" s="1920"/>
      <c r="P16" s="554"/>
      <c r="Q16" s="3468" t="s">
        <v>1688</v>
      </c>
      <c r="S16" s="542"/>
      <c r="T16" s="952"/>
      <c r="U16" s="952"/>
      <c r="V16" s="952"/>
      <c r="W16" s="952"/>
      <c r="X16" s="952"/>
      <c r="Y16" s="952"/>
      <c r="Z16" s="952"/>
      <c r="AA16" s="952"/>
      <c r="AB16" s="952"/>
      <c r="AC16" s="952"/>
      <c r="AD16" s="952"/>
      <c r="AE16" s="952"/>
      <c r="AF16" s="952"/>
      <c r="AG16" s="952"/>
      <c r="AH16" s="952"/>
      <c r="AI16" s="952"/>
      <c r="AJ16" s="952"/>
      <c r="AK16" s="952"/>
      <c r="AL16" s="952"/>
      <c r="AM16" s="952"/>
      <c r="AN16" s="952"/>
      <c r="AO16" s="952"/>
    </row>
    <row r="17" spans="1:44" ht="17.45" customHeight="1" x14ac:dyDescent="0.2">
      <c r="A17" s="945"/>
      <c r="B17" s="4141">
        <v>4</v>
      </c>
      <c r="C17" s="3986" t="s">
        <v>1838</v>
      </c>
      <c r="D17" s="4093" t="s">
        <v>934</v>
      </c>
      <c r="E17" s="4094">
        <v>9.6999999999999993</v>
      </c>
      <c r="F17" s="4098">
        <v>7</v>
      </c>
      <c r="G17" s="310"/>
      <c r="H17"/>
      <c r="I17"/>
      <c r="J17" s="3157">
        <f t="shared" si="0"/>
        <v>18.665037411764704</v>
      </c>
      <c r="K17" s="1170"/>
      <c r="L17" s="3158">
        <f t="shared" si="1"/>
        <v>23.664339159663864</v>
      </c>
      <c r="M17" s="3159"/>
      <c r="N17" s="3158">
        <f t="shared" si="2"/>
        <v>31.996508739495795</v>
      </c>
      <c r="O17" s="1920"/>
      <c r="P17" s="554"/>
      <c r="Q17" s="3468" t="s">
        <v>1688</v>
      </c>
      <c r="S17" s="54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</row>
    <row r="18" spans="1:44" ht="17.45" customHeight="1" x14ac:dyDescent="0.2">
      <c r="A18" s="945"/>
      <c r="B18" s="4141">
        <v>5</v>
      </c>
      <c r="C18" s="3986" t="s">
        <v>1686</v>
      </c>
      <c r="D18" s="4093" t="s">
        <v>935</v>
      </c>
      <c r="E18" s="4101">
        <v>11.9</v>
      </c>
      <c r="F18" s="4100">
        <f>7.5+0.9</f>
        <v>8.4</v>
      </c>
      <c r="G18" s="310"/>
      <c r="H18"/>
      <c r="I18"/>
      <c r="J18" s="3157">
        <f t="shared" si="0"/>
        <v>22.710715999999998</v>
      </c>
      <c r="K18" s="1170"/>
      <c r="L18" s="3158">
        <f t="shared" si="1"/>
        <v>28.843879999999999</v>
      </c>
      <c r="M18" s="3159"/>
      <c r="N18" s="3158">
        <f t="shared" si="2"/>
        <v>39.065820000000002</v>
      </c>
      <c r="O18" s="1920"/>
      <c r="P18" s="554"/>
      <c r="Q18" s="3468" t="s">
        <v>1687</v>
      </c>
      <c r="S18" s="542"/>
      <c r="T18" s="952"/>
      <c r="U18" s="952"/>
      <c r="V18" s="952"/>
      <c r="W18" s="952"/>
      <c r="X18" s="952"/>
      <c r="Y18" s="952"/>
      <c r="Z18" s="952"/>
      <c r="AA18" s="952"/>
      <c r="AB18" s="952"/>
      <c r="AC18" s="952"/>
      <c r="AD18" s="952"/>
      <c r="AE18" s="952"/>
      <c r="AF18" s="952"/>
      <c r="AG18" s="952"/>
      <c r="AH18" s="952"/>
      <c r="AI18" s="952"/>
      <c r="AJ18" s="952"/>
      <c r="AK18" s="952"/>
      <c r="AL18" s="952"/>
      <c r="AM18" s="952"/>
      <c r="AN18" s="952"/>
      <c r="AO18" s="952"/>
    </row>
    <row r="19" spans="1:44" ht="17.45" customHeight="1" x14ac:dyDescent="0.2">
      <c r="A19" s="945"/>
      <c r="B19" s="4141">
        <v>6</v>
      </c>
      <c r="C19" s="4095" t="s">
        <v>1839</v>
      </c>
      <c r="D19" s="4093" t="s">
        <v>935</v>
      </c>
      <c r="E19" s="4101">
        <v>7.8</v>
      </c>
      <c r="F19" s="4100">
        <v>6.5</v>
      </c>
      <c r="G19" s="3158"/>
      <c r="H19" s="3158"/>
      <c r="J19" s="3157">
        <f t="shared" si="0"/>
        <v>15.880133176470588</v>
      </c>
      <c r="K19" s="1170"/>
      <c r="L19" s="3158">
        <f t="shared" si="1"/>
        <v>19.900190252100842</v>
      </c>
      <c r="M19" s="1170"/>
      <c r="N19" s="3158">
        <f t="shared" si="2"/>
        <v>26.600285378151259</v>
      </c>
      <c r="O19" s="4092"/>
      <c r="Q19" s="3468" t="s">
        <v>1688</v>
      </c>
      <c r="R19" s="554"/>
      <c r="S19" s="542"/>
      <c r="T19" s="952"/>
      <c r="U19" s="952"/>
      <c r="V19" s="952"/>
      <c r="W19" s="952"/>
      <c r="X19" s="952"/>
      <c r="Y19" s="952"/>
      <c r="Z19" s="952"/>
      <c r="AA19" s="952"/>
      <c r="AB19" s="952"/>
      <c r="AC19" s="952"/>
      <c r="AD19" s="952"/>
      <c r="AE19" s="952"/>
      <c r="AF19" s="952"/>
      <c r="AG19" s="952"/>
      <c r="AH19" s="952"/>
      <c r="AI19" s="952"/>
      <c r="AJ19" s="952"/>
      <c r="AK19" s="952"/>
      <c r="AL19" s="952"/>
      <c r="AM19" s="952"/>
      <c r="AN19" s="952"/>
      <c r="AO19" s="952"/>
    </row>
    <row r="20" spans="1:44" s="1416" customFormat="1" ht="17.100000000000001" customHeight="1" x14ac:dyDescent="0.25">
      <c r="A20" s="1010"/>
      <c r="B20" s="4142">
        <v>7</v>
      </c>
      <c r="C20" s="4095" t="s">
        <v>1843</v>
      </c>
      <c r="D20" s="3935" t="s">
        <v>1844</v>
      </c>
      <c r="E20" s="4102">
        <v>6.3</v>
      </c>
      <c r="F20" s="4099">
        <v>6.1</v>
      </c>
      <c r="G20" s="1417"/>
      <c r="H20" s="1418"/>
      <c r="I20" s="1417"/>
      <c r="J20" s="4096">
        <f t="shared" si="0"/>
        <v>13.676261411764703</v>
      </c>
      <c r="K20" s="3934"/>
      <c r="L20" s="3158">
        <f t="shared" si="1"/>
        <v>16.923230588235292</v>
      </c>
      <c r="M20" s="3934"/>
      <c r="N20" s="3158">
        <f t="shared" si="2"/>
        <v>22.334845882352937</v>
      </c>
      <c r="O20" s="4103"/>
      <c r="P20" s="1419"/>
      <c r="Q20" s="3933" t="s">
        <v>1688</v>
      </c>
      <c r="U20" s="1419"/>
      <c r="V20" s="1420"/>
      <c r="W20" s="1420"/>
      <c r="X20" s="1420"/>
      <c r="Y20" s="1420"/>
      <c r="Z20" s="1420"/>
      <c r="AA20" s="1420"/>
      <c r="AB20" s="1420"/>
      <c r="AC20" s="1420"/>
      <c r="AD20" s="1420"/>
      <c r="AE20" s="1420"/>
      <c r="AF20" s="1420"/>
      <c r="AG20" s="1420"/>
      <c r="AH20" s="1420"/>
      <c r="AI20" s="1420"/>
      <c r="AJ20" s="1420"/>
      <c r="AK20" s="1420"/>
      <c r="AL20" s="1420"/>
      <c r="AM20" s="1420"/>
      <c r="AN20" s="1420"/>
      <c r="AO20" s="1420"/>
      <c r="AP20" s="1420"/>
      <c r="AQ20" s="1420"/>
    </row>
    <row r="21" spans="1:44" s="1416" customFormat="1" ht="17.100000000000001" customHeight="1" x14ac:dyDescent="0.25">
      <c r="A21" s="1010"/>
      <c r="B21" s="4143">
        <v>8</v>
      </c>
      <c r="C21" s="3989" t="s">
        <v>1848</v>
      </c>
      <c r="D21" s="4104" t="s">
        <v>1847</v>
      </c>
      <c r="E21" s="4105">
        <v>5.3</v>
      </c>
      <c r="F21" s="4106">
        <v>5.6</v>
      </c>
      <c r="G21" s="4107"/>
      <c r="H21" s="4108"/>
      <c r="I21" s="4107"/>
      <c r="J21" s="4109">
        <f t="shared" si="0"/>
        <v>11.973680235294117</v>
      </c>
      <c r="K21" s="4110"/>
      <c r="L21" s="3160">
        <f t="shared" si="1"/>
        <v>14.705257478991596</v>
      </c>
      <c r="M21" s="4110"/>
      <c r="N21" s="3160">
        <f t="shared" si="2"/>
        <v>19.257886218487393</v>
      </c>
      <c r="O21" s="4111"/>
      <c r="P21" s="1419"/>
      <c r="Q21" s="3933"/>
      <c r="U21" s="1419"/>
      <c r="V21" s="1420"/>
      <c r="W21" s="1420"/>
      <c r="X21" s="1420"/>
      <c r="Y21" s="1420"/>
      <c r="Z21" s="1420"/>
      <c r="AA21" s="1420"/>
      <c r="AB21" s="1420"/>
      <c r="AC21" s="1420"/>
      <c r="AD21" s="1420"/>
      <c r="AE21" s="1420"/>
      <c r="AF21" s="1420"/>
      <c r="AG21" s="1420"/>
      <c r="AH21" s="1420"/>
      <c r="AI21" s="1420"/>
      <c r="AJ21" s="1420"/>
      <c r="AK21" s="1420"/>
      <c r="AL21" s="1420"/>
      <c r="AM21" s="1420"/>
      <c r="AN21" s="1420"/>
      <c r="AO21" s="1420"/>
      <c r="AP21" s="1420"/>
      <c r="AQ21" s="1420"/>
    </row>
    <row r="22" spans="1:44" ht="18.75" customHeight="1" thickBot="1" x14ac:dyDescent="0.25">
      <c r="A22" s="945"/>
      <c r="B22" s="2642"/>
      <c r="C22" s="523"/>
      <c r="D22" s="1395"/>
      <c r="E22" s="523"/>
      <c r="F22" s="523"/>
      <c r="G22" s="523"/>
      <c r="H22" s="523"/>
      <c r="I22" s="523"/>
      <c r="J22" s="523"/>
      <c r="K22" s="523"/>
      <c r="L22" s="523"/>
      <c r="M22" s="523"/>
      <c r="N22" s="523"/>
      <c r="O22" s="523"/>
      <c r="P22" s="523"/>
      <c r="Q22" s="523"/>
      <c r="R22" s="523"/>
      <c r="S22" s="523"/>
      <c r="T22" s="542"/>
      <c r="U22" s="526"/>
      <c r="V22" s="526"/>
      <c r="W22" s="526"/>
      <c r="X22" s="526"/>
      <c r="Y22" s="526"/>
      <c r="Z22" s="526"/>
      <c r="AA22" s="952"/>
      <c r="AB22" s="952"/>
      <c r="AC22" s="952"/>
      <c r="AD22" s="952"/>
      <c r="AE22" s="952"/>
      <c r="AF22" s="952"/>
      <c r="AG22" s="952"/>
      <c r="AH22" s="952"/>
      <c r="AI22" s="952"/>
      <c r="AJ22" s="952"/>
      <c r="AK22" s="952"/>
      <c r="AL22" s="952"/>
      <c r="AM22" s="952"/>
      <c r="AN22" s="952"/>
      <c r="AO22" s="952"/>
      <c r="AP22" s="952"/>
      <c r="AQ22" s="952"/>
    </row>
    <row r="23" spans="1:44" ht="22.7" customHeight="1" thickBot="1" x14ac:dyDescent="0.25">
      <c r="A23" s="945"/>
      <c r="B23" s="1753" t="s">
        <v>838</v>
      </c>
      <c r="C23" s="1754"/>
      <c r="D23" s="1755" t="s">
        <v>771</v>
      </c>
      <c r="E23" s="1756"/>
      <c r="F23" s="1916"/>
      <c r="G23" s="1757" t="s">
        <v>82</v>
      </c>
      <c r="H23" s="2360"/>
      <c r="I23" s="4268" t="s">
        <v>39</v>
      </c>
      <c r="J23" s="4268"/>
      <c r="K23" s="4268"/>
      <c r="L23" s="4269"/>
      <c r="M23" s="1969"/>
      <c r="N23" s="1973" t="s">
        <v>508</v>
      </c>
      <c r="O23" s="1946"/>
      <c r="P23"/>
      <c r="Q23"/>
      <c r="R23"/>
      <c r="S23" s="4138"/>
      <c r="T23" s="4139"/>
      <c r="U23" s="526"/>
      <c r="V23" s="526"/>
      <c r="W23" s="526"/>
      <c r="X23" s="526"/>
      <c r="Y23" s="526"/>
      <c r="Z23" s="526"/>
      <c r="AA23" s="1930" t="s">
        <v>851</v>
      </c>
      <c r="AB23" s="952"/>
      <c r="AC23" s="952"/>
      <c r="AD23" s="952"/>
      <c r="AE23" s="952"/>
      <c r="AF23" s="952"/>
      <c r="AG23" s="952"/>
      <c r="AH23" s="952"/>
      <c r="AI23" s="952"/>
      <c r="AJ23" s="952"/>
      <c r="AK23" s="952"/>
      <c r="AL23" s="952"/>
      <c r="AM23" s="952"/>
      <c r="AN23" s="952"/>
      <c r="AO23" s="952"/>
      <c r="AP23" s="952"/>
      <c r="AQ23" s="952"/>
      <c r="AR23" s="952"/>
    </row>
    <row r="24" spans="1:44" ht="16.5" customHeight="1" thickTop="1" x14ac:dyDescent="0.2">
      <c r="A24" s="945"/>
      <c r="B24" s="1758" t="s">
        <v>552</v>
      </c>
      <c r="C24" s="2349"/>
      <c r="D24" s="2345" t="s">
        <v>772</v>
      </c>
      <c r="E24" s="1943" t="s">
        <v>773</v>
      </c>
      <c r="F24" s="1917"/>
      <c r="G24" s="2363"/>
      <c r="H24" s="2361" t="s">
        <v>774</v>
      </c>
      <c r="I24" s="2355"/>
      <c r="J24" s="1922"/>
      <c r="K24" s="3585"/>
      <c r="L24" s="4265" t="s">
        <v>507</v>
      </c>
      <c r="M24" s="1970" t="s">
        <v>775</v>
      </c>
      <c r="N24" s="1947" t="s">
        <v>278</v>
      </c>
      <c r="O24" s="1955" t="s">
        <v>278</v>
      </c>
      <c r="P24"/>
      <c r="S24" s="542"/>
      <c r="T24" s="526"/>
      <c r="U24" s="526"/>
      <c r="V24" s="526"/>
      <c r="W24" s="526"/>
      <c r="X24" s="952"/>
      <c r="Y24" s="952"/>
      <c r="Z24" s="952"/>
      <c r="AA24" s="1930" t="s">
        <v>854</v>
      </c>
      <c r="AB24" s="952"/>
      <c r="AC24" s="952"/>
      <c r="AD24" s="1934" t="s">
        <v>852</v>
      </c>
      <c r="AE24" s="952"/>
      <c r="AF24" s="952"/>
      <c r="AG24" s="952"/>
      <c r="AH24" s="952"/>
      <c r="AI24" s="952"/>
      <c r="AJ24" s="952"/>
      <c r="AK24" s="952"/>
      <c r="AL24" s="952"/>
      <c r="AM24" s="952"/>
      <c r="AN24" s="952"/>
      <c r="AO24" s="952"/>
      <c r="AP24" s="952"/>
    </row>
    <row r="25" spans="1:44" ht="16.5" customHeight="1" x14ac:dyDescent="0.2">
      <c r="A25" s="945"/>
      <c r="B25" s="1759"/>
      <c r="C25" s="2350"/>
      <c r="D25" s="2345"/>
      <c r="E25" s="1944" t="s">
        <v>1044</v>
      </c>
      <c r="F25" s="1917"/>
      <c r="G25" s="2364" t="s">
        <v>552</v>
      </c>
      <c r="H25" s="2361" t="s">
        <v>766</v>
      </c>
      <c r="I25" s="2356"/>
      <c r="J25" s="1923"/>
      <c r="K25" s="3586"/>
      <c r="L25" s="4266"/>
      <c r="M25" s="1971" t="s">
        <v>842</v>
      </c>
      <c r="N25" s="1029" t="s">
        <v>801</v>
      </c>
      <c r="O25" s="1956" t="s">
        <v>802</v>
      </c>
      <c r="P25"/>
      <c r="S25" s="542"/>
      <c r="T25" s="526"/>
      <c r="U25" s="526"/>
      <c r="V25" s="526"/>
      <c r="W25" s="526"/>
      <c r="X25" s="952"/>
      <c r="Y25" s="952"/>
      <c r="Z25" s="952"/>
      <c r="AD25" s="1935" t="s">
        <v>853</v>
      </c>
      <c r="AE25" s="952"/>
      <c r="AF25" s="952"/>
      <c r="AG25" s="952"/>
      <c r="AH25" s="952"/>
      <c r="AI25" s="952"/>
      <c r="AJ25" s="952"/>
      <c r="AK25" s="952"/>
      <c r="AL25" s="952"/>
      <c r="AM25" s="952"/>
      <c r="AN25" s="952"/>
      <c r="AO25" s="952"/>
      <c r="AP25" s="952"/>
    </row>
    <row r="26" spans="1:44" ht="17.45" customHeight="1" x14ac:dyDescent="0.2">
      <c r="A26" s="945"/>
      <c r="B26" s="1764" t="s">
        <v>843</v>
      </c>
      <c r="C26" s="1933"/>
      <c r="D26" s="2346"/>
      <c r="E26" s="1945" t="s">
        <v>76</v>
      </c>
      <c r="F26" s="558"/>
      <c r="G26" s="2365" t="s">
        <v>931</v>
      </c>
      <c r="H26" s="1952" t="s">
        <v>768</v>
      </c>
      <c r="I26" s="2357">
        <v>0.7</v>
      </c>
      <c r="J26" s="1926">
        <v>1</v>
      </c>
      <c r="K26" s="3587">
        <v>1.5</v>
      </c>
      <c r="L26" s="4267"/>
      <c r="M26" s="1972" t="s">
        <v>274</v>
      </c>
      <c r="N26" s="1954" t="s">
        <v>266</v>
      </c>
      <c r="O26" s="1957" t="s">
        <v>266</v>
      </c>
      <c r="Q26" s="4016" t="s">
        <v>1856</v>
      </c>
      <c r="S26" s="530"/>
      <c r="T26" s="526"/>
      <c r="U26" s="526"/>
      <c r="V26" s="526"/>
      <c r="W26" s="526"/>
      <c r="X26" s="952"/>
      <c r="Y26" s="952"/>
      <c r="Z26" s="952"/>
      <c r="AD26" s="1933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</row>
    <row r="27" spans="1:44" s="527" customFormat="1" ht="18" customHeight="1" x14ac:dyDescent="0.2">
      <c r="B27" s="1760">
        <v>1</v>
      </c>
      <c r="C27" s="2351" t="s">
        <v>1689</v>
      </c>
      <c r="D27" s="2347" t="s">
        <v>13</v>
      </c>
      <c r="E27" s="2353">
        <v>12</v>
      </c>
      <c r="F27" s="1941"/>
      <c r="G27" s="2366">
        <v>2</v>
      </c>
      <c r="H27" s="2362" t="str">
        <f>IF(G27=0,0,VLOOKUP(Arbeitsgänge!G27,$B$14:$O$21,3))</f>
        <v>120 Kw</v>
      </c>
      <c r="I27" s="2358"/>
      <c r="J27" s="1938"/>
      <c r="K27" s="1939" t="s">
        <v>45</v>
      </c>
      <c r="L27" s="1925">
        <f>IF(J27="x",VLOOKUP(G27,$B$14:$N$21,11,FALSE),IF(I27="x",VLOOKUP(G27,$B$14:$N$21,9,FALSE),IF(K27="x",VLOOKUP(G27,$B$14:$N$21,13,FALSE),0)))</f>
        <v>44.577435294117649</v>
      </c>
      <c r="M27" s="1924">
        <v>1.45</v>
      </c>
      <c r="N27" s="1928">
        <f t="shared" ref="N27:N60" si="3">L27*M27+E27</f>
        <v>76.637281176470594</v>
      </c>
      <c r="O27" s="1929">
        <f>(100+$F$5)*0.01*N27</f>
        <v>91.198364600000005</v>
      </c>
      <c r="P27" s="542"/>
      <c r="Q27" s="608" t="s">
        <v>1690</v>
      </c>
      <c r="R27" s="526"/>
      <c r="S27" s="526"/>
      <c r="T27" s="526"/>
      <c r="AA27" s="1931">
        <f>IF(I27="x",1,0)</f>
        <v>0</v>
      </c>
      <c r="AB27" s="1931">
        <f>IF(J27="x",1,0)</f>
        <v>0</v>
      </c>
      <c r="AC27" s="1931">
        <f>IF(K27="x",1,0)</f>
        <v>1</v>
      </c>
      <c r="AD27" s="1932">
        <f>SUM(AA27:AC27)</f>
        <v>1</v>
      </c>
    </row>
    <row r="28" spans="1:44" s="956" customFormat="1" ht="18" customHeight="1" x14ac:dyDescent="0.2">
      <c r="B28" s="1760">
        <f>B27+1</f>
        <v>2</v>
      </c>
      <c r="C28" s="2351" t="s">
        <v>765</v>
      </c>
      <c r="D28" s="2347" t="s">
        <v>13</v>
      </c>
      <c r="E28" s="2353">
        <v>5</v>
      </c>
      <c r="F28" s="1941"/>
      <c r="G28" s="2367">
        <v>4</v>
      </c>
      <c r="H28" s="2362" t="str">
        <f>IF(G28=0,0,VLOOKUP(Arbeitsgänge!G28,$B$14:$O$21,3))</f>
        <v>83 Kw</v>
      </c>
      <c r="I28" s="2358"/>
      <c r="J28" s="1938"/>
      <c r="K28" s="1940" t="s">
        <v>45</v>
      </c>
      <c r="L28" s="1925">
        <f t="shared" ref="L28:L79" si="4">IF(J28="x",VLOOKUP(G28,$B$14:$N$21,11,FALSE),IF(I28="x",VLOOKUP(G28,$B$14:$N$21,9,FALSE),IF(K28="x",VLOOKUP(G28,$B$14:$N$21,13,FALSE),0)))</f>
        <v>31.996508739495795</v>
      </c>
      <c r="M28" s="1924">
        <v>0.95</v>
      </c>
      <c r="N28" s="1928">
        <f t="shared" si="3"/>
        <v>35.396683302521005</v>
      </c>
      <c r="O28" s="1929">
        <f t="shared" ref="O28:O79" si="5">(100+$F$5)*0.01*N28</f>
        <v>42.122053129999998</v>
      </c>
      <c r="P28"/>
      <c r="Q28" s="3765" t="s">
        <v>1690</v>
      </c>
      <c r="R28"/>
      <c r="S28"/>
      <c r="T28"/>
      <c r="U28"/>
      <c r="V28"/>
      <c r="W28"/>
      <c r="X28"/>
      <c r="Y28"/>
      <c r="AA28" s="1931">
        <f t="shared" ref="AA28:AA79" si="6">IF(I28="x",1,0)</f>
        <v>0</v>
      </c>
      <c r="AB28" s="1931">
        <f t="shared" ref="AB28:AB79" si="7">IF(J28="x",1,0)</f>
        <v>0</v>
      </c>
      <c r="AC28" s="1931">
        <f t="shared" ref="AC28:AC79" si="8">IF(K28="x",1,0)</f>
        <v>1</v>
      </c>
      <c r="AD28" s="1932">
        <f t="shared" ref="AD28:AD79" si="9">SUM(AA28:AC28)</f>
        <v>1</v>
      </c>
    </row>
    <row r="29" spans="1:44" s="956" customFormat="1" ht="18" customHeight="1" x14ac:dyDescent="0.2">
      <c r="B29" s="1760">
        <f t="shared" ref="B29:B79" si="10">B28+1</f>
        <v>3</v>
      </c>
      <c r="C29" s="2351" t="s">
        <v>140</v>
      </c>
      <c r="D29" s="2347" t="s">
        <v>13</v>
      </c>
      <c r="E29" s="2353">
        <v>7</v>
      </c>
      <c r="F29" s="1941"/>
      <c r="G29" s="2367">
        <v>6</v>
      </c>
      <c r="H29" s="2362" t="str">
        <f>IF(G29=0,0,VLOOKUP(Arbeitsgänge!G29,$B$14:$O$21,3))</f>
        <v>67 Kw</v>
      </c>
      <c r="I29" s="2358"/>
      <c r="J29" s="1938" t="s">
        <v>45</v>
      </c>
      <c r="K29" s="1940"/>
      <c r="L29" s="1925">
        <f t="shared" si="4"/>
        <v>19.900190252100842</v>
      </c>
      <c r="M29" s="1924">
        <v>1.02</v>
      </c>
      <c r="N29" s="1928">
        <f t="shared" si="3"/>
        <v>27.298194057142858</v>
      </c>
      <c r="O29" s="1929">
        <f t="shared" si="5"/>
        <v>32.484850928</v>
      </c>
      <c r="P29"/>
      <c r="Q29" s="3764" t="s">
        <v>1691</v>
      </c>
      <c r="R29"/>
      <c r="S29"/>
      <c r="T29"/>
      <c r="U29"/>
      <c r="V29"/>
      <c r="W29"/>
      <c r="X29"/>
      <c r="Y29"/>
      <c r="AA29" s="1931">
        <f t="shared" si="6"/>
        <v>0</v>
      </c>
      <c r="AB29" s="1931">
        <f t="shared" si="7"/>
        <v>1</v>
      </c>
      <c r="AC29" s="1931">
        <f t="shared" si="8"/>
        <v>0</v>
      </c>
      <c r="AD29" s="1932">
        <f t="shared" si="9"/>
        <v>1</v>
      </c>
    </row>
    <row r="30" spans="1:44" s="956" customFormat="1" ht="18" customHeight="1" x14ac:dyDescent="0.2">
      <c r="B30" s="1760">
        <f t="shared" si="10"/>
        <v>4</v>
      </c>
      <c r="C30" s="2351" t="s">
        <v>1738</v>
      </c>
      <c r="D30" s="2347" t="s">
        <v>13</v>
      </c>
      <c r="E30" s="2353">
        <v>4</v>
      </c>
      <c r="F30" s="1941"/>
      <c r="G30" s="2367">
        <v>6</v>
      </c>
      <c r="H30" s="2362" t="str">
        <f>IF(G30=0,0,VLOOKUP(Arbeitsgänge!G30,$B$14:$O$21,3))</f>
        <v>67 Kw</v>
      </c>
      <c r="I30" s="2358"/>
      <c r="J30" s="1938" t="s">
        <v>45</v>
      </c>
      <c r="K30" s="1940"/>
      <c r="L30" s="1925">
        <f t="shared" si="4"/>
        <v>19.900190252100842</v>
      </c>
      <c r="M30" s="1924">
        <v>0.59</v>
      </c>
      <c r="N30" s="1928">
        <f t="shared" si="3"/>
        <v>15.741112248739496</v>
      </c>
      <c r="O30" s="1929">
        <f t="shared" si="5"/>
        <v>18.731923576</v>
      </c>
      <c r="P30"/>
      <c r="Q30" s="3764" t="s">
        <v>1692</v>
      </c>
      <c r="R30"/>
      <c r="S30"/>
      <c r="T30"/>
      <c r="U30"/>
      <c r="V30"/>
      <c r="W30"/>
      <c r="X30"/>
      <c r="Y30"/>
      <c r="AA30" s="1931">
        <f t="shared" si="6"/>
        <v>0</v>
      </c>
      <c r="AB30" s="1931">
        <f t="shared" si="7"/>
        <v>1</v>
      </c>
      <c r="AC30" s="1931">
        <f t="shared" si="8"/>
        <v>0</v>
      </c>
      <c r="AD30" s="1932">
        <f t="shared" si="9"/>
        <v>1</v>
      </c>
    </row>
    <row r="31" spans="1:44" s="528" customFormat="1" ht="18" customHeight="1" x14ac:dyDescent="0.2">
      <c r="B31" s="1760">
        <f t="shared" si="10"/>
        <v>5</v>
      </c>
      <c r="C31" s="2351" t="s">
        <v>1693</v>
      </c>
      <c r="D31" s="2347" t="s">
        <v>13</v>
      </c>
      <c r="E31" s="2353">
        <v>5.5</v>
      </c>
      <c r="F31" s="1941"/>
      <c r="G31" s="2367">
        <v>3</v>
      </c>
      <c r="H31" s="2362" t="str">
        <f>IF(G31=0,0,VLOOKUP(Arbeitsgänge!G31,$B$14:$O$21,3))</f>
        <v>102 kW</v>
      </c>
      <c r="I31" s="2358"/>
      <c r="J31" s="1938" t="s">
        <v>45</v>
      </c>
      <c r="K31" s="1940"/>
      <c r="L31" s="1925">
        <f t="shared" si="4"/>
        <v>27.94388</v>
      </c>
      <c r="M31" s="1924">
        <v>0.54</v>
      </c>
      <c r="N31" s="1928">
        <f t="shared" si="3"/>
        <v>20.589695200000001</v>
      </c>
      <c r="O31" s="1929">
        <f t="shared" si="5"/>
        <v>24.501737288000001</v>
      </c>
      <c r="P31"/>
      <c r="Q31" s="3764" t="s">
        <v>1694</v>
      </c>
      <c r="R31"/>
      <c r="S31"/>
      <c r="T31"/>
      <c r="U31"/>
      <c r="V31"/>
      <c r="W31"/>
      <c r="X31"/>
      <c r="Y31"/>
      <c r="AA31" s="1931">
        <f t="shared" si="6"/>
        <v>0</v>
      </c>
      <c r="AB31" s="1931">
        <f t="shared" si="7"/>
        <v>1</v>
      </c>
      <c r="AC31" s="1931">
        <f t="shared" si="8"/>
        <v>0</v>
      </c>
      <c r="AD31" s="1932">
        <f t="shared" si="9"/>
        <v>1</v>
      </c>
    </row>
    <row r="32" spans="1:44" s="528" customFormat="1" ht="18" customHeight="1" x14ac:dyDescent="0.2">
      <c r="B32" s="1760">
        <f t="shared" si="10"/>
        <v>6</v>
      </c>
      <c r="C32" s="2351" t="s">
        <v>1695</v>
      </c>
      <c r="D32" s="2347" t="s">
        <v>13</v>
      </c>
      <c r="E32" s="2353">
        <v>1.5</v>
      </c>
      <c r="F32" s="1941"/>
      <c r="G32" s="2367">
        <v>7</v>
      </c>
      <c r="H32" s="2362" t="str">
        <f>IF(G32=0,0,VLOOKUP(Arbeitsgänge!G32,$B$14:$O$21,3))</f>
        <v>54 kW</v>
      </c>
      <c r="I32" s="2358" t="s">
        <v>45</v>
      </c>
      <c r="J32" s="1938"/>
      <c r="K32" s="1940"/>
      <c r="L32" s="1925">
        <f t="shared" si="4"/>
        <v>13.676261411764703</v>
      </c>
      <c r="M32" s="1924">
        <v>0.63</v>
      </c>
      <c r="N32" s="1928">
        <f t="shared" si="3"/>
        <v>10.116044689411762</v>
      </c>
      <c r="O32" s="1929">
        <f t="shared" si="5"/>
        <v>12.038093180399995</v>
      </c>
      <c r="P32"/>
      <c r="Q32" s="3778" t="s">
        <v>1691</v>
      </c>
      <c r="R32"/>
      <c r="S32"/>
      <c r="T32"/>
      <c r="U32"/>
      <c r="V32"/>
      <c r="W32"/>
      <c r="X32"/>
      <c r="Y32"/>
      <c r="AA32" s="1931">
        <f t="shared" si="6"/>
        <v>1</v>
      </c>
      <c r="AB32" s="1931">
        <f t="shared" si="7"/>
        <v>0</v>
      </c>
      <c r="AC32" s="1931">
        <f t="shared" si="8"/>
        <v>0</v>
      </c>
      <c r="AD32" s="1932">
        <f t="shared" si="9"/>
        <v>1</v>
      </c>
    </row>
    <row r="33" spans="2:30" s="528" customFormat="1" ht="18" customHeight="1" x14ac:dyDescent="0.2">
      <c r="B33" s="1965">
        <f t="shared" si="10"/>
        <v>7</v>
      </c>
      <c r="C33" s="2351" t="s">
        <v>141</v>
      </c>
      <c r="D33" s="2347" t="s">
        <v>13</v>
      </c>
      <c r="E33" s="2353">
        <v>9.5</v>
      </c>
      <c r="F33" s="1941"/>
      <c r="G33" s="2367">
        <v>6</v>
      </c>
      <c r="H33" s="2362" t="str">
        <f>IF(G33=0,0,VLOOKUP(Arbeitsgänge!G33,$B$14:$O$21,3))</f>
        <v>67 Kw</v>
      </c>
      <c r="I33" s="2358"/>
      <c r="J33" s="1938"/>
      <c r="K33" s="1940" t="s">
        <v>45</v>
      </c>
      <c r="L33" s="1925">
        <f t="shared" si="4"/>
        <v>26.600285378151259</v>
      </c>
      <c r="M33" s="1924">
        <v>1.06</v>
      </c>
      <c r="N33" s="1928">
        <f t="shared" si="3"/>
        <v>37.696302500840332</v>
      </c>
      <c r="O33" s="1929">
        <f t="shared" si="5"/>
        <v>44.858599975999994</v>
      </c>
      <c r="P33" s="944"/>
      <c r="Q33" s="944" t="s">
        <v>1696</v>
      </c>
      <c r="R33" s="944"/>
      <c r="S33" s="944"/>
      <c r="T33" s="944"/>
      <c r="U33" s="944"/>
      <c r="V33" s="944"/>
      <c r="W33" s="944"/>
      <c r="X33" s="944"/>
      <c r="Y33" s="944"/>
      <c r="AA33" s="1966">
        <f t="shared" si="6"/>
        <v>0</v>
      </c>
      <c r="AB33" s="1966">
        <f t="shared" si="7"/>
        <v>0</v>
      </c>
      <c r="AC33" s="1966">
        <f t="shared" si="8"/>
        <v>1</v>
      </c>
      <c r="AD33" s="1966">
        <f t="shared" si="9"/>
        <v>1</v>
      </c>
    </row>
    <row r="34" spans="2:30" s="528" customFormat="1" ht="18" customHeight="1" x14ac:dyDescent="0.2">
      <c r="B34" s="1760">
        <f t="shared" si="10"/>
        <v>8</v>
      </c>
      <c r="C34" s="2351" t="s">
        <v>418</v>
      </c>
      <c r="D34" s="2347" t="s">
        <v>13</v>
      </c>
      <c r="E34" s="2353">
        <v>14.5</v>
      </c>
      <c r="F34" s="1941"/>
      <c r="G34" s="2367">
        <v>2</v>
      </c>
      <c r="H34" s="2362" t="str">
        <f>IF(G34=0,0,VLOOKUP(Arbeitsgänge!G34,$B$14:$O$21,3))</f>
        <v>120 Kw</v>
      </c>
      <c r="I34" s="2358"/>
      <c r="J34" s="1938"/>
      <c r="K34" s="1940" t="s">
        <v>45</v>
      </c>
      <c r="L34" s="1925">
        <f t="shared" si="4"/>
        <v>44.577435294117649</v>
      </c>
      <c r="M34" s="1924">
        <v>1.17</v>
      </c>
      <c r="N34" s="1928">
        <f t="shared" si="3"/>
        <v>66.65559929411765</v>
      </c>
      <c r="O34" s="1929">
        <f t="shared" si="5"/>
        <v>79.320163159999993</v>
      </c>
      <c r="P34"/>
      <c r="Q34" s="3928" t="s">
        <v>1845</v>
      </c>
      <c r="R34"/>
      <c r="S34"/>
      <c r="T34"/>
      <c r="U34"/>
      <c r="V34"/>
      <c r="W34"/>
      <c r="X34"/>
      <c r="Y34"/>
      <c r="AA34" s="1931">
        <f t="shared" si="6"/>
        <v>0</v>
      </c>
      <c r="AB34" s="1931">
        <f t="shared" si="7"/>
        <v>0</v>
      </c>
      <c r="AC34" s="1931">
        <f t="shared" si="8"/>
        <v>1</v>
      </c>
      <c r="AD34" s="1932">
        <f t="shared" si="9"/>
        <v>1</v>
      </c>
    </row>
    <row r="35" spans="2:30" s="528" customFormat="1" ht="18" customHeight="1" x14ac:dyDescent="0.2">
      <c r="B35" s="1760">
        <f t="shared" si="10"/>
        <v>9</v>
      </c>
      <c r="C35" s="2351" t="s">
        <v>142</v>
      </c>
      <c r="D35" s="2347" t="s">
        <v>13</v>
      </c>
      <c r="E35" s="2353">
        <v>2.5</v>
      </c>
      <c r="F35" s="1941"/>
      <c r="G35" s="2367">
        <v>6</v>
      </c>
      <c r="H35" s="2362" t="str">
        <f>IF(G35=0,0,VLOOKUP(Arbeitsgänge!G35,$B$14:$O$21,3))</f>
        <v>67 Kw</v>
      </c>
      <c r="I35" s="2358" t="s">
        <v>45</v>
      </c>
      <c r="J35" s="1938"/>
      <c r="K35" s="1940"/>
      <c r="L35" s="1925">
        <f t="shared" si="4"/>
        <v>15.880133176470588</v>
      </c>
      <c r="M35" s="1924">
        <v>0.61</v>
      </c>
      <c r="N35" s="1928">
        <f t="shared" si="3"/>
        <v>12.186881237647059</v>
      </c>
      <c r="O35" s="1929">
        <f t="shared" si="5"/>
        <v>14.5023886728</v>
      </c>
      <c r="P35"/>
      <c r="Q35" s="3764" t="s">
        <v>1697</v>
      </c>
      <c r="R35"/>
      <c r="S35"/>
      <c r="T35"/>
      <c r="U35"/>
      <c r="V35"/>
      <c r="W35"/>
      <c r="X35"/>
      <c r="Y35"/>
      <c r="AA35" s="1931">
        <f t="shared" si="6"/>
        <v>1</v>
      </c>
      <c r="AB35" s="1931">
        <f t="shared" si="7"/>
        <v>0</v>
      </c>
      <c r="AC35" s="1931">
        <f t="shared" si="8"/>
        <v>0</v>
      </c>
      <c r="AD35" s="1932">
        <f t="shared" si="9"/>
        <v>1</v>
      </c>
    </row>
    <row r="36" spans="2:30" s="3772" customFormat="1" ht="18" customHeight="1" x14ac:dyDescent="0.2">
      <c r="B36" s="3937">
        <f t="shared" si="10"/>
        <v>10</v>
      </c>
      <c r="C36" s="2351" t="s">
        <v>1849</v>
      </c>
      <c r="D36" s="2347" t="s">
        <v>13</v>
      </c>
      <c r="E36" s="2353">
        <v>8</v>
      </c>
      <c r="F36" s="1941"/>
      <c r="G36" s="2367">
        <v>8</v>
      </c>
      <c r="H36" s="2362" t="str">
        <f>IF(G36=0,0,VLOOKUP(Arbeitsgänge!G36,$B$14:$O$21,3))</f>
        <v>45 kW</v>
      </c>
      <c r="I36" s="2358" t="s">
        <v>45</v>
      </c>
      <c r="J36" s="1938"/>
      <c r="K36" s="1940"/>
      <c r="L36" s="1925">
        <f t="shared" si="4"/>
        <v>11.973680235294117</v>
      </c>
      <c r="M36" s="1924">
        <v>0.55000000000000004</v>
      </c>
      <c r="N36" s="1928">
        <f t="shared" si="3"/>
        <v>14.585524129411764</v>
      </c>
      <c r="O36" s="1929">
        <f>(100+$F$5)*0.01*N36</f>
        <v>17.356773713999999</v>
      </c>
      <c r="P36" s="3936"/>
      <c r="Q36" s="3936" t="s">
        <v>1739</v>
      </c>
      <c r="R36" s="3936"/>
      <c r="S36" s="3936"/>
      <c r="T36" s="3936"/>
      <c r="U36" s="3936"/>
      <c r="V36" s="3936"/>
      <c r="W36" s="3936"/>
      <c r="X36" s="3936"/>
      <c r="Y36" s="3936"/>
      <c r="AA36" s="1931">
        <f t="shared" si="6"/>
        <v>1</v>
      </c>
      <c r="AB36" s="1931">
        <f t="shared" si="7"/>
        <v>0</v>
      </c>
      <c r="AC36" s="1931">
        <f t="shared" si="8"/>
        <v>0</v>
      </c>
      <c r="AD36" s="1931">
        <f t="shared" si="9"/>
        <v>1</v>
      </c>
    </row>
    <row r="37" spans="2:30" s="3772" customFormat="1" ht="18" customHeight="1" x14ac:dyDescent="0.2">
      <c r="B37" s="3937">
        <f t="shared" si="10"/>
        <v>11</v>
      </c>
      <c r="C37" s="2351" t="s">
        <v>849</v>
      </c>
      <c r="D37" s="2347" t="s">
        <v>13</v>
      </c>
      <c r="E37" s="2353">
        <v>8</v>
      </c>
      <c r="F37" s="1941"/>
      <c r="G37" s="2367">
        <v>8</v>
      </c>
      <c r="H37" s="2362" t="str">
        <f>IF(G37=0,0,VLOOKUP(Arbeitsgänge!G37,$B$14:$O$21,3))</f>
        <v>45 kW</v>
      </c>
      <c r="I37" s="2358" t="s">
        <v>45</v>
      </c>
      <c r="J37" s="1938"/>
      <c r="K37" s="1940"/>
      <c r="L37" s="1925">
        <f t="shared" si="4"/>
        <v>11.973680235294117</v>
      </c>
      <c r="M37" s="1924">
        <v>0.6</v>
      </c>
      <c r="N37" s="1928">
        <f t="shared" si="3"/>
        <v>15.18420814117647</v>
      </c>
      <c r="O37" s="1929">
        <f t="shared" si="5"/>
        <v>18.069207687999999</v>
      </c>
      <c r="P37" s="3936"/>
      <c r="Q37" s="3936" t="s">
        <v>1739</v>
      </c>
      <c r="R37" s="3936"/>
      <c r="S37" s="3936"/>
      <c r="T37" s="3936"/>
      <c r="U37" s="3936"/>
      <c r="V37" s="3936"/>
      <c r="W37" s="3936"/>
      <c r="X37" s="3936"/>
      <c r="Y37" s="3936"/>
      <c r="AA37" s="1931">
        <f t="shared" si="6"/>
        <v>1</v>
      </c>
      <c r="AB37" s="1931">
        <f t="shared" si="7"/>
        <v>0</v>
      </c>
      <c r="AC37" s="1931">
        <f t="shared" si="8"/>
        <v>0</v>
      </c>
      <c r="AD37" s="1931">
        <f t="shared" si="9"/>
        <v>1</v>
      </c>
    </row>
    <row r="38" spans="2:30" s="528" customFormat="1" ht="18" customHeight="1" x14ac:dyDescent="0.2">
      <c r="B38" s="1760">
        <f t="shared" si="10"/>
        <v>12</v>
      </c>
      <c r="C38" s="2351" t="s">
        <v>1014</v>
      </c>
      <c r="D38" s="2347" t="s">
        <v>13</v>
      </c>
      <c r="E38" s="2353">
        <v>12</v>
      </c>
      <c r="F38" s="1941"/>
      <c r="G38" s="2367">
        <v>6</v>
      </c>
      <c r="H38" s="2362" t="str">
        <f>IF(G38=0,0,VLOOKUP(Arbeitsgänge!G38,$B$14:$O$21,3))</f>
        <v>67 Kw</v>
      </c>
      <c r="I38" s="2358"/>
      <c r="J38" s="1938" t="s">
        <v>45</v>
      </c>
      <c r="K38" s="1940"/>
      <c r="L38" s="1925">
        <f t="shared" si="4"/>
        <v>19.900190252100842</v>
      </c>
      <c r="M38" s="1924">
        <v>0.74</v>
      </c>
      <c r="N38" s="1928">
        <f t="shared" si="3"/>
        <v>26.726140786554623</v>
      </c>
      <c r="O38" s="1929">
        <f t="shared" si="5"/>
        <v>31.804107536</v>
      </c>
      <c r="P38"/>
      <c r="Q38" s="3936" t="s">
        <v>1846</v>
      </c>
      <c r="R38"/>
      <c r="S38"/>
      <c r="T38"/>
      <c r="U38"/>
      <c r="V38"/>
      <c r="W38"/>
      <c r="X38"/>
      <c r="Y38"/>
      <c r="AA38" s="1931">
        <f t="shared" si="6"/>
        <v>0</v>
      </c>
      <c r="AB38" s="1931">
        <f t="shared" si="7"/>
        <v>1</v>
      </c>
      <c r="AC38" s="1931">
        <f t="shared" si="8"/>
        <v>0</v>
      </c>
      <c r="AD38" s="1932">
        <f t="shared" si="9"/>
        <v>1</v>
      </c>
    </row>
    <row r="39" spans="2:30" s="528" customFormat="1" ht="18" customHeight="1" x14ac:dyDescent="0.2">
      <c r="B39" s="1760">
        <f t="shared" si="10"/>
        <v>13</v>
      </c>
      <c r="C39" s="2351" t="s">
        <v>1698</v>
      </c>
      <c r="D39" s="2347" t="s">
        <v>13</v>
      </c>
      <c r="E39" s="2353">
        <v>2</v>
      </c>
      <c r="F39" s="1941"/>
      <c r="G39" s="2367">
        <v>6</v>
      </c>
      <c r="H39" s="2362" t="str">
        <f>IF(G39=0,0,VLOOKUP(Arbeitsgänge!G39,$B$14:$O$21,3))</f>
        <v>67 Kw</v>
      </c>
      <c r="I39" s="2358" t="s">
        <v>45</v>
      </c>
      <c r="J39" s="1938"/>
      <c r="K39" s="1940"/>
      <c r="L39" s="1925">
        <f t="shared" si="4"/>
        <v>15.880133176470588</v>
      </c>
      <c r="M39" s="1924">
        <v>0.27</v>
      </c>
      <c r="N39" s="1928">
        <f t="shared" si="3"/>
        <v>6.2876359576470593</v>
      </c>
      <c r="O39" s="1929">
        <f t="shared" si="5"/>
        <v>7.4822867895999998</v>
      </c>
      <c r="P39"/>
      <c r="Q39" s="3778" t="s">
        <v>1741</v>
      </c>
      <c r="R39"/>
      <c r="S39"/>
      <c r="T39"/>
      <c r="U39"/>
      <c r="V39"/>
      <c r="W39"/>
      <c r="X39"/>
      <c r="Y39"/>
      <c r="AA39" s="1931">
        <f t="shared" si="6"/>
        <v>1</v>
      </c>
      <c r="AB39" s="1931">
        <f t="shared" si="7"/>
        <v>0</v>
      </c>
      <c r="AC39" s="1931">
        <f t="shared" si="8"/>
        <v>0</v>
      </c>
      <c r="AD39" s="1932">
        <f t="shared" si="9"/>
        <v>1</v>
      </c>
    </row>
    <row r="40" spans="2:30" s="528" customFormat="1" ht="18" customHeight="1" x14ac:dyDescent="0.2">
      <c r="B40" s="1760">
        <f t="shared" si="10"/>
        <v>14</v>
      </c>
      <c r="C40" s="2351" t="s">
        <v>933</v>
      </c>
      <c r="D40" s="2347" t="s">
        <v>13</v>
      </c>
      <c r="E40" s="2353">
        <v>3</v>
      </c>
      <c r="F40" s="1941"/>
      <c r="G40" s="2367">
        <v>7</v>
      </c>
      <c r="H40" s="2362" t="str">
        <f>IF(G40=0,0,VLOOKUP(Arbeitsgänge!G40,$B$14:$O$21,3))</f>
        <v>54 kW</v>
      </c>
      <c r="I40" s="2358" t="s">
        <v>45</v>
      </c>
      <c r="J40" s="1938"/>
      <c r="K40" s="1940"/>
      <c r="L40" s="1925">
        <f t="shared" si="4"/>
        <v>13.676261411764703</v>
      </c>
      <c r="M40" s="1924">
        <v>0.64</v>
      </c>
      <c r="N40" s="1928">
        <f t="shared" si="3"/>
        <v>11.75280730352941</v>
      </c>
      <c r="O40" s="1929">
        <f t="shared" si="5"/>
        <v>13.985840691199998</v>
      </c>
      <c r="P40"/>
      <c r="Q40" s="3778" t="s">
        <v>1740</v>
      </c>
      <c r="R40"/>
      <c r="S40"/>
      <c r="T40"/>
      <c r="U40"/>
      <c r="V40"/>
      <c r="W40"/>
      <c r="X40"/>
      <c r="Y40"/>
      <c r="AA40" s="1931">
        <f t="shared" si="6"/>
        <v>1</v>
      </c>
      <c r="AB40" s="1931">
        <f t="shared" si="7"/>
        <v>0</v>
      </c>
      <c r="AC40" s="1931">
        <f t="shared" si="8"/>
        <v>0</v>
      </c>
      <c r="AD40" s="1932">
        <f t="shared" si="9"/>
        <v>1</v>
      </c>
    </row>
    <row r="41" spans="2:30" s="3772" customFormat="1" ht="18" customHeight="1" x14ac:dyDescent="0.2">
      <c r="B41" s="3937">
        <f t="shared" si="10"/>
        <v>15</v>
      </c>
      <c r="C41" s="2351" t="s">
        <v>1700</v>
      </c>
      <c r="D41" s="2347" t="s">
        <v>13</v>
      </c>
      <c r="E41" s="2353">
        <v>0.15</v>
      </c>
      <c r="F41" s="1941"/>
      <c r="G41" s="2367">
        <v>8</v>
      </c>
      <c r="H41" s="2362" t="str">
        <f>IF(G41=0,0,VLOOKUP(Arbeitsgänge!G41,$B$14:$O$21,3))</f>
        <v>45 kW</v>
      </c>
      <c r="I41" s="2358" t="s">
        <v>45</v>
      </c>
      <c r="J41" s="1938"/>
      <c r="K41" s="1940"/>
      <c r="L41" s="1925">
        <f t="shared" si="4"/>
        <v>11.973680235294117</v>
      </c>
      <c r="M41" s="1924">
        <v>0.37</v>
      </c>
      <c r="N41" s="1928">
        <f t="shared" si="3"/>
        <v>4.5802616870588233</v>
      </c>
      <c r="O41" s="1929">
        <f>(100+$F$5)*0.01*N41</f>
        <v>5.4505114075999996</v>
      </c>
      <c r="P41" s="3936"/>
      <c r="Q41" s="3936" t="s">
        <v>1699</v>
      </c>
      <c r="R41" s="3936"/>
      <c r="S41" s="3936"/>
      <c r="T41" s="3936"/>
      <c r="U41" s="3936"/>
      <c r="V41" s="3936"/>
      <c r="W41" s="3936"/>
      <c r="X41" s="3936"/>
      <c r="Y41" s="3936"/>
      <c r="AA41" s="1931">
        <f t="shared" si="6"/>
        <v>1</v>
      </c>
      <c r="AB41" s="1931">
        <f t="shared" si="7"/>
        <v>0</v>
      </c>
      <c r="AC41" s="1931">
        <f t="shared" si="8"/>
        <v>0</v>
      </c>
      <c r="AD41" s="1931">
        <f t="shared" si="9"/>
        <v>1</v>
      </c>
    </row>
    <row r="42" spans="2:30" s="528" customFormat="1" ht="18" customHeight="1" x14ac:dyDescent="0.2">
      <c r="B42" s="3937">
        <f t="shared" si="10"/>
        <v>16</v>
      </c>
      <c r="C42" s="2351" t="s">
        <v>1701</v>
      </c>
      <c r="D42" s="2347" t="s">
        <v>13</v>
      </c>
      <c r="E42" s="2353">
        <f>0.25+0.5</f>
        <v>0.75</v>
      </c>
      <c r="F42" s="1941"/>
      <c r="G42" s="2367">
        <v>7</v>
      </c>
      <c r="H42" s="2362" t="str">
        <f>IF(G42=0,0,VLOOKUP(Arbeitsgänge!G42,$B$14:$O$21,3))</f>
        <v>54 kW</v>
      </c>
      <c r="I42" s="2358" t="s">
        <v>45</v>
      </c>
      <c r="J42" s="1938"/>
      <c r="K42" s="1940"/>
      <c r="L42" s="1925">
        <f t="shared" si="4"/>
        <v>13.676261411764703</v>
      </c>
      <c r="M42" s="1924">
        <v>0.22</v>
      </c>
      <c r="N42" s="1928">
        <f t="shared" si="3"/>
        <v>3.7587775105882346</v>
      </c>
      <c r="O42" s="1929">
        <f t="shared" si="5"/>
        <v>4.4729452375999994</v>
      </c>
      <c r="P42"/>
      <c r="Q42" s="3778" t="s">
        <v>1742</v>
      </c>
      <c r="R42"/>
      <c r="S42"/>
      <c r="T42"/>
      <c r="U42"/>
      <c r="V42"/>
      <c r="W42"/>
      <c r="X42"/>
      <c r="Y42"/>
      <c r="AA42" s="1931">
        <f t="shared" si="6"/>
        <v>1</v>
      </c>
      <c r="AB42" s="1931">
        <f t="shared" si="7"/>
        <v>0</v>
      </c>
      <c r="AC42" s="1931">
        <f t="shared" si="8"/>
        <v>0</v>
      </c>
      <c r="AD42" s="1932">
        <f t="shared" si="9"/>
        <v>1</v>
      </c>
    </row>
    <row r="43" spans="2:30" s="528" customFormat="1" ht="18" customHeight="1" x14ac:dyDescent="0.2">
      <c r="B43" s="3937">
        <f t="shared" si="10"/>
        <v>17</v>
      </c>
      <c r="C43" s="2351" t="s">
        <v>143</v>
      </c>
      <c r="D43" s="2347" t="s">
        <v>13</v>
      </c>
      <c r="E43" s="2353">
        <v>2.9</v>
      </c>
      <c r="F43" s="1941"/>
      <c r="G43" s="2367">
        <v>4</v>
      </c>
      <c r="H43" s="2362" t="str">
        <f>IF(G43=0,0,VLOOKUP(Arbeitsgänge!G43,$B$14:$O$21,3))</f>
        <v>83 Kw</v>
      </c>
      <c r="I43" s="2358" t="s">
        <v>45</v>
      </c>
      <c r="J43" s="1938"/>
      <c r="K43" s="1940"/>
      <c r="L43" s="1925">
        <f t="shared" si="4"/>
        <v>18.665037411764704</v>
      </c>
      <c r="M43" s="1924">
        <v>1.19</v>
      </c>
      <c r="N43" s="1928">
        <f t="shared" si="3"/>
        <v>25.111394519999994</v>
      </c>
      <c r="O43" s="1929">
        <f t="shared" si="5"/>
        <v>29.88255947879999</v>
      </c>
      <c r="P43"/>
      <c r="Q43" s="3764" t="s">
        <v>1702</v>
      </c>
      <c r="R43"/>
      <c r="S43"/>
      <c r="T43"/>
      <c r="U43"/>
      <c r="V43"/>
      <c r="W43"/>
      <c r="X43"/>
      <c r="Y43"/>
      <c r="AA43" s="1931">
        <f t="shared" si="6"/>
        <v>1</v>
      </c>
      <c r="AB43" s="1931">
        <f t="shared" si="7"/>
        <v>0</v>
      </c>
      <c r="AC43" s="1931">
        <f t="shared" si="8"/>
        <v>0</v>
      </c>
      <c r="AD43" s="1932">
        <f t="shared" si="9"/>
        <v>1</v>
      </c>
    </row>
    <row r="44" spans="2:30" s="528" customFormat="1" ht="18" customHeight="1" x14ac:dyDescent="0.2">
      <c r="B44" s="3937">
        <f t="shared" si="10"/>
        <v>18</v>
      </c>
      <c r="C44" s="2351" t="s">
        <v>1743</v>
      </c>
      <c r="D44" s="2347" t="s">
        <v>13</v>
      </c>
      <c r="E44" s="2353">
        <f>6*0.2</f>
        <v>1.2000000000000002</v>
      </c>
      <c r="F44" s="1941"/>
      <c r="G44" s="2367">
        <v>8</v>
      </c>
      <c r="H44" s="2362" t="str">
        <f>IF(G44=0,0,VLOOKUP(Arbeitsgänge!G44,$B$14:$O$21,3))</f>
        <v>45 kW</v>
      </c>
      <c r="I44" s="2358" t="s">
        <v>45</v>
      </c>
      <c r="J44" s="1938"/>
      <c r="K44" s="1940"/>
      <c r="L44" s="1925">
        <f t="shared" si="4"/>
        <v>11.973680235294117</v>
      </c>
      <c r="M44" s="1924">
        <v>0.56000000000000005</v>
      </c>
      <c r="N44" s="1928">
        <f t="shared" si="3"/>
        <v>7.9052609317647065</v>
      </c>
      <c r="O44" s="1929">
        <f t="shared" si="5"/>
        <v>9.4072605088000003</v>
      </c>
      <c r="P44" s="944"/>
      <c r="Q44" s="3778" t="s">
        <v>1746</v>
      </c>
      <c r="R44" s="944"/>
      <c r="S44" s="944"/>
      <c r="T44" s="944"/>
      <c r="U44" s="944"/>
      <c r="V44" s="944"/>
      <c r="W44" s="944"/>
      <c r="X44" s="944"/>
      <c r="Y44" s="944"/>
      <c r="AA44" s="2640">
        <f t="shared" si="6"/>
        <v>1</v>
      </c>
      <c r="AB44" s="2640">
        <f t="shared" si="7"/>
        <v>0</v>
      </c>
      <c r="AC44" s="2640">
        <f t="shared" si="8"/>
        <v>0</v>
      </c>
      <c r="AD44" s="2641">
        <f t="shared" si="9"/>
        <v>1</v>
      </c>
    </row>
    <row r="45" spans="2:30" s="528" customFormat="1" ht="18" customHeight="1" x14ac:dyDescent="0.2">
      <c r="B45" s="3937">
        <f t="shared" si="10"/>
        <v>19</v>
      </c>
      <c r="C45" s="2351" t="s">
        <v>1744</v>
      </c>
      <c r="D45" s="2347" t="s">
        <v>13</v>
      </c>
      <c r="E45" s="2353">
        <f>6*0.2</f>
        <v>1.2000000000000002</v>
      </c>
      <c r="F45" s="1941"/>
      <c r="G45" s="2367">
        <v>6</v>
      </c>
      <c r="H45" s="2362" t="str">
        <f>IF(G45=0,0,VLOOKUP(Arbeitsgänge!G45,$B$14:$O$21,3))</f>
        <v>67 Kw</v>
      </c>
      <c r="I45" s="2358" t="s">
        <v>45</v>
      </c>
      <c r="J45" s="1938"/>
      <c r="K45" s="1940"/>
      <c r="L45" s="1925">
        <f t="shared" si="4"/>
        <v>15.880133176470588</v>
      </c>
      <c r="M45" s="1924">
        <v>0.3</v>
      </c>
      <c r="N45" s="1928">
        <f t="shared" si="3"/>
        <v>5.9640399529411763</v>
      </c>
      <c r="O45" s="1929">
        <f>(100+$F$5)*0.01*N45</f>
        <v>7.0972075439999998</v>
      </c>
      <c r="P45" s="944"/>
      <c r="Q45" s="3778" t="s">
        <v>1745</v>
      </c>
      <c r="R45"/>
      <c r="S45"/>
      <c r="T45"/>
      <c r="U45"/>
      <c r="V45"/>
      <c r="W45"/>
      <c r="X45"/>
      <c r="Y45"/>
      <c r="AA45" s="1931">
        <f t="shared" si="6"/>
        <v>1</v>
      </c>
      <c r="AB45" s="1931">
        <f t="shared" si="7"/>
        <v>0</v>
      </c>
      <c r="AC45" s="1931">
        <f t="shared" si="8"/>
        <v>0</v>
      </c>
      <c r="AD45" s="1932">
        <f t="shared" si="9"/>
        <v>1</v>
      </c>
    </row>
    <row r="46" spans="2:30" s="528" customFormat="1" ht="18" customHeight="1" x14ac:dyDescent="0.2">
      <c r="B46" s="3937">
        <f t="shared" si="10"/>
        <v>20</v>
      </c>
      <c r="C46" s="2351" t="s">
        <v>1872</v>
      </c>
      <c r="D46" s="2347"/>
      <c r="E46" s="2353">
        <f>0.3*20+0.05*20</f>
        <v>7</v>
      </c>
      <c r="F46" s="1941"/>
      <c r="G46" s="2367">
        <v>3</v>
      </c>
      <c r="H46" s="2362" t="str">
        <f>IF(G46=0,0,VLOOKUP(Arbeitsgänge!G46,$B$14:$O$21,3))</f>
        <v>102 kW</v>
      </c>
      <c r="I46" s="2358" t="s">
        <v>45</v>
      </c>
      <c r="J46" s="1938"/>
      <c r="K46" s="1940"/>
      <c r="L46" s="1925">
        <f t="shared" si="4"/>
        <v>21.810715999999999</v>
      </c>
      <c r="M46" s="1924">
        <v>0.86</v>
      </c>
      <c r="N46" s="1928">
        <f t="shared" si="3"/>
        <v>25.757215759999998</v>
      </c>
      <c r="O46" s="1929">
        <f t="shared" si="5"/>
        <v>30.651086754399994</v>
      </c>
      <c r="P46" s="944"/>
      <c r="Q46"/>
      <c r="R46"/>
      <c r="S46"/>
      <c r="T46"/>
      <c r="U46"/>
      <c r="V46"/>
      <c r="W46"/>
      <c r="X46"/>
      <c r="Y46"/>
      <c r="AA46" s="1931">
        <f t="shared" si="6"/>
        <v>1</v>
      </c>
      <c r="AB46" s="1931">
        <f t="shared" si="7"/>
        <v>0</v>
      </c>
      <c r="AC46" s="1931">
        <f t="shared" si="8"/>
        <v>0</v>
      </c>
      <c r="AD46" s="1932">
        <f t="shared" si="9"/>
        <v>1</v>
      </c>
    </row>
    <row r="47" spans="2:30" s="79" customFormat="1" ht="18" customHeight="1" x14ac:dyDescent="0.2">
      <c r="B47" s="3937">
        <f t="shared" si="10"/>
        <v>21</v>
      </c>
      <c r="C47" s="2351" t="s">
        <v>1871</v>
      </c>
      <c r="D47" s="2347">
        <v>0</v>
      </c>
      <c r="E47" s="2353">
        <f>0.3*20+0.05*20</f>
        <v>7</v>
      </c>
      <c r="F47" s="1941"/>
      <c r="G47" s="2367">
        <v>4</v>
      </c>
      <c r="H47" s="2362" t="str">
        <f>IF(G47=0,0,VLOOKUP(Arbeitsgänge!G47,$B$14:$O$21,3))</f>
        <v>83 Kw</v>
      </c>
      <c r="I47" s="2358" t="s">
        <v>45</v>
      </c>
      <c r="J47" s="1938"/>
      <c r="K47" s="1940"/>
      <c r="L47" s="1925">
        <f t="shared" si="4"/>
        <v>18.665037411764704</v>
      </c>
      <c r="M47" s="1924">
        <v>1.1399999999999999</v>
      </c>
      <c r="N47" s="1928">
        <f t="shared" si="3"/>
        <v>28.278142649411762</v>
      </c>
      <c r="O47" s="1929">
        <f t="shared" si="5"/>
        <v>33.650989752799994</v>
      </c>
      <c r="Q47" s="4062" t="s">
        <v>1857</v>
      </c>
      <c r="R47"/>
      <c r="S47"/>
      <c r="T47"/>
      <c r="U47"/>
      <c r="V47"/>
      <c r="W47"/>
      <c r="X47"/>
      <c r="Y47"/>
      <c r="AA47" s="1931">
        <f t="shared" si="6"/>
        <v>1</v>
      </c>
      <c r="AB47" s="1931">
        <f t="shared" si="7"/>
        <v>0</v>
      </c>
      <c r="AC47" s="1931">
        <f t="shared" si="8"/>
        <v>0</v>
      </c>
      <c r="AD47" s="1932">
        <f t="shared" si="9"/>
        <v>1</v>
      </c>
    </row>
    <row r="48" spans="2:30" s="528" customFormat="1" ht="18" customHeight="1" x14ac:dyDescent="0.2">
      <c r="B48" s="3937">
        <f t="shared" si="10"/>
        <v>22</v>
      </c>
      <c r="C48" s="2351" t="s">
        <v>1703</v>
      </c>
      <c r="D48" s="2347" t="s">
        <v>13</v>
      </c>
      <c r="E48" s="2353">
        <f>50*0.2</f>
        <v>10</v>
      </c>
      <c r="F48" s="1941"/>
      <c r="G48" s="2367">
        <v>6</v>
      </c>
      <c r="H48" s="2362" t="str">
        <f>IF(G48=0,0,VLOOKUP(Arbeitsgänge!G48,$B$14:$O$21,3))</f>
        <v>67 Kw</v>
      </c>
      <c r="I48" s="2358" t="s">
        <v>45</v>
      </c>
      <c r="J48" s="1938"/>
      <c r="K48" s="1940"/>
      <c r="L48" s="1925">
        <f t="shared" si="4"/>
        <v>15.880133176470588</v>
      </c>
      <c r="M48" s="1924">
        <v>7.88</v>
      </c>
      <c r="N48" s="1928">
        <f t="shared" si="3"/>
        <v>135.13544943058824</v>
      </c>
      <c r="O48" s="1929">
        <f t="shared" si="5"/>
        <v>160.81118482240001</v>
      </c>
      <c r="Q48" s="3936" t="s">
        <v>1851</v>
      </c>
      <c r="R48"/>
      <c r="S48"/>
      <c r="T48"/>
      <c r="U48"/>
      <c r="V48"/>
      <c r="W48"/>
      <c r="X48"/>
      <c r="Y48"/>
      <c r="AA48" s="1931">
        <f t="shared" si="6"/>
        <v>1</v>
      </c>
      <c r="AB48" s="1931">
        <f t="shared" si="7"/>
        <v>0</v>
      </c>
      <c r="AC48" s="1931">
        <f t="shared" si="8"/>
        <v>0</v>
      </c>
      <c r="AD48" s="1932">
        <f t="shared" si="9"/>
        <v>1</v>
      </c>
    </row>
    <row r="49" spans="2:30" s="528" customFormat="1" ht="18" customHeight="1" x14ac:dyDescent="0.2">
      <c r="B49" s="3937">
        <f t="shared" si="10"/>
        <v>23</v>
      </c>
      <c r="C49" s="2351" t="s">
        <v>424</v>
      </c>
      <c r="D49" s="2347" t="s">
        <v>13</v>
      </c>
      <c r="E49" s="2353">
        <v>0</v>
      </c>
      <c r="F49" s="1941"/>
      <c r="G49" s="2367">
        <v>3</v>
      </c>
      <c r="H49" s="2362" t="str">
        <f>IF(G49=0,0,VLOOKUP(Arbeitsgänge!G49,$B$14:$O$21,3))</f>
        <v>102 kW</v>
      </c>
      <c r="I49" s="2358" t="s">
        <v>45</v>
      </c>
      <c r="J49" s="1938"/>
      <c r="K49" s="1940"/>
      <c r="L49" s="1925">
        <f t="shared" si="4"/>
        <v>21.810715999999999</v>
      </c>
      <c r="M49" s="1924">
        <v>2.13</v>
      </c>
      <c r="N49" s="1928">
        <f t="shared" si="3"/>
        <v>46.456825079999994</v>
      </c>
      <c r="O49" s="1929">
        <f t="shared" si="5"/>
        <v>55.283621845199988</v>
      </c>
      <c r="Q49" t="s">
        <v>92</v>
      </c>
      <c r="R49"/>
      <c r="S49"/>
      <c r="T49"/>
      <c r="U49"/>
      <c r="V49"/>
      <c r="W49"/>
      <c r="X49"/>
      <c r="Y49"/>
      <c r="AA49" s="1931">
        <f t="shared" si="6"/>
        <v>1</v>
      </c>
      <c r="AB49" s="1931">
        <f t="shared" si="7"/>
        <v>0</v>
      </c>
      <c r="AC49" s="1931">
        <f t="shared" si="8"/>
        <v>0</v>
      </c>
      <c r="AD49" s="1932">
        <f t="shared" si="9"/>
        <v>1</v>
      </c>
    </row>
    <row r="50" spans="2:30" s="528" customFormat="1" ht="18" customHeight="1" x14ac:dyDescent="0.2">
      <c r="B50" s="3937">
        <f t="shared" si="10"/>
        <v>24</v>
      </c>
      <c r="C50" s="2351" t="s">
        <v>332</v>
      </c>
      <c r="D50" s="2347" t="s">
        <v>13</v>
      </c>
      <c r="E50" s="2353">
        <f>7.7*0.2</f>
        <v>1.54</v>
      </c>
      <c r="F50" s="1941"/>
      <c r="G50" s="2367">
        <v>3</v>
      </c>
      <c r="H50" s="2362" t="str">
        <f>IF(G50=0,0,VLOOKUP(Arbeitsgänge!G50,$B$14:$O$21,3))</f>
        <v>102 kW</v>
      </c>
      <c r="I50" s="2358"/>
      <c r="J50" s="1938" t="s">
        <v>45</v>
      </c>
      <c r="K50" s="1940"/>
      <c r="L50" s="1925">
        <f t="shared" si="4"/>
        <v>27.94388</v>
      </c>
      <c r="M50" s="1924">
        <v>0.66</v>
      </c>
      <c r="N50" s="1928">
        <f t="shared" si="3"/>
        <v>19.982960800000001</v>
      </c>
      <c r="O50" s="1929">
        <f>(100+$F$5)*0.01*N50</f>
        <v>23.779723352000001</v>
      </c>
      <c r="Q50" s="3936" t="s">
        <v>1850</v>
      </c>
      <c r="R50"/>
      <c r="S50"/>
      <c r="T50"/>
      <c r="U50"/>
      <c r="V50"/>
      <c r="W50"/>
      <c r="X50"/>
      <c r="Y50"/>
      <c r="AA50" s="1931">
        <f t="shared" si="6"/>
        <v>0</v>
      </c>
      <c r="AB50" s="1931">
        <f t="shared" si="7"/>
        <v>1</v>
      </c>
      <c r="AC50" s="1931">
        <f t="shared" si="8"/>
        <v>0</v>
      </c>
      <c r="AD50" s="1932">
        <f t="shared" si="9"/>
        <v>1</v>
      </c>
    </row>
    <row r="51" spans="2:30" s="528" customFormat="1" ht="18" customHeight="1" x14ac:dyDescent="0.2">
      <c r="B51" s="3937">
        <f t="shared" si="10"/>
        <v>25</v>
      </c>
      <c r="C51" s="2351" t="s">
        <v>559</v>
      </c>
      <c r="D51" s="2347" t="s">
        <v>13</v>
      </c>
      <c r="E51" s="2353">
        <v>0.2</v>
      </c>
      <c r="F51" s="1941"/>
      <c r="G51" s="2367">
        <v>8</v>
      </c>
      <c r="H51" s="2362" t="str">
        <f>IF(G51=0,0,VLOOKUP(Arbeitsgänge!G51,$B$14:$O$21,3))</f>
        <v>45 kW</v>
      </c>
      <c r="I51" s="2358" t="s">
        <v>45</v>
      </c>
      <c r="J51" s="1938"/>
      <c r="K51" s="1940"/>
      <c r="L51" s="1925">
        <f t="shared" si="4"/>
        <v>11.973680235294117</v>
      </c>
      <c r="M51" s="1924">
        <v>0.82</v>
      </c>
      <c r="N51" s="1928">
        <f t="shared" si="3"/>
        <v>10.018417792941174</v>
      </c>
      <c r="O51" s="1929">
        <f t="shared" si="5"/>
        <v>11.921917173599995</v>
      </c>
      <c r="Q51" s="3936" t="s">
        <v>1852</v>
      </c>
      <c r="R51"/>
      <c r="S51"/>
      <c r="T51"/>
      <c r="U51"/>
      <c r="V51"/>
      <c r="W51"/>
      <c r="X51"/>
      <c r="Y51"/>
      <c r="AA51" s="1931">
        <f t="shared" si="6"/>
        <v>1</v>
      </c>
      <c r="AB51" s="1931">
        <f t="shared" si="7"/>
        <v>0</v>
      </c>
      <c r="AC51" s="1931">
        <f t="shared" si="8"/>
        <v>0</v>
      </c>
      <c r="AD51" s="1932">
        <f t="shared" si="9"/>
        <v>1</v>
      </c>
    </row>
    <row r="52" spans="2:30" s="528" customFormat="1" ht="18" customHeight="1" x14ac:dyDescent="0.2">
      <c r="B52" s="3937">
        <f t="shared" si="10"/>
        <v>26</v>
      </c>
      <c r="C52" s="2351" t="s">
        <v>750</v>
      </c>
      <c r="D52" s="2347" t="s">
        <v>13</v>
      </c>
      <c r="E52" s="2353">
        <v>2.2000000000000002</v>
      </c>
      <c r="F52" s="1941"/>
      <c r="G52" s="2367">
        <v>8</v>
      </c>
      <c r="H52" s="2362" t="str">
        <f>IF(G52=0,0,VLOOKUP(Arbeitsgänge!G52,$B$14:$O$21,3))</f>
        <v>45 kW</v>
      </c>
      <c r="I52" s="2358" t="s">
        <v>45</v>
      </c>
      <c r="J52" s="1938"/>
      <c r="K52" s="1940"/>
      <c r="L52" s="1925">
        <f t="shared" si="4"/>
        <v>11.973680235294117</v>
      </c>
      <c r="M52" s="1924">
        <v>0.48</v>
      </c>
      <c r="N52" s="1928">
        <f t="shared" si="3"/>
        <v>7.9473665129411755</v>
      </c>
      <c r="O52" s="1929">
        <f t="shared" si="5"/>
        <v>9.4573661503999986</v>
      </c>
      <c r="P52"/>
      <c r="Q52" s="3936" t="s">
        <v>1853</v>
      </c>
      <c r="R52"/>
      <c r="S52"/>
      <c r="T52"/>
      <c r="U52"/>
      <c r="V52"/>
      <c r="W52"/>
      <c r="X52"/>
      <c r="Y52"/>
      <c r="AA52" s="1931">
        <f t="shared" si="6"/>
        <v>1</v>
      </c>
      <c r="AB52" s="1931">
        <f t="shared" si="7"/>
        <v>0</v>
      </c>
      <c r="AC52" s="1931">
        <f t="shared" si="8"/>
        <v>0</v>
      </c>
      <c r="AD52" s="1932">
        <f t="shared" si="9"/>
        <v>1</v>
      </c>
    </row>
    <row r="53" spans="2:30" s="528" customFormat="1" ht="18" customHeight="1" x14ac:dyDescent="0.2">
      <c r="B53" s="3937">
        <f t="shared" si="10"/>
        <v>27</v>
      </c>
      <c r="C53" s="2351" t="s">
        <v>1730</v>
      </c>
      <c r="D53" s="2347" t="s">
        <v>13</v>
      </c>
      <c r="E53" s="2353">
        <v>2.25</v>
      </c>
      <c r="F53" s="1941"/>
      <c r="G53" s="2367">
        <v>4</v>
      </c>
      <c r="H53" s="2362" t="str">
        <f>IF(G53=0,0,VLOOKUP(Arbeitsgänge!G53,$B$14:$O$21,3))</f>
        <v>83 Kw</v>
      </c>
      <c r="I53" s="2358"/>
      <c r="J53" s="1938" t="s">
        <v>45</v>
      </c>
      <c r="K53" s="1940"/>
      <c r="L53" s="1925">
        <f t="shared" si="4"/>
        <v>23.664339159663864</v>
      </c>
      <c r="M53" s="1924">
        <v>0.54</v>
      </c>
      <c r="N53" s="1928">
        <f t="shared" si="3"/>
        <v>15.028743146218488</v>
      </c>
      <c r="O53" s="1929">
        <f t="shared" si="5"/>
        <v>17.884204344</v>
      </c>
      <c r="P53"/>
      <c r="Q53" s="3936" t="s">
        <v>1854</v>
      </c>
      <c r="R53"/>
      <c r="S53"/>
      <c r="T53"/>
      <c r="U53"/>
      <c r="V53"/>
      <c r="W53"/>
      <c r="X53"/>
      <c r="Y53"/>
      <c r="AA53" s="1931">
        <f t="shared" si="6"/>
        <v>0</v>
      </c>
      <c r="AB53" s="1931">
        <f t="shared" si="7"/>
        <v>1</v>
      </c>
      <c r="AC53" s="1931">
        <f t="shared" si="8"/>
        <v>0</v>
      </c>
      <c r="AD53" s="1932">
        <f t="shared" si="9"/>
        <v>1</v>
      </c>
    </row>
    <row r="54" spans="2:30" s="528" customFormat="1" ht="18" customHeight="1" x14ac:dyDescent="0.2">
      <c r="B54" s="3937">
        <f t="shared" si="10"/>
        <v>28</v>
      </c>
      <c r="C54" s="2351" t="s">
        <v>932</v>
      </c>
      <c r="D54" s="2347" t="s">
        <v>13</v>
      </c>
      <c r="E54" s="2353">
        <v>2.25</v>
      </c>
      <c r="F54" s="1941"/>
      <c r="G54" s="2367">
        <v>4</v>
      </c>
      <c r="H54" s="2362" t="str">
        <f>IF(G54=0,0,VLOOKUP(Arbeitsgänge!G54,$B$14:$O$21,3))</f>
        <v>83 Kw</v>
      </c>
      <c r="I54" s="2358"/>
      <c r="J54" s="1938" t="s">
        <v>45</v>
      </c>
      <c r="K54" s="1940"/>
      <c r="L54" s="1925">
        <f t="shared" si="4"/>
        <v>23.664339159663864</v>
      </c>
      <c r="M54" s="1924">
        <v>0.55000000000000004</v>
      </c>
      <c r="N54" s="1928">
        <f t="shared" si="3"/>
        <v>15.265386537815127</v>
      </c>
      <c r="O54" s="1929">
        <f t="shared" si="5"/>
        <v>18.165809979999999</v>
      </c>
      <c r="P54"/>
      <c r="Q54" s="3778" t="s">
        <v>1704</v>
      </c>
      <c r="R54"/>
      <c r="S54"/>
      <c r="T54"/>
      <c r="U54"/>
      <c r="V54"/>
      <c r="W54"/>
      <c r="X54"/>
      <c r="Y54"/>
      <c r="AA54" s="1931">
        <f t="shared" si="6"/>
        <v>0</v>
      </c>
      <c r="AB54" s="1931">
        <f t="shared" si="7"/>
        <v>1</v>
      </c>
      <c r="AC54" s="1931">
        <f t="shared" si="8"/>
        <v>0</v>
      </c>
      <c r="AD54" s="1932">
        <f t="shared" si="9"/>
        <v>1</v>
      </c>
    </row>
    <row r="55" spans="2:30" s="528" customFormat="1" ht="18" customHeight="1" x14ac:dyDescent="0.2">
      <c r="B55" s="3937">
        <f t="shared" si="10"/>
        <v>29</v>
      </c>
      <c r="C55" s="2351" t="s">
        <v>1195</v>
      </c>
      <c r="D55" s="2347" t="s">
        <v>850</v>
      </c>
      <c r="E55" s="2353">
        <v>2.25</v>
      </c>
      <c r="F55" s="1941"/>
      <c r="G55" s="2367">
        <v>2</v>
      </c>
      <c r="H55" s="2362" t="str">
        <f>IF(G55=0,0,VLOOKUP(Arbeitsgänge!G55,$B$14:$O$21,3))</f>
        <v>120 Kw</v>
      </c>
      <c r="I55" s="2358"/>
      <c r="J55" s="1938"/>
      <c r="K55" s="1940" t="s">
        <v>45</v>
      </c>
      <c r="L55" s="1925">
        <f t="shared" si="4"/>
        <v>44.577435294117649</v>
      </c>
      <c r="M55" s="1924">
        <v>0.3</v>
      </c>
      <c r="N55" s="1928">
        <f>L55*M55+E55</f>
        <v>15.623230588235295</v>
      </c>
      <c r="O55" s="1929">
        <f t="shared" si="5"/>
        <v>18.5916444</v>
      </c>
      <c r="P55"/>
      <c r="Q55" s="3775" t="s">
        <v>1705</v>
      </c>
      <c r="R55"/>
      <c r="S55"/>
      <c r="T55"/>
      <c r="U55"/>
      <c r="V55"/>
      <c r="W55"/>
      <c r="X55"/>
      <c r="Y55"/>
      <c r="AA55" s="1931">
        <f>IF(I55="x",1,0)</f>
        <v>0</v>
      </c>
      <c r="AB55" s="1931">
        <f>IF(J55="x",1,0)</f>
        <v>0</v>
      </c>
      <c r="AC55" s="1931">
        <f>IF(K55="x",1,0)</f>
        <v>1</v>
      </c>
      <c r="AD55" s="1932">
        <f>SUM(AA55:AC55)</f>
        <v>1</v>
      </c>
    </row>
    <row r="56" spans="2:30" s="528" customFormat="1" ht="18" customHeight="1" x14ac:dyDescent="0.2">
      <c r="B56" s="3937">
        <f t="shared" si="10"/>
        <v>30</v>
      </c>
      <c r="C56" s="2351" t="s">
        <v>107</v>
      </c>
      <c r="D56" s="2347" t="s">
        <v>13</v>
      </c>
      <c r="E56" s="2353">
        <v>1.65</v>
      </c>
      <c r="F56" s="1941"/>
      <c r="G56" s="2367">
        <v>6</v>
      </c>
      <c r="H56" s="2362" t="str">
        <f>IF(G56=0,0,VLOOKUP(Arbeitsgänge!G56,$B$14:$O$21,3))</f>
        <v>67 Kw</v>
      </c>
      <c r="I56" s="2358" t="s">
        <v>45</v>
      </c>
      <c r="J56" s="1938"/>
      <c r="K56" s="1940"/>
      <c r="L56" s="1925">
        <f t="shared" si="4"/>
        <v>15.880133176470588</v>
      </c>
      <c r="M56" s="1924">
        <v>0.35</v>
      </c>
      <c r="N56" s="1928">
        <f t="shared" si="3"/>
        <v>7.208046611764706</v>
      </c>
      <c r="O56" s="1929">
        <f t="shared" si="5"/>
        <v>8.5775754679999991</v>
      </c>
      <c r="P56"/>
      <c r="Q56" s="3774" t="s">
        <v>1706</v>
      </c>
      <c r="R56"/>
      <c r="S56"/>
      <c r="T56"/>
      <c r="U56"/>
      <c r="V56"/>
      <c r="W56"/>
      <c r="X56"/>
      <c r="Y56"/>
      <c r="AA56" s="1931">
        <f t="shared" si="6"/>
        <v>1</v>
      </c>
      <c r="AB56" s="1931">
        <f t="shared" si="7"/>
        <v>0</v>
      </c>
      <c r="AC56" s="1931">
        <f t="shared" si="8"/>
        <v>0</v>
      </c>
      <c r="AD56" s="1932">
        <f t="shared" si="9"/>
        <v>1</v>
      </c>
    </row>
    <row r="57" spans="2:30" s="528" customFormat="1" ht="18" customHeight="1" x14ac:dyDescent="0.2">
      <c r="B57" s="3937">
        <f t="shared" si="10"/>
        <v>31</v>
      </c>
      <c r="C57" s="2351" t="s">
        <v>422</v>
      </c>
      <c r="D57" s="2347" t="s">
        <v>13</v>
      </c>
      <c r="E57" s="2353">
        <v>2.2999999999999998</v>
      </c>
      <c r="F57" s="1941"/>
      <c r="G57" s="2367">
        <v>6</v>
      </c>
      <c r="H57" s="2362" t="str">
        <f>IF(G57=0,0,VLOOKUP(Arbeitsgänge!G57,$B$14:$O$21,3))</f>
        <v>67 Kw</v>
      </c>
      <c r="I57" s="2358"/>
      <c r="J57" s="1938" t="s">
        <v>45</v>
      </c>
      <c r="K57" s="1940"/>
      <c r="L57" s="1925">
        <f t="shared" si="4"/>
        <v>19.900190252100842</v>
      </c>
      <c r="M57" s="1924">
        <v>0.26</v>
      </c>
      <c r="N57" s="1928">
        <f t="shared" si="3"/>
        <v>7.4740494655462193</v>
      </c>
      <c r="O57" s="1929">
        <f>(100+$F$5)*0.01*N57</f>
        <v>8.8941188640000011</v>
      </c>
      <c r="P57"/>
      <c r="Q57" s="3774" t="s">
        <v>1706</v>
      </c>
      <c r="R57"/>
      <c r="S57"/>
      <c r="T57"/>
      <c r="U57"/>
      <c r="V57"/>
      <c r="W57"/>
      <c r="X57"/>
      <c r="Y57"/>
      <c r="AA57" s="1931">
        <f t="shared" si="6"/>
        <v>0</v>
      </c>
      <c r="AB57" s="1931">
        <f t="shared" si="7"/>
        <v>1</v>
      </c>
      <c r="AC57" s="1931">
        <f t="shared" si="8"/>
        <v>0</v>
      </c>
      <c r="AD57" s="1932">
        <f t="shared" si="9"/>
        <v>1</v>
      </c>
    </row>
    <row r="58" spans="2:30" s="528" customFormat="1" ht="18" customHeight="1" x14ac:dyDescent="0.2">
      <c r="B58" s="3937">
        <f t="shared" si="10"/>
        <v>32</v>
      </c>
      <c r="C58" s="2351" t="s">
        <v>423</v>
      </c>
      <c r="D58" s="2347" t="s">
        <v>13</v>
      </c>
      <c r="E58" s="2353">
        <v>2.2999999999999998</v>
      </c>
      <c r="F58" s="1941"/>
      <c r="G58" s="2367">
        <v>4</v>
      </c>
      <c r="H58" s="2362" t="str">
        <f>IF(G58=0,0,VLOOKUP(Arbeitsgänge!G58,$B$14:$O$21,3))</f>
        <v>83 Kw</v>
      </c>
      <c r="I58" s="2358"/>
      <c r="J58" s="1938" t="s">
        <v>45</v>
      </c>
      <c r="K58" s="1940"/>
      <c r="L58" s="1925">
        <f t="shared" si="4"/>
        <v>23.664339159663864</v>
      </c>
      <c r="M58" s="1924">
        <v>0.17</v>
      </c>
      <c r="N58" s="1928">
        <f t="shared" si="3"/>
        <v>6.322937657142857</v>
      </c>
      <c r="O58" s="1929">
        <f t="shared" si="5"/>
        <v>7.5242958119999992</v>
      </c>
      <c r="P58"/>
      <c r="Q58" s="474" t="s">
        <v>1707</v>
      </c>
      <c r="R58"/>
      <c r="S58"/>
      <c r="T58"/>
      <c r="U58"/>
      <c r="V58"/>
      <c r="W58"/>
      <c r="X58"/>
      <c r="Y58"/>
      <c r="AA58" s="1931"/>
      <c r="AB58" s="1931">
        <f t="shared" si="7"/>
        <v>1</v>
      </c>
      <c r="AC58" s="1931"/>
      <c r="AD58" s="1932"/>
    </row>
    <row r="59" spans="2:30" s="528" customFormat="1" ht="18" customHeight="1" x14ac:dyDescent="0.2">
      <c r="B59" s="3937">
        <f t="shared" si="10"/>
        <v>33</v>
      </c>
      <c r="C59" s="2351" t="s">
        <v>1592</v>
      </c>
      <c r="D59" s="2347" t="s">
        <v>13</v>
      </c>
      <c r="E59" s="2353">
        <f>0.25*12</f>
        <v>3</v>
      </c>
      <c r="F59" s="1941"/>
      <c r="G59" s="2367">
        <v>2</v>
      </c>
      <c r="H59" s="2362" t="str">
        <f>IF(G59=0,0,VLOOKUP(Arbeitsgänge!G59,$B$14:$O$21,3))</f>
        <v>120 Kw</v>
      </c>
      <c r="I59" s="2358"/>
      <c r="J59" s="1938" t="s">
        <v>45</v>
      </c>
      <c r="K59" s="1940"/>
      <c r="L59" s="1925">
        <f t="shared" si="4"/>
        <v>32.551623529411764</v>
      </c>
      <c r="M59" s="1924">
        <v>1.2</v>
      </c>
      <c r="N59" s="1928">
        <f t="shared" si="3"/>
        <v>42.061948235294118</v>
      </c>
      <c r="O59" s="1929">
        <f t="shared" si="5"/>
        <v>50.053718400000001</v>
      </c>
      <c r="P59" s="3657"/>
      <c r="Q59" s="474" t="s">
        <v>1711</v>
      </c>
      <c r="R59"/>
      <c r="S59" s="474"/>
      <c r="T59"/>
      <c r="U59"/>
      <c r="V59"/>
      <c r="W59"/>
      <c r="X59"/>
      <c r="Y59"/>
      <c r="AA59" s="1931">
        <f t="shared" si="6"/>
        <v>0</v>
      </c>
      <c r="AB59" s="1931">
        <f t="shared" si="7"/>
        <v>1</v>
      </c>
      <c r="AC59" s="1931">
        <f t="shared" si="8"/>
        <v>0</v>
      </c>
      <c r="AD59" s="1932">
        <f t="shared" si="9"/>
        <v>1</v>
      </c>
    </row>
    <row r="60" spans="2:30" s="528" customFormat="1" ht="18" customHeight="1" x14ac:dyDescent="0.2">
      <c r="B60" s="3937">
        <f t="shared" si="10"/>
        <v>34</v>
      </c>
      <c r="C60" s="2351" t="s">
        <v>1593</v>
      </c>
      <c r="D60" s="2347" t="s">
        <v>13</v>
      </c>
      <c r="E60" s="2353">
        <f>1.7+7+3</f>
        <v>11.7</v>
      </c>
      <c r="F60" s="1941"/>
      <c r="G60" s="2367">
        <v>2</v>
      </c>
      <c r="H60" s="2362" t="str">
        <f>IF(G60=0,0,VLOOKUP(Arbeitsgänge!G60,$B$14:$O$21,3))</f>
        <v>120 Kw</v>
      </c>
      <c r="I60" s="2358"/>
      <c r="J60" s="1938" t="s">
        <v>45</v>
      </c>
      <c r="K60" s="1940"/>
      <c r="L60" s="1925">
        <f t="shared" si="4"/>
        <v>32.551623529411764</v>
      </c>
      <c r="M60" s="1924">
        <v>1.3</v>
      </c>
      <c r="N60" s="1928">
        <f t="shared" si="3"/>
        <v>54.017110588235298</v>
      </c>
      <c r="O60" s="1929">
        <f t="shared" si="5"/>
        <v>64.280361600000006</v>
      </c>
      <c r="P60" s="3657"/>
      <c r="Q60" s="4085" t="s">
        <v>1731</v>
      </c>
      <c r="R60" s="4085"/>
      <c r="S60" s="4085"/>
      <c r="T60" s="4085"/>
      <c r="U60" s="4085"/>
      <c r="V60" s="4085"/>
      <c r="W60" s="4085"/>
      <c r="X60" s="4085"/>
      <c r="Y60"/>
      <c r="AA60" s="1931">
        <f t="shared" si="6"/>
        <v>0</v>
      </c>
      <c r="AB60" s="1931">
        <f t="shared" si="7"/>
        <v>1</v>
      </c>
      <c r="AC60" s="1931">
        <f t="shared" si="8"/>
        <v>0</v>
      </c>
      <c r="AD60" s="1932">
        <f t="shared" si="9"/>
        <v>1</v>
      </c>
    </row>
    <row r="61" spans="2:30" s="528" customFormat="1" ht="18" customHeight="1" x14ac:dyDescent="0.2">
      <c r="B61" s="3937">
        <f t="shared" si="10"/>
        <v>35</v>
      </c>
      <c r="C61" s="2351" t="s">
        <v>1594</v>
      </c>
      <c r="D61" s="2347" t="s">
        <v>13</v>
      </c>
      <c r="E61" s="2353">
        <f>7.7*0.3</f>
        <v>2.31</v>
      </c>
      <c r="F61" s="1941"/>
      <c r="G61" s="2367">
        <v>2</v>
      </c>
      <c r="H61" s="2362" t="str">
        <f>IF(G61=0,0,VLOOKUP(Arbeitsgänge!G61,$B$14:$O$21,3))</f>
        <v>120 Kw</v>
      </c>
      <c r="I61" s="2358"/>
      <c r="J61" s="1938" t="s">
        <v>45</v>
      </c>
      <c r="K61" s="1940"/>
      <c r="L61" s="1925">
        <f t="shared" si="4"/>
        <v>32.551623529411764</v>
      </c>
      <c r="M61" s="1924">
        <v>0.8</v>
      </c>
      <c r="N61" s="1928">
        <f t="shared" ref="N61:N79" si="11">L61*M61+E61</f>
        <v>28.351298823529412</v>
      </c>
      <c r="O61" s="1929">
        <f>(100+$F$5)*0.01*N61</f>
        <v>33.7380456</v>
      </c>
      <c r="P61" s="3657"/>
      <c r="Q61" s="4085" t="s">
        <v>1861</v>
      </c>
      <c r="R61" s="4085"/>
      <c r="S61" s="4085"/>
      <c r="T61" s="4085"/>
      <c r="U61" s="4085"/>
      <c r="V61" s="4085"/>
      <c r="W61" s="4085"/>
      <c r="X61" s="4085"/>
      <c r="Y61"/>
      <c r="AA61" s="1931">
        <f t="shared" si="6"/>
        <v>0</v>
      </c>
      <c r="AB61" s="1931">
        <f t="shared" si="7"/>
        <v>1</v>
      </c>
      <c r="AC61" s="1931">
        <f t="shared" si="8"/>
        <v>0</v>
      </c>
      <c r="AD61" s="1932">
        <f t="shared" si="9"/>
        <v>1</v>
      </c>
    </row>
    <row r="62" spans="2:30" s="528" customFormat="1" ht="18" customHeight="1" x14ac:dyDescent="0.2">
      <c r="B62" s="3937">
        <f t="shared" si="10"/>
        <v>36</v>
      </c>
      <c r="C62" s="2351" t="s">
        <v>1412</v>
      </c>
      <c r="D62" s="2347" t="s">
        <v>13</v>
      </c>
      <c r="E62" s="2353">
        <f>7.7*0.3</f>
        <v>2.31</v>
      </c>
      <c r="F62" s="1941"/>
      <c r="G62" s="2367">
        <v>1</v>
      </c>
      <c r="H62" s="2362" t="str">
        <f>IF(G62=0,0,VLOOKUP(Arbeitsgänge!G62,$B$14:$O$21,3))</f>
        <v>200 kw</v>
      </c>
      <c r="I62" s="2358"/>
      <c r="J62" s="1938" t="s">
        <v>45</v>
      </c>
      <c r="K62" s="1940"/>
      <c r="L62" s="1925">
        <f t="shared" si="4"/>
        <v>52.02877344537815</v>
      </c>
      <c r="M62" s="1924">
        <v>0.5</v>
      </c>
      <c r="N62" s="1928">
        <f t="shared" si="11"/>
        <v>28.324386722689074</v>
      </c>
      <c r="O62" s="1929">
        <f>(100+$F$5)*0.01*N62</f>
        <v>33.706020199999998</v>
      </c>
      <c r="P62" s="3657"/>
      <c r="Q62" s="4085" t="s">
        <v>1862</v>
      </c>
      <c r="R62" s="4085"/>
      <c r="S62" s="4085"/>
      <c r="T62" s="4085"/>
      <c r="U62" s="4085"/>
      <c r="V62" s="4085"/>
      <c r="W62" s="4085"/>
      <c r="X62" s="4085"/>
      <c r="Y62"/>
      <c r="AA62" s="1931"/>
      <c r="AB62" s="1931">
        <f t="shared" si="7"/>
        <v>1</v>
      </c>
      <c r="AC62" s="1931"/>
      <c r="AD62" s="1932"/>
    </row>
    <row r="63" spans="2:30" s="528" customFormat="1" ht="18" customHeight="1" x14ac:dyDescent="0.2">
      <c r="B63" s="3937">
        <f t="shared" si="10"/>
        <v>37</v>
      </c>
      <c r="C63" s="2351" t="s">
        <v>862</v>
      </c>
      <c r="D63" s="2347" t="s">
        <v>13</v>
      </c>
      <c r="E63" s="2353"/>
      <c r="F63" s="1941"/>
      <c r="G63" s="2367">
        <v>3</v>
      </c>
      <c r="H63" s="2362" t="str">
        <f>IF(G63=0,0,VLOOKUP(Arbeitsgänge!G63,$B$14:$O$21,3))</f>
        <v>102 kW</v>
      </c>
      <c r="I63" s="2358" t="s">
        <v>45</v>
      </c>
      <c r="J63" s="1938"/>
      <c r="K63" s="1940"/>
      <c r="L63" s="1925">
        <f t="shared" si="4"/>
        <v>21.810715999999999</v>
      </c>
      <c r="M63" s="1924">
        <v>0.8</v>
      </c>
      <c r="N63" s="1928">
        <f t="shared" si="11"/>
        <v>17.448572800000001</v>
      </c>
      <c r="O63" s="1929">
        <f t="shared" si="5"/>
        <v>20.763801632</v>
      </c>
      <c r="Q63" s="4085" t="s">
        <v>92</v>
      </c>
      <c r="R63" s="4085"/>
      <c r="S63" s="4085"/>
      <c r="T63" s="4085"/>
      <c r="U63" s="4085"/>
      <c r="V63" s="4085"/>
      <c r="W63" s="4085"/>
      <c r="X63" s="4085"/>
      <c r="Y63"/>
      <c r="AA63" s="1931">
        <f t="shared" si="6"/>
        <v>1</v>
      </c>
      <c r="AB63" s="1931">
        <f t="shared" si="7"/>
        <v>0</v>
      </c>
      <c r="AC63" s="1931">
        <f t="shared" si="8"/>
        <v>0</v>
      </c>
      <c r="AD63" s="1932">
        <f t="shared" si="9"/>
        <v>1</v>
      </c>
    </row>
    <row r="64" spans="2:30" s="528" customFormat="1" ht="18" customHeight="1" x14ac:dyDescent="0.2">
      <c r="B64" s="3937">
        <f t="shared" si="10"/>
        <v>38</v>
      </c>
      <c r="C64" s="2351" t="s">
        <v>425</v>
      </c>
      <c r="D64" s="2347" t="s">
        <v>13</v>
      </c>
      <c r="E64" s="2353">
        <f>5.3*0.3</f>
        <v>1.5899999999999999</v>
      </c>
      <c r="F64" s="1941"/>
      <c r="G64" s="2367">
        <v>4</v>
      </c>
      <c r="H64" s="2362" t="str">
        <f>IF(G64=0,0,VLOOKUP(Arbeitsgänge!G64,$B$14:$O$21,3))</f>
        <v>83 Kw</v>
      </c>
      <c r="I64" s="2358" t="s">
        <v>45</v>
      </c>
      <c r="J64" s="1938"/>
      <c r="K64" s="1940"/>
      <c r="L64" s="1925">
        <f t="shared" si="4"/>
        <v>18.665037411764704</v>
      </c>
      <c r="M64" s="1924">
        <v>1.1000000000000001</v>
      </c>
      <c r="N64" s="1928">
        <f t="shared" si="11"/>
        <v>22.121541152941177</v>
      </c>
      <c r="O64" s="1929">
        <f t="shared" si="5"/>
        <v>26.324633972000001</v>
      </c>
      <c r="P64" s="3307"/>
      <c r="Q64" s="474" t="s">
        <v>1712</v>
      </c>
      <c r="R64"/>
      <c r="S64"/>
      <c r="T64"/>
      <c r="U64"/>
      <c r="V64"/>
      <c r="W64"/>
      <c r="X64"/>
      <c r="Y64"/>
      <c r="AA64" s="1931">
        <f t="shared" si="6"/>
        <v>1</v>
      </c>
      <c r="AB64" s="1931">
        <f t="shared" si="7"/>
        <v>0</v>
      </c>
      <c r="AC64" s="1931">
        <f t="shared" si="8"/>
        <v>0</v>
      </c>
      <c r="AD64" s="1932">
        <f t="shared" si="9"/>
        <v>1</v>
      </c>
    </row>
    <row r="65" spans="1:30" s="528" customFormat="1" ht="18" customHeight="1" x14ac:dyDescent="0.2">
      <c r="B65" s="3937">
        <f t="shared" si="10"/>
        <v>39</v>
      </c>
      <c r="C65" s="2351" t="s">
        <v>34</v>
      </c>
      <c r="D65" s="2347" t="s">
        <v>13</v>
      </c>
      <c r="E65" s="2353">
        <f>(0.6*16.56)+(14*0.04)</f>
        <v>10.495999999999999</v>
      </c>
      <c r="F65" s="1941"/>
      <c r="G65" s="2367">
        <v>4</v>
      </c>
      <c r="H65" s="2362" t="str">
        <f>IF(G65=0,0,VLOOKUP(Arbeitsgänge!G65,$B$14:$O$21,3))</f>
        <v>83 Kw</v>
      </c>
      <c r="I65" s="2358"/>
      <c r="J65" s="1938" t="s">
        <v>45</v>
      </c>
      <c r="K65" s="1940"/>
      <c r="L65" s="1925">
        <f t="shared" si="4"/>
        <v>23.664339159663864</v>
      </c>
      <c r="M65" s="1924">
        <v>0.44</v>
      </c>
      <c r="N65" s="1928">
        <f t="shared" si="11"/>
        <v>20.908309230252101</v>
      </c>
      <c r="O65" s="1929">
        <f t="shared" si="5"/>
        <v>24.880887983999997</v>
      </c>
      <c r="P65" s="3307"/>
      <c r="Q65" s="3778" t="s">
        <v>1732</v>
      </c>
      <c r="R65"/>
      <c r="S65"/>
      <c r="T65"/>
      <c r="U65"/>
      <c r="V65"/>
      <c r="W65"/>
      <c r="X65"/>
      <c r="Y65"/>
      <c r="AA65" s="1931">
        <f t="shared" si="6"/>
        <v>0</v>
      </c>
      <c r="AB65" s="1931">
        <f t="shared" si="7"/>
        <v>1</v>
      </c>
      <c r="AC65" s="1931">
        <f t="shared" si="8"/>
        <v>0</v>
      </c>
      <c r="AD65" s="1932">
        <f t="shared" si="9"/>
        <v>1</v>
      </c>
    </row>
    <row r="66" spans="1:30" s="528" customFormat="1" ht="18" customHeight="1" x14ac:dyDescent="0.2">
      <c r="B66" s="3937">
        <f t="shared" si="10"/>
        <v>40</v>
      </c>
      <c r="C66" s="2351" t="s">
        <v>1436</v>
      </c>
      <c r="D66" s="2347" t="s">
        <v>13</v>
      </c>
      <c r="E66" s="2353">
        <f>0.2*5.3</f>
        <v>1.06</v>
      </c>
      <c r="F66" s="1941"/>
      <c r="G66" s="2367">
        <v>5</v>
      </c>
      <c r="H66" s="2362" t="str">
        <f>IF(G66=0,0,VLOOKUP(Arbeitsgänge!G66,$B$14:$O$21,3))</f>
        <v>67 Kw</v>
      </c>
      <c r="I66" s="2358" t="s">
        <v>45</v>
      </c>
      <c r="J66" s="1938"/>
      <c r="K66" s="1940"/>
      <c r="L66" s="1925">
        <f t="shared" si="4"/>
        <v>22.710715999999998</v>
      </c>
      <c r="M66" s="1924">
        <v>1.1399999999999999</v>
      </c>
      <c r="N66" s="1928">
        <f t="shared" si="11"/>
        <v>26.950216239999992</v>
      </c>
      <c r="O66" s="1929">
        <f t="shared" si="5"/>
        <v>32.070757325599992</v>
      </c>
      <c r="P66" s="3307"/>
      <c r="Q66" s="474" t="s">
        <v>1708</v>
      </c>
      <c r="R66"/>
      <c r="S66"/>
      <c r="T66"/>
      <c r="U66"/>
      <c r="V66"/>
      <c r="W66"/>
      <c r="X66"/>
      <c r="Y66"/>
      <c r="AA66" s="1931">
        <f t="shared" si="6"/>
        <v>1</v>
      </c>
      <c r="AB66" s="1931">
        <f t="shared" si="7"/>
        <v>0</v>
      </c>
      <c r="AC66" s="1931">
        <f t="shared" si="8"/>
        <v>0</v>
      </c>
      <c r="AD66" s="1932">
        <f t="shared" si="9"/>
        <v>1</v>
      </c>
    </row>
    <row r="67" spans="1:30" s="528" customFormat="1" ht="18" customHeight="1" x14ac:dyDescent="0.2">
      <c r="B67" s="3937">
        <f t="shared" si="10"/>
        <v>41</v>
      </c>
      <c r="C67" s="2351" t="s">
        <v>1710</v>
      </c>
      <c r="D67" s="2347" t="s">
        <v>1709</v>
      </c>
      <c r="E67" s="2353">
        <v>80.680000000000007</v>
      </c>
      <c r="F67" s="1941"/>
      <c r="G67" s="2367"/>
      <c r="H67" s="2362">
        <f>IF(G67=0,0,VLOOKUP(Arbeitsgänge!G67,$B$14:$O$21,3))</f>
        <v>0</v>
      </c>
      <c r="I67" s="2359"/>
      <c r="J67" s="1936"/>
      <c r="K67" s="1937"/>
      <c r="L67" s="1925">
        <f t="shared" si="4"/>
        <v>0</v>
      </c>
      <c r="M67" s="1924">
        <v>0.41</v>
      </c>
      <c r="N67" s="1928">
        <f t="shared" si="11"/>
        <v>80.680000000000007</v>
      </c>
      <c r="O67" s="1929">
        <f t="shared" si="5"/>
        <v>96.009200000000007</v>
      </c>
      <c r="Q67" s="4062" t="s">
        <v>1858</v>
      </c>
      <c r="R67"/>
      <c r="S67"/>
      <c r="T67"/>
      <c r="U67"/>
      <c r="V67"/>
      <c r="W67"/>
      <c r="X67"/>
      <c r="Y67"/>
      <c r="AA67" s="1931">
        <f t="shared" si="6"/>
        <v>0</v>
      </c>
      <c r="AB67" s="1931">
        <f t="shared" si="7"/>
        <v>0</v>
      </c>
      <c r="AC67" s="1931">
        <f t="shared" si="8"/>
        <v>0</v>
      </c>
      <c r="AD67" s="1932">
        <f t="shared" si="9"/>
        <v>0</v>
      </c>
    </row>
    <row r="68" spans="1:30" s="528" customFormat="1" ht="18" customHeight="1" x14ac:dyDescent="0.2">
      <c r="B68" s="3937">
        <f t="shared" si="10"/>
        <v>42</v>
      </c>
      <c r="C68" s="2351"/>
      <c r="D68" s="2347" t="s">
        <v>13</v>
      </c>
      <c r="E68" s="2353"/>
      <c r="F68" s="1941"/>
      <c r="G68" s="2367"/>
      <c r="H68" s="2362">
        <f>IF(G68=0,0,VLOOKUP(Arbeitsgänge!G68,$B$14:$O$21,3))</f>
        <v>0</v>
      </c>
      <c r="I68" s="2359"/>
      <c r="J68" s="1936"/>
      <c r="K68" s="1937"/>
      <c r="L68" s="1925">
        <f t="shared" si="4"/>
        <v>0</v>
      </c>
      <c r="M68" s="1924"/>
      <c r="N68" s="1928">
        <f t="shared" si="11"/>
        <v>0</v>
      </c>
      <c r="O68" s="1929">
        <f t="shared" si="5"/>
        <v>0</v>
      </c>
      <c r="P68" s="944"/>
      <c r="Q68"/>
      <c r="R68"/>
      <c r="S68"/>
      <c r="T68"/>
      <c r="U68"/>
      <c r="V68"/>
      <c r="W68"/>
      <c r="X68"/>
      <c r="Y68"/>
      <c r="AA68" s="1931">
        <f t="shared" si="6"/>
        <v>0</v>
      </c>
      <c r="AB68" s="1931">
        <f t="shared" si="7"/>
        <v>0</v>
      </c>
      <c r="AC68" s="1931">
        <f t="shared" si="8"/>
        <v>0</v>
      </c>
      <c r="AD68" s="1932">
        <f t="shared" si="9"/>
        <v>0</v>
      </c>
    </row>
    <row r="69" spans="1:30" s="528" customFormat="1" ht="18" customHeight="1" x14ac:dyDescent="0.2">
      <c r="B69" s="3937">
        <f t="shared" si="10"/>
        <v>43</v>
      </c>
      <c r="C69" s="2351" t="s">
        <v>1734</v>
      </c>
      <c r="D69" s="2347" t="s">
        <v>13</v>
      </c>
      <c r="E69" s="2353">
        <f>6.5+0.8</f>
        <v>7.3</v>
      </c>
      <c r="F69" s="1941"/>
      <c r="G69" s="2367">
        <v>5</v>
      </c>
      <c r="H69" s="2362" t="str">
        <f>IF(G69=0,0,VLOOKUP(Arbeitsgänge!G69,$B$14:$O$21,3))</f>
        <v>67 Kw</v>
      </c>
      <c r="I69" s="2358"/>
      <c r="J69" s="1938" t="s">
        <v>45</v>
      </c>
      <c r="K69" s="1940"/>
      <c r="L69" s="1925">
        <f t="shared" si="4"/>
        <v>28.843879999999999</v>
      </c>
      <c r="M69" s="1924">
        <v>2.5</v>
      </c>
      <c r="N69" s="1928">
        <f t="shared" si="11"/>
        <v>79.409700000000001</v>
      </c>
      <c r="O69" s="1929">
        <f>(100+$F$5)*0.01*N69</f>
        <v>94.497542999999993</v>
      </c>
      <c r="Q69" s="3778" t="s">
        <v>1733</v>
      </c>
      <c r="R69"/>
      <c r="S69"/>
      <c r="T69"/>
      <c r="U69"/>
      <c r="V69"/>
      <c r="W69"/>
      <c r="X69"/>
      <c r="Y69"/>
      <c r="AA69" s="1931">
        <f t="shared" si="6"/>
        <v>0</v>
      </c>
      <c r="AB69" s="1931">
        <f t="shared" si="7"/>
        <v>1</v>
      </c>
      <c r="AC69" s="1931">
        <f t="shared" si="8"/>
        <v>0</v>
      </c>
      <c r="AD69" s="1932">
        <f t="shared" si="9"/>
        <v>1</v>
      </c>
    </row>
    <row r="70" spans="1:30" s="528" customFormat="1" ht="18" customHeight="1" x14ac:dyDescent="0.2">
      <c r="B70" s="3937">
        <f t="shared" si="10"/>
        <v>44</v>
      </c>
      <c r="C70" s="2351" t="s">
        <v>1147</v>
      </c>
      <c r="D70" s="2347" t="s">
        <v>13</v>
      </c>
      <c r="E70" s="2353">
        <v>227.5</v>
      </c>
      <c r="F70" s="1941"/>
      <c r="G70" s="2367"/>
      <c r="H70" s="2362">
        <f>IF(G70=0,0,VLOOKUP(Arbeitsgänge!G70,$B$14:$O$21,3))</f>
        <v>0</v>
      </c>
      <c r="I70" s="2358"/>
      <c r="J70" s="1938"/>
      <c r="K70" s="1940"/>
      <c r="L70" s="1925">
        <f t="shared" si="4"/>
        <v>0</v>
      </c>
      <c r="M70" s="1924">
        <v>1.5</v>
      </c>
      <c r="N70" s="1928">
        <f t="shared" si="11"/>
        <v>227.5</v>
      </c>
      <c r="O70" s="1929">
        <f t="shared" si="5"/>
        <v>270.72499999999997</v>
      </c>
      <c r="Q70" s="944" t="s">
        <v>1148</v>
      </c>
      <c r="R70"/>
      <c r="S70"/>
      <c r="T70"/>
      <c r="U70"/>
      <c r="V70"/>
      <c r="W70"/>
      <c r="X70"/>
      <c r="Y70"/>
      <c r="AA70" s="1931">
        <f t="shared" si="6"/>
        <v>0</v>
      </c>
      <c r="AB70" s="1931">
        <f t="shared" si="7"/>
        <v>0</v>
      </c>
      <c r="AC70" s="1931">
        <f t="shared" si="8"/>
        <v>0</v>
      </c>
      <c r="AD70" s="1932">
        <f t="shared" si="9"/>
        <v>0</v>
      </c>
    </row>
    <row r="71" spans="1:30" s="528" customFormat="1" ht="18" customHeight="1" x14ac:dyDescent="0.2">
      <c r="B71" s="3937">
        <f t="shared" si="10"/>
        <v>45</v>
      </c>
      <c r="C71" s="2351" t="s">
        <v>1735</v>
      </c>
      <c r="D71" s="2347" t="s">
        <v>13</v>
      </c>
      <c r="E71" s="2353">
        <f>17.2+(5*0.2)</f>
        <v>18.2</v>
      </c>
      <c r="F71" s="1941"/>
      <c r="G71" s="2367">
        <v>2</v>
      </c>
      <c r="H71" s="2362" t="str">
        <f>IF(G71=0,0,VLOOKUP(Arbeitsgänge!G71,$B$14:$O$21,3))</f>
        <v>120 Kw</v>
      </c>
      <c r="I71" s="2358"/>
      <c r="J71" s="1938" t="s">
        <v>45</v>
      </c>
      <c r="K71" s="1940"/>
      <c r="L71" s="1925">
        <f t="shared" si="4"/>
        <v>32.551623529411764</v>
      </c>
      <c r="M71" s="1924">
        <v>2.5</v>
      </c>
      <c r="N71" s="1928">
        <f t="shared" si="11"/>
        <v>99.579058823529408</v>
      </c>
      <c r="O71" s="1929">
        <f t="shared" si="5"/>
        <v>118.49907999999999</v>
      </c>
      <c r="Q71" s="4062" t="s">
        <v>1736</v>
      </c>
      <c r="R71" s="4062"/>
      <c r="S71" s="4062"/>
      <c r="T71" s="4062"/>
      <c r="U71" s="4062"/>
      <c r="V71" s="4062"/>
      <c r="W71"/>
      <c r="X71"/>
      <c r="Y71"/>
      <c r="AA71" s="1931">
        <f t="shared" si="6"/>
        <v>0</v>
      </c>
      <c r="AB71" s="1931">
        <f t="shared" si="7"/>
        <v>1</v>
      </c>
      <c r="AC71" s="1931">
        <f t="shared" si="8"/>
        <v>0</v>
      </c>
      <c r="AD71" s="1932">
        <f t="shared" si="9"/>
        <v>1</v>
      </c>
    </row>
    <row r="72" spans="1:30" s="528" customFormat="1" ht="18" customHeight="1" x14ac:dyDescent="0.2">
      <c r="B72" s="3937">
        <f t="shared" si="10"/>
        <v>46</v>
      </c>
      <c r="C72" s="2351"/>
      <c r="D72" s="2347" t="s">
        <v>13</v>
      </c>
      <c r="E72" s="2353">
        <v>0</v>
      </c>
      <c r="F72" s="1941"/>
      <c r="G72" s="2367"/>
      <c r="H72" s="2362">
        <f>IF(G72=0,0,VLOOKUP(Arbeitsgänge!G72,$B$14:$O$21,3))</f>
        <v>0</v>
      </c>
      <c r="I72" s="2358"/>
      <c r="J72" s="1938"/>
      <c r="K72" s="1940"/>
      <c r="L72" s="1925">
        <f t="shared" si="4"/>
        <v>0</v>
      </c>
      <c r="M72" s="1924"/>
      <c r="N72" s="1928">
        <f t="shared" si="11"/>
        <v>0</v>
      </c>
      <c r="O72" s="1929">
        <f t="shared" si="5"/>
        <v>0</v>
      </c>
      <c r="P72"/>
      <c r="Q72"/>
      <c r="R72"/>
      <c r="S72"/>
      <c r="T72"/>
      <c r="U72"/>
      <c r="V72"/>
      <c r="W72"/>
      <c r="X72"/>
      <c r="Y72"/>
      <c r="AA72" s="1931">
        <f t="shared" si="6"/>
        <v>0</v>
      </c>
      <c r="AB72" s="1931">
        <f t="shared" si="7"/>
        <v>0</v>
      </c>
      <c r="AC72" s="1931">
        <f t="shared" si="8"/>
        <v>0</v>
      </c>
      <c r="AD72" s="1932">
        <f t="shared" si="9"/>
        <v>0</v>
      </c>
    </row>
    <row r="73" spans="1:30" s="528" customFormat="1" ht="18" customHeight="1" x14ac:dyDescent="0.2">
      <c r="B73" s="3937">
        <f t="shared" si="10"/>
        <v>47</v>
      </c>
      <c r="C73" s="2351"/>
      <c r="D73" s="2347" t="s">
        <v>13</v>
      </c>
      <c r="E73" s="2353">
        <v>0</v>
      </c>
      <c r="F73" s="1941"/>
      <c r="G73" s="2367"/>
      <c r="H73" s="2362">
        <f>IF(G73=0,0,VLOOKUP(Arbeitsgänge!G73,$B$14:$O$21,3))</f>
        <v>0</v>
      </c>
      <c r="I73" s="2358"/>
      <c r="J73" s="1938"/>
      <c r="K73" s="1940"/>
      <c r="L73" s="1925">
        <f t="shared" si="4"/>
        <v>0</v>
      </c>
      <c r="M73" s="1924"/>
      <c r="N73" s="1928">
        <f t="shared" si="11"/>
        <v>0</v>
      </c>
      <c r="O73" s="1929">
        <f t="shared" si="5"/>
        <v>0</v>
      </c>
      <c r="P73"/>
      <c r="Q73"/>
      <c r="R73"/>
      <c r="S73"/>
      <c r="T73"/>
      <c r="U73"/>
      <c r="V73"/>
      <c r="W73"/>
      <c r="X73"/>
      <c r="Y73"/>
      <c r="AA73" s="1931">
        <f t="shared" si="6"/>
        <v>0</v>
      </c>
      <c r="AB73" s="1931">
        <f t="shared" si="7"/>
        <v>0</v>
      </c>
      <c r="AC73" s="1931">
        <f t="shared" si="8"/>
        <v>0</v>
      </c>
      <c r="AD73" s="1932">
        <f t="shared" si="9"/>
        <v>0</v>
      </c>
    </row>
    <row r="74" spans="1:30" s="528" customFormat="1" ht="18" customHeight="1" x14ac:dyDescent="0.2">
      <c r="B74" s="3937">
        <f t="shared" si="10"/>
        <v>48</v>
      </c>
      <c r="C74" s="2351" t="s">
        <v>926</v>
      </c>
      <c r="D74" s="2347" t="s">
        <v>13</v>
      </c>
      <c r="E74" s="2353"/>
      <c r="F74" s="1941"/>
      <c r="G74" s="2367"/>
      <c r="H74" s="2362">
        <f>IF(G74=0,0,VLOOKUP(Arbeitsgänge!G74,$B$14:$O$21,3))</f>
        <v>0</v>
      </c>
      <c r="I74" s="2359"/>
      <c r="J74" s="1936"/>
      <c r="K74" s="1937"/>
      <c r="L74" s="1925">
        <f t="shared" si="4"/>
        <v>0</v>
      </c>
      <c r="M74" s="1924">
        <v>12</v>
      </c>
      <c r="N74" s="1928">
        <f t="shared" si="11"/>
        <v>0</v>
      </c>
      <c r="O74" s="1929">
        <f>M74*'Preise-Stammdaten'!N$35</f>
        <v>210</v>
      </c>
      <c r="Q74" s="3776" t="s">
        <v>1713</v>
      </c>
      <c r="R74"/>
      <c r="S74"/>
      <c r="T74"/>
      <c r="U74"/>
      <c r="V74"/>
      <c r="W74"/>
      <c r="X74"/>
      <c r="Y74"/>
      <c r="AA74" s="1931">
        <f t="shared" si="6"/>
        <v>0</v>
      </c>
      <c r="AB74" s="1931">
        <f t="shared" si="7"/>
        <v>0</v>
      </c>
      <c r="AC74" s="1931">
        <f t="shared" si="8"/>
        <v>0</v>
      </c>
      <c r="AD74" s="1932">
        <f t="shared" si="9"/>
        <v>0</v>
      </c>
    </row>
    <row r="75" spans="1:30" s="528" customFormat="1" ht="18" customHeight="1" x14ac:dyDescent="0.2">
      <c r="A75" s="1031"/>
      <c r="B75" s="3937">
        <f t="shared" si="10"/>
        <v>49</v>
      </c>
      <c r="C75" s="2351" t="s">
        <v>855</v>
      </c>
      <c r="D75" s="2347" t="s">
        <v>13</v>
      </c>
      <c r="E75" s="2353"/>
      <c r="F75" s="1941"/>
      <c r="G75" s="2367"/>
      <c r="H75" s="2362">
        <f>IF(G75=0,0,VLOOKUP(Arbeitsgänge!G75,$B$14:$O$21,3))</f>
        <v>0</v>
      </c>
      <c r="I75" s="2359"/>
      <c r="J75" s="1936"/>
      <c r="K75" s="1937"/>
      <c r="L75" s="1925">
        <f t="shared" si="4"/>
        <v>0</v>
      </c>
      <c r="M75" s="1924">
        <v>15</v>
      </c>
      <c r="N75" s="1928">
        <f t="shared" si="11"/>
        <v>0</v>
      </c>
      <c r="O75" s="1929">
        <f>M75*'Preise-Stammdaten'!N$35</f>
        <v>262.5</v>
      </c>
      <c r="Q75" s="3776" t="s">
        <v>1714</v>
      </c>
      <c r="R75"/>
      <c r="S75"/>
      <c r="T75"/>
      <c r="U75"/>
      <c r="V75"/>
      <c r="W75"/>
      <c r="X75"/>
      <c r="Y75"/>
      <c r="AA75" s="1931">
        <f t="shared" si="6"/>
        <v>0</v>
      </c>
      <c r="AB75" s="1931">
        <f t="shared" si="7"/>
        <v>0</v>
      </c>
      <c r="AC75" s="1931">
        <f t="shared" si="8"/>
        <v>0</v>
      </c>
      <c r="AD75" s="1932">
        <f t="shared" si="9"/>
        <v>0</v>
      </c>
    </row>
    <row r="76" spans="1:30" s="528" customFormat="1" ht="16.5" customHeight="1" x14ac:dyDescent="0.2">
      <c r="B76" s="3937">
        <f t="shared" si="10"/>
        <v>50</v>
      </c>
      <c r="C76" s="2351"/>
      <c r="D76" s="2347" t="s">
        <v>13</v>
      </c>
      <c r="E76" s="2353"/>
      <c r="F76" s="1941"/>
      <c r="G76" s="2367"/>
      <c r="H76" s="2362">
        <f>IF(G76=0,0,VLOOKUP(Arbeitsgänge!G76,$B$14:$O$21,3))</f>
        <v>0</v>
      </c>
      <c r="I76" s="2358"/>
      <c r="J76" s="1938"/>
      <c r="K76" s="1940"/>
      <c r="L76" s="1925">
        <f t="shared" si="4"/>
        <v>0</v>
      </c>
      <c r="M76" s="1924"/>
      <c r="N76" s="1928">
        <f t="shared" si="11"/>
        <v>0</v>
      </c>
      <c r="O76" s="1929">
        <f t="shared" si="5"/>
        <v>0</v>
      </c>
      <c r="P76"/>
      <c r="Q76"/>
      <c r="R76"/>
      <c r="S76"/>
      <c r="T76"/>
      <c r="U76"/>
      <c r="V76"/>
      <c r="W76"/>
      <c r="X76"/>
      <c r="Y76"/>
      <c r="AA76" s="1931">
        <f t="shared" si="6"/>
        <v>0</v>
      </c>
      <c r="AB76" s="1931">
        <f t="shared" si="7"/>
        <v>0</v>
      </c>
      <c r="AC76" s="1931">
        <f t="shared" si="8"/>
        <v>0</v>
      </c>
      <c r="AD76" s="1932">
        <f t="shared" si="9"/>
        <v>0</v>
      </c>
    </row>
    <row r="77" spans="1:30" s="528" customFormat="1" ht="16.5" customHeight="1" x14ac:dyDescent="0.2">
      <c r="B77" s="3937">
        <f t="shared" si="10"/>
        <v>51</v>
      </c>
      <c r="C77" s="2351"/>
      <c r="D77" s="2347" t="s">
        <v>13</v>
      </c>
      <c r="E77" s="2353"/>
      <c r="F77" s="1941"/>
      <c r="G77" s="2367"/>
      <c r="H77" s="2362">
        <f>IF(G77=0,0,VLOOKUP(Arbeitsgänge!G77,$B$14:$O$21,3))</f>
        <v>0</v>
      </c>
      <c r="I77" s="2358"/>
      <c r="J77" s="1938"/>
      <c r="K77" s="1940"/>
      <c r="L77" s="1925">
        <f t="shared" si="4"/>
        <v>0</v>
      </c>
      <c r="M77" s="1924"/>
      <c r="N77" s="1928">
        <f t="shared" si="11"/>
        <v>0</v>
      </c>
      <c r="O77" s="1929">
        <f t="shared" si="5"/>
        <v>0</v>
      </c>
      <c r="P77"/>
      <c r="Q77"/>
      <c r="R77"/>
      <c r="S77"/>
      <c r="T77"/>
      <c r="U77"/>
      <c r="V77"/>
      <c r="W77"/>
      <c r="X77"/>
      <c r="Y77"/>
      <c r="AA77" s="1931">
        <f t="shared" si="6"/>
        <v>0</v>
      </c>
      <c r="AB77" s="1931">
        <f t="shared" si="7"/>
        <v>0</v>
      </c>
      <c r="AC77" s="1931">
        <f t="shared" si="8"/>
        <v>0</v>
      </c>
      <c r="AD77" s="1932">
        <f t="shared" si="9"/>
        <v>0</v>
      </c>
    </row>
    <row r="78" spans="1:30" s="528" customFormat="1" ht="16.5" customHeight="1" x14ac:dyDescent="0.2">
      <c r="B78" s="3937">
        <f t="shared" si="10"/>
        <v>52</v>
      </c>
      <c r="C78" s="2351"/>
      <c r="D78" s="2347" t="s">
        <v>13</v>
      </c>
      <c r="E78" s="2353"/>
      <c r="F78" s="1941"/>
      <c r="G78" s="2367"/>
      <c r="H78" s="2362">
        <f>IF(G78=0,0,VLOOKUP(Arbeitsgänge!G78,$B$14:$O$21,3))</f>
        <v>0</v>
      </c>
      <c r="I78" s="2358"/>
      <c r="J78" s="1938"/>
      <c r="K78" s="1940"/>
      <c r="L78" s="1925">
        <f t="shared" si="4"/>
        <v>0</v>
      </c>
      <c r="M78" s="1924"/>
      <c r="N78" s="1928">
        <f t="shared" si="11"/>
        <v>0</v>
      </c>
      <c r="O78" s="1929">
        <f t="shared" si="5"/>
        <v>0</v>
      </c>
      <c r="P78"/>
      <c r="Q78"/>
      <c r="R78"/>
      <c r="S78"/>
      <c r="T78"/>
      <c r="U78"/>
      <c r="V78"/>
      <c r="W78"/>
      <c r="X78"/>
      <c r="Y78"/>
      <c r="AA78" s="1931">
        <f t="shared" si="6"/>
        <v>0</v>
      </c>
      <c r="AB78" s="1931">
        <f t="shared" si="7"/>
        <v>0</v>
      </c>
      <c r="AC78" s="1931">
        <f t="shared" si="8"/>
        <v>0</v>
      </c>
      <c r="AD78" s="1932">
        <f t="shared" si="9"/>
        <v>0</v>
      </c>
    </row>
    <row r="79" spans="1:30" s="528" customFormat="1" ht="16.5" customHeight="1" x14ac:dyDescent="0.2">
      <c r="B79" s="3937">
        <f t="shared" si="10"/>
        <v>53</v>
      </c>
      <c r="C79" s="2352"/>
      <c r="D79" s="2348" t="s">
        <v>13</v>
      </c>
      <c r="E79" s="2354"/>
      <c r="F79" s="1942"/>
      <c r="G79" s="2368"/>
      <c r="H79" s="2362">
        <f>IF(G79=0,0,VLOOKUP(Arbeitsgänge!G79,$B$14:$O$21,3))</f>
        <v>0</v>
      </c>
      <c r="I79" s="3187"/>
      <c r="J79" s="3188"/>
      <c r="K79" s="3189"/>
      <c r="L79" s="1925">
        <f t="shared" si="4"/>
        <v>0</v>
      </c>
      <c r="M79" s="3190"/>
      <c r="N79" s="3191">
        <f t="shared" si="11"/>
        <v>0</v>
      </c>
      <c r="O79" s="3192">
        <f t="shared" si="5"/>
        <v>0</v>
      </c>
      <c r="P79"/>
      <c r="Q79"/>
      <c r="R79"/>
      <c r="S79"/>
      <c r="T79"/>
      <c r="U79"/>
      <c r="V79"/>
      <c r="W79"/>
      <c r="X79"/>
      <c r="Y79"/>
      <c r="AA79" s="1931">
        <f t="shared" si="6"/>
        <v>0</v>
      </c>
      <c r="AB79" s="1931">
        <f t="shared" si="7"/>
        <v>0</v>
      </c>
      <c r="AC79" s="1931">
        <f t="shared" si="8"/>
        <v>0</v>
      </c>
      <c r="AD79" s="1932">
        <f t="shared" si="9"/>
        <v>0</v>
      </c>
    </row>
    <row r="80" spans="1:30" s="528" customFormat="1" ht="16.5" customHeight="1" thickBot="1" x14ac:dyDescent="0.25">
      <c r="A80" s="530"/>
      <c r="B80" s="1761"/>
      <c r="C80" s="1762"/>
      <c r="D80" s="1763"/>
      <c r="E80" s="1763"/>
      <c r="F80" s="1763"/>
      <c r="G80" s="2369"/>
      <c r="H80" s="1950"/>
      <c r="I80" s="1948"/>
      <c r="J80" s="1948"/>
      <c r="K80" s="1949"/>
      <c r="L80" s="1949"/>
      <c r="M80" s="1950"/>
      <c r="N80" s="1948"/>
      <c r="O80" s="1951"/>
      <c r="P80"/>
      <c r="Q80"/>
      <c r="R80"/>
      <c r="S80"/>
      <c r="T80"/>
      <c r="U80"/>
      <c r="V80"/>
      <c r="W80"/>
      <c r="X80"/>
      <c r="Y80"/>
    </row>
    <row r="81" spans="1:20" s="528" customFormat="1" ht="16.5" customHeight="1" x14ac:dyDescent="0.2">
      <c r="A81" s="530"/>
      <c r="B81" s="542"/>
      <c r="C81" s="542"/>
      <c r="D81" s="1397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951"/>
      <c r="P81" s="951"/>
      <c r="Q81" s="951"/>
      <c r="R81" s="951"/>
      <c r="S81" s="951"/>
      <c r="T81" s="951"/>
    </row>
    <row r="82" spans="1:20" s="528" customFormat="1" ht="16.5" customHeight="1" x14ac:dyDescent="0.2">
      <c r="A82" s="530"/>
      <c r="B82" s="542"/>
      <c r="C82" s="542"/>
      <c r="D82" s="1397"/>
      <c r="E82" s="542"/>
      <c r="F82" s="542"/>
      <c r="G82" s="542"/>
      <c r="H82" s="542"/>
      <c r="I82" s="542"/>
      <c r="J82" s="542"/>
      <c r="K82" s="542"/>
      <c r="L82" s="542"/>
      <c r="M82" s="542"/>
      <c r="N82" s="542"/>
      <c r="O82" s="951"/>
      <c r="P82" s="951"/>
      <c r="Q82" s="951"/>
      <c r="R82" s="951"/>
      <c r="S82" s="951"/>
      <c r="T82" s="951"/>
    </row>
    <row r="83" spans="1:20" s="528" customFormat="1" ht="16.5" customHeight="1" x14ac:dyDescent="0.2">
      <c r="A83" s="530"/>
      <c r="B83" s="542"/>
      <c r="C83" s="542"/>
      <c r="D83" s="1397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951"/>
      <c r="P83" s="951"/>
      <c r="Q83" s="951"/>
      <c r="R83" s="951"/>
      <c r="S83" s="951"/>
      <c r="T83" s="951"/>
    </row>
  </sheetData>
  <sheetProtection sheet="1" objects="1" scenarios="1"/>
  <mergeCells count="6">
    <mergeCell ref="L24:L26"/>
    <mergeCell ref="I23:L23"/>
    <mergeCell ref="F11:F12"/>
    <mergeCell ref="B1:C1"/>
    <mergeCell ref="G1:H1"/>
    <mergeCell ref="L2:N2"/>
  </mergeCells>
  <phoneticPr fontId="0" type="noConversion"/>
  <dataValidations count="3">
    <dataValidation type="custom" errorStyle="warning" allowBlank="1" showInputMessage="1" showErrorMessage="1" errorTitle="zuviele Schlepper ausgewählt" error="es darf maximal ein Schlepper mit &quot;x&quot; ausgewählt werden.Bei Änderungen das &quot;x&quot; vorher löschen !" sqref="I27:I79">
      <formula1>AD27&lt;2</formula1>
    </dataValidation>
    <dataValidation type="custom" errorStyle="warning" allowBlank="1" showInputMessage="1" showErrorMessage="1" errorTitle="zuviele Schlepper ausgewählt" error="es darf maximal ein Schlepper mit &quot;x&quot; ausgewählt werden.Bei Änderungen das &quot;x&quot; vorher löschen !" sqref="J27:J79">
      <formula1>AD27&lt;2</formula1>
    </dataValidation>
    <dataValidation type="custom" errorStyle="warning" allowBlank="1" showInputMessage="1" showErrorMessage="1" errorTitle="zuviele Schlepper ausgewählt" error="es darf maximal ein Schlepper mit &quot;x&quot; ausgewählt werden.Bei Änderungen das &quot;x&quot; vorher löschen !" sqref="K27:K79">
      <formula1>AD27&lt;2</formula1>
    </dataValidation>
  </dataValidations>
  <printOptions horizontalCentered="1"/>
  <pageMargins left="0.5" right="0.28000000000000003" top="0.54" bottom="0.5" header="0.51181102362204722" footer="0.31496062992125984"/>
  <pageSetup paperSize="9" scale="56" firstPageNumber="15" orientation="portrait" useFirstPageNumber="1" verticalDpi="360" r:id="rId1"/>
  <headerFooter alignWithMargins="0">
    <oddFooter>&amp;L&amp;12LEL Schwäbisch Gmünd (Abtlg. II)
LAZBW Aulendorf&amp;C&amp;12 19&amp;9
&amp;R&amp;12&amp;F
&amp;A</oddFooter>
  </headerFooter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9">
    <pageSetUpPr fitToPage="1"/>
  </sheetPr>
  <dimension ref="A1:CA70"/>
  <sheetViews>
    <sheetView showGridLines="0" showZeros="0" zoomScale="85" zoomScaleNormal="85" zoomScaleSheetLayoutView="75" workbookViewId="0">
      <pane xSplit="10" ySplit="5" topLeftCell="K6" activePane="bottomRight" state="frozen"/>
      <selection activeCell="J40" sqref="J40"/>
      <selection pane="topRight" activeCell="J40" sqref="J40"/>
      <selection pane="bottomLeft" activeCell="J40" sqref="J40"/>
      <selection pane="bottomRight" activeCell="J40" sqref="J40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ht="15.95" customHeight="1" x14ac:dyDescent="0.2">
      <c r="B1" s="4320" t="s">
        <v>312</v>
      </c>
      <c r="C1" s="4320"/>
      <c r="D1" s="4320"/>
      <c r="E1" s="4320"/>
      <c r="F1" s="4320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646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1398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619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110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/>
      <c r="L6" s="706">
        <v>8</v>
      </c>
      <c r="M6" s="702"/>
      <c r="N6" s="706">
        <v>8</v>
      </c>
      <c r="O6" s="702"/>
      <c r="P6" s="706">
        <v>8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19</v>
      </c>
      <c r="L7" s="706">
        <v>21</v>
      </c>
      <c r="M7" s="702">
        <v>19</v>
      </c>
      <c r="N7" s="706">
        <v>21</v>
      </c>
      <c r="O7" s="702">
        <v>19</v>
      </c>
      <c r="P7" s="706">
        <v>21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80</v>
      </c>
      <c r="L9" s="721">
        <f>IF(K7=0,0,K9/K7*100)</f>
        <v>421.05263157894734</v>
      </c>
      <c r="M9" s="809">
        <f>M5*(100-M6)/100</f>
        <v>110</v>
      </c>
      <c r="N9" s="810">
        <f>IF(M7=0,0,M9/M7*100)</f>
        <v>578.9473684210526</v>
      </c>
      <c r="O9" s="720">
        <f>O5*(100-O6)/100</f>
        <v>140</v>
      </c>
      <c r="P9" s="721">
        <f>IF(O7=0,0,O9/O7*100)</f>
        <v>736.84210526315792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61.919504643962846</v>
      </c>
      <c r="M10" s="286"/>
      <c r="N10" s="811">
        <f>IF(R10=TRUE,IF(M8=0,0,1/M8*N9),0)</f>
        <v>85.139318885448915</v>
      </c>
      <c r="O10" s="173"/>
      <c r="P10" s="722">
        <f>IF(R10=TRUE,IF(O8=0,0,1/O8*P9),0)</f>
        <v>108.35913312693499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73.599999999999994</v>
      </c>
      <c r="L11" s="709">
        <f>IF(L7=0,0,K11/L7*100)</f>
        <v>350.47619047619042</v>
      </c>
      <c r="M11" s="812">
        <f>M9*(100-N6)/100</f>
        <v>101.2</v>
      </c>
      <c r="N11" s="813">
        <f>IF(N7=0,0,M11/N7*100)</f>
        <v>481.90476190476187</v>
      </c>
      <c r="O11" s="708">
        <f>O9*(100-P6)/100</f>
        <v>128.80000000000001</v>
      </c>
      <c r="P11" s="709">
        <f>IF(P7=0,0,O11/P7*100)</f>
        <v>613.33333333333337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51.540616246498594</v>
      </c>
      <c r="M12" s="801"/>
      <c r="N12" s="814">
        <f>IF(N8=0,0,1/N8*N11)</f>
        <v>70.868347338935578</v>
      </c>
      <c r="O12" s="487"/>
      <c r="P12" s="502">
        <f>IF(P8=0,0,1/P8*P11)</f>
        <v>90.196078431372555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v>33</v>
      </c>
      <c r="L13" s="418"/>
      <c r="M13" s="499">
        <v>33</v>
      </c>
      <c r="N13" s="784"/>
      <c r="O13" s="499">
        <v>33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1.1879999999999999</v>
      </c>
      <c r="L14" s="418"/>
      <c r="M14" s="815">
        <f>M13*$G14</f>
        <v>1.1879999999999999</v>
      </c>
      <c r="N14" s="784"/>
      <c r="O14" s="513">
        <f>O13*$G14</f>
        <v>1.1879999999999999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2428.7999999999997</v>
      </c>
      <c r="L15" s="418"/>
      <c r="M15" s="816">
        <f>M$11*M13</f>
        <v>3339.6</v>
      </c>
      <c r="N15" s="784"/>
      <c r="O15" s="497">
        <f>O$11*O13</f>
        <v>4250.4000000000005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87.436799999999991</v>
      </c>
      <c r="L16" s="417"/>
      <c r="M16" s="817">
        <f>M$11*M14</f>
        <v>120.2256</v>
      </c>
      <c r="N16" s="428"/>
      <c r="O16" s="498">
        <f>O$11*O14</f>
        <v>153.01439999999999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563.00550133333331</v>
      </c>
      <c r="M17" s="2600">
        <f>K17</f>
        <v>1</v>
      </c>
      <c r="N17" s="2591">
        <f>M17*(N33*(1-$AC$14)+N34*(1-$AC$15)+N35*(1-$AC$16)+N36*(1-$AC$17))</f>
        <v>774.13256433333322</v>
      </c>
      <c r="O17" s="2601">
        <f>K17</f>
        <v>1</v>
      </c>
      <c r="P17" s="2590">
        <f>O17*(P33*(1-$AC$14)+P34*(1-$AC$15)+P35*(1-$AC$16)+P36*(1-$AC$17))</f>
        <v>985.25962733333313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SUM(L19:L23)</f>
        <v>0</v>
      </c>
      <c r="M18" s="3208"/>
      <c r="N18" s="3209">
        <f>SUM(N19:N23)</f>
        <v>0</v>
      </c>
      <c r="O18" s="3206"/>
      <c r="P18" s="3207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63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1053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1444.5</v>
      </c>
      <c r="M27" s="804"/>
      <c r="N27" s="3211">
        <f>SUM(N29:N30)</f>
        <v>1444.5</v>
      </c>
      <c r="O27" s="330"/>
      <c r="P27" s="3210">
        <f>SUM(P29:P30)</f>
        <v>1444.5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0.45</v>
      </c>
      <c r="I29" s="711">
        <f>H29*($H$27+100)/100</f>
        <v>0.48149999999999998</v>
      </c>
      <c r="J29" s="357"/>
      <c r="K29" s="440">
        <v>3000</v>
      </c>
      <c r="L29" s="337">
        <f>$I29*K29</f>
        <v>1444.5</v>
      </c>
      <c r="M29" s="440">
        <v>3000</v>
      </c>
      <c r="N29" s="791">
        <f>$I29*M29</f>
        <v>1444.5</v>
      </c>
      <c r="O29" s="440">
        <v>3000</v>
      </c>
      <c r="P29" s="337">
        <f>$I29*O29</f>
        <v>1444.5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631.84557333333328</v>
      </c>
      <c r="M31" s="3216"/>
      <c r="N31" s="3211">
        <f>SUM(N33:N36)</f>
        <v>868.78766333333328</v>
      </c>
      <c r="O31" s="3215"/>
      <c r="P31" s="3210">
        <f>SUM(P33:P36)</f>
        <v>1105.7297533333331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1.67</v>
      </c>
      <c r="H33" s="386">
        <v>0</v>
      </c>
      <c r="I33"/>
      <c r="J33" s="172"/>
      <c r="K33" s="336">
        <f>G33*$K$9+H33</f>
        <v>133.6</v>
      </c>
      <c r="L33" s="337">
        <f>K33*$E33</f>
        <v>229.46690666666666</v>
      </c>
      <c r="M33" s="820">
        <f>G33*$M$9+H33</f>
        <v>183.7</v>
      </c>
      <c r="N33" s="791">
        <f>M33*$E33</f>
        <v>315.51699666666667</v>
      </c>
      <c r="O33" s="336">
        <f>G33*$O$9+H33</f>
        <v>233.79999999999998</v>
      </c>
      <c r="P33" s="337">
        <f>O33*$E33</f>
        <v>401.56708666666663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0.86</v>
      </c>
      <c r="H34" s="386"/>
      <c r="I34"/>
      <c r="J34" s="172"/>
      <c r="K34" s="336">
        <f>G34*$K$9+H34</f>
        <v>68.8</v>
      </c>
      <c r="L34" s="337">
        <f>K34*$E34</f>
        <v>77.778399999999991</v>
      </c>
      <c r="M34" s="820">
        <f>G34*$M$9+H34</f>
        <v>94.6</v>
      </c>
      <c r="N34" s="791">
        <f>M34*$E34</f>
        <v>106.94529999999997</v>
      </c>
      <c r="O34" s="336">
        <f>G34*$O$9+H34</f>
        <v>120.39999999999999</v>
      </c>
      <c r="P34" s="337">
        <f>O34*$E34</f>
        <v>136.11219999999997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3.86</v>
      </c>
      <c r="H35" s="386"/>
      <c r="I35"/>
      <c r="J35" s="172"/>
      <c r="K35" s="336">
        <f>G35*$K$9+H35</f>
        <v>308.8</v>
      </c>
      <c r="L35" s="337">
        <f>K35*$E35</f>
        <v>324.60026666666664</v>
      </c>
      <c r="M35" s="820">
        <f>G35*$M$9+H35</f>
        <v>424.59999999999997</v>
      </c>
      <c r="N35" s="791">
        <f>M35*$E35</f>
        <v>446.32536666666658</v>
      </c>
      <c r="O35" s="336">
        <f>G35*$O$9+H35</f>
        <v>540.4</v>
      </c>
      <c r="P35" s="337">
        <f>O35*$E35</f>
        <v>568.05046666666658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/>
      <c r="H36" s="387"/>
      <c r="I36" s="36"/>
      <c r="J36" s="36"/>
      <c r="K36" s="338">
        <f>G36*$K$9+H36</f>
        <v>0</v>
      </c>
      <c r="L36" s="333">
        <f>K36*$E36</f>
        <v>0</v>
      </c>
      <c r="M36" s="821">
        <f>G36*$M$9+H36</f>
        <v>0</v>
      </c>
      <c r="N36" s="792">
        <f>M36*$E36</f>
        <v>0</v>
      </c>
      <c r="O36" s="338">
        <f>G36*$O$9+H36</f>
        <v>0</v>
      </c>
      <c r="P36" s="333">
        <f>O36*$E36</f>
        <v>0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284.70484387922397</v>
      </c>
      <c r="M42" s="3225"/>
      <c r="N42" s="3211">
        <f>SUM(W45:W55)</f>
        <v>290.13918308637597</v>
      </c>
      <c r="O42" s="3224"/>
      <c r="P42" s="3210">
        <f>SUM(Z45:Z55)</f>
        <v>295.57352229352796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.75" customHeight="1" x14ac:dyDescent="0.2">
      <c r="A45" s="195" t="s">
        <v>552</v>
      </c>
      <c r="B45" s="1912">
        <v>1</v>
      </c>
      <c r="C45" s="104"/>
      <c r="D45" s="137"/>
      <c r="E45" s="8"/>
      <c r="F45" s="8"/>
      <c r="G45" s="731"/>
      <c r="H45" s="3229" t="str">
        <f>IF($B45=0,0,VLOOKUP($B45,Arbeitsgänge!$B$27:$T$80,7))</f>
        <v>120 Kw</v>
      </c>
      <c r="I45" s="727">
        <f>IF($B45=0,0,VLOOKUP($B45,Arbeitsgänge!$B$27:$T$80,12))</f>
        <v>1.45</v>
      </c>
      <c r="J45" s="469">
        <f>IF($B45=0,0,VLOOKUP($B45,Arbeitsgänge!$B$27:$T$80,14))</f>
        <v>91.198364600000005</v>
      </c>
      <c r="K45" s="374">
        <v>1</v>
      </c>
      <c r="L45" s="337">
        <f t="shared" ref="L45:L55" si="0">K45*$J45</f>
        <v>91.198364600000005</v>
      </c>
      <c r="M45" s="374">
        <v>1</v>
      </c>
      <c r="N45" s="791">
        <f t="shared" ref="N45:N55" si="1">M45*$J45</f>
        <v>91.198364600000005</v>
      </c>
      <c r="O45" s="374">
        <v>1</v>
      </c>
      <c r="P45" s="337">
        <f t="shared" ref="P45:P55" si="2">O45*$J45</f>
        <v>91.198364600000005</v>
      </c>
      <c r="Q45" s="528"/>
      <c r="R45" s="1344">
        <f t="shared" ref="R45:R55" si="3">$I45*K45</f>
        <v>1.45</v>
      </c>
      <c r="S45" s="535" t="e">
        <f>K45*#REF!</f>
        <v>#REF!</v>
      </c>
      <c r="T45" s="258">
        <f t="shared" ref="T45:T55" si="4">K45*$J45</f>
        <v>91.198364600000005</v>
      </c>
      <c r="U45" s="1345">
        <f t="shared" ref="U45:U55" si="5">$I45*M45</f>
        <v>1.45</v>
      </c>
      <c r="V45" s="1346" t="e">
        <f>M45*#REF!</f>
        <v>#REF!</v>
      </c>
      <c r="W45" s="827">
        <f t="shared" ref="W45:W55" si="6">M45*$J45</f>
        <v>91.198364600000005</v>
      </c>
      <c r="X45" s="1347">
        <f t="shared" ref="X45:X55" si="7">$I45*O45</f>
        <v>1.45</v>
      </c>
      <c r="Y45" s="535" t="e">
        <f>O45*#REF!</f>
        <v>#REF!</v>
      </c>
      <c r="Z45" s="258">
        <f t="shared" ref="Z45:Z55" si="8">O45*$J45</f>
        <v>91.198364600000005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.75" customHeight="1" x14ac:dyDescent="0.2">
      <c r="A46" s="195" t="s">
        <v>552</v>
      </c>
      <c r="B46" s="1912">
        <v>2</v>
      </c>
      <c r="C46" s="104"/>
      <c r="D46" s="3310"/>
      <c r="E46" s="8"/>
      <c r="F46" s="8"/>
      <c r="G46" s="731"/>
      <c r="H46" s="3229" t="str">
        <f>IF($B46=0,0,VLOOKUP($B46,Arbeitsgänge!$B$27:$T$80,7))</f>
        <v>83 Kw</v>
      </c>
      <c r="I46" s="727">
        <f>IF($B46=0,0,VLOOKUP($B46,Arbeitsgänge!$B$27:$T$80,12))</f>
        <v>0.95</v>
      </c>
      <c r="J46" s="469">
        <f>IF($B46=0,0,VLOOKUP($B46,Arbeitsgänge!$B$27:$T$80,14))</f>
        <v>42.122053129999998</v>
      </c>
      <c r="K46" s="375">
        <v>1</v>
      </c>
      <c r="L46" s="337">
        <f t="shared" si="0"/>
        <v>42.122053129999998</v>
      </c>
      <c r="M46" s="375">
        <v>1</v>
      </c>
      <c r="N46" s="791">
        <f t="shared" si="1"/>
        <v>42.122053129999998</v>
      </c>
      <c r="O46" s="375">
        <v>1</v>
      </c>
      <c r="P46" s="337">
        <f t="shared" si="2"/>
        <v>42.122053129999998</v>
      </c>
      <c r="Q46" s="528"/>
      <c r="R46" s="1348">
        <f t="shared" si="3"/>
        <v>0.95</v>
      </c>
      <c r="S46" s="471" t="e">
        <f>K46*#REF!</f>
        <v>#REF!</v>
      </c>
      <c r="T46" s="258">
        <f t="shared" si="4"/>
        <v>42.122053129999998</v>
      </c>
      <c r="U46" s="1349">
        <f t="shared" si="5"/>
        <v>0.95</v>
      </c>
      <c r="V46" s="1350" t="e">
        <f>M46*#REF!</f>
        <v>#REF!</v>
      </c>
      <c r="W46" s="827">
        <f t="shared" si="6"/>
        <v>42.122053129999998</v>
      </c>
      <c r="X46" s="1351">
        <f t="shared" si="7"/>
        <v>0.95</v>
      </c>
      <c r="Y46" s="471" t="e">
        <f>O46*#REF!</f>
        <v>#REF!</v>
      </c>
      <c r="Z46" s="258">
        <f t="shared" si="8"/>
        <v>42.122053129999998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.75" customHeight="1" x14ac:dyDescent="0.2">
      <c r="A47" s="195" t="s">
        <v>552</v>
      </c>
      <c r="B47" s="1912">
        <v>4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0.59</v>
      </c>
      <c r="J47" s="469">
        <f>IF($B47=0,0,VLOOKUP($B47,Arbeitsgänge!$B$27:$T$80,14))</f>
        <v>18.731923576</v>
      </c>
      <c r="K47" s="375">
        <v>1</v>
      </c>
      <c r="L47" s="337">
        <f t="shared" si="0"/>
        <v>18.731923576</v>
      </c>
      <c r="M47" s="375">
        <v>1</v>
      </c>
      <c r="N47" s="791">
        <f t="shared" si="1"/>
        <v>18.731923576</v>
      </c>
      <c r="O47" s="375">
        <v>1</v>
      </c>
      <c r="P47" s="337">
        <f t="shared" si="2"/>
        <v>18.731923576</v>
      </c>
      <c r="Q47" s="528"/>
      <c r="R47" s="1348">
        <f t="shared" si="3"/>
        <v>0.59</v>
      </c>
      <c r="S47" s="471" t="e">
        <f>K47*#REF!</f>
        <v>#REF!</v>
      </c>
      <c r="T47" s="258">
        <f t="shared" si="4"/>
        <v>18.731923576</v>
      </c>
      <c r="U47" s="1349">
        <f t="shared" si="5"/>
        <v>0.59</v>
      </c>
      <c r="V47" s="1350" t="e">
        <f>M47*#REF!</f>
        <v>#REF!</v>
      </c>
      <c r="W47" s="827">
        <f t="shared" si="6"/>
        <v>18.731923576</v>
      </c>
      <c r="X47" s="1351">
        <f t="shared" si="7"/>
        <v>0.59</v>
      </c>
      <c r="Y47" s="471" t="e">
        <f>O47*#REF!</f>
        <v>#REF!</v>
      </c>
      <c r="Z47" s="258">
        <f t="shared" si="8"/>
        <v>18.731923576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.75" customHeight="1" x14ac:dyDescent="0.2">
      <c r="A48" s="195" t="s">
        <v>552</v>
      </c>
      <c r="B48" s="1912">
        <v>6</v>
      </c>
      <c r="C48" s="104"/>
      <c r="D48" s="137"/>
      <c r="E48" s="8"/>
      <c r="F48" s="8"/>
      <c r="G48" s="731"/>
      <c r="H48" s="3229" t="str">
        <f>IF($B48=0,0,VLOOKUP($B48,Arbeitsgänge!$B$27:$T$80,7))</f>
        <v>54 kW</v>
      </c>
      <c r="I48" s="727">
        <f>IF($B48=0,0,VLOOKUP($B48,Arbeitsgänge!$B$27:$T$80,12))</f>
        <v>0.63</v>
      </c>
      <c r="J48" s="469">
        <f>IF($B48=0,0,VLOOKUP($B48,Arbeitsgänge!$B$27:$T$80,14))</f>
        <v>12.038093180399995</v>
      </c>
      <c r="K48" s="375">
        <v>1</v>
      </c>
      <c r="L48" s="337">
        <f t="shared" si="0"/>
        <v>12.038093180399995</v>
      </c>
      <c r="M48" s="375">
        <v>1</v>
      </c>
      <c r="N48" s="791">
        <f t="shared" si="1"/>
        <v>12.038093180399995</v>
      </c>
      <c r="O48" s="375">
        <v>1</v>
      </c>
      <c r="P48" s="337">
        <f t="shared" si="2"/>
        <v>12.038093180399995</v>
      </c>
      <c r="Q48" s="528"/>
      <c r="R48" s="1348">
        <f t="shared" si="3"/>
        <v>0.63</v>
      </c>
      <c r="S48" s="471" t="e">
        <f>K48*#REF!</f>
        <v>#REF!</v>
      </c>
      <c r="T48" s="258">
        <f t="shared" si="4"/>
        <v>12.038093180399995</v>
      </c>
      <c r="U48" s="1349">
        <f t="shared" si="5"/>
        <v>0.63</v>
      </c>
      <c r="V48" s="1350" t="e">
        <f>M48*#REF!</f>
        <v>#REF!</v>
      </c>
      <c r="W48" s="827">
        <f t="shared" si="6"/>
        <v>12.038093180399995</v>
      </c>
      <c r="X48" s="1351">
        <f t="shared" si="7"/>
        <v>0.63</v>
      </c>
      <c r="Y48" s="471" t="e">
        <f>O48*#REF!</f>
        <v>#REF!</v>
      </c>
      <c r="Z48" s="258">
        <f t="shared" si="8"/>
        <v>12.038093180399995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.75" customHeight="1" x14ac:dyDescent="0.2">
      <c r="A49" s="195" t="s">
        <v>552</v>
      </c>
      <c r="B49" s="1912">
        <v>10</v>
      </c>
      <c r="C49" s="104"/>
      <c r="D49" s="137"/>
      <c r="E49" s="8"/>
      <c r="F49" s="8"/>
      <c r="G49" s="731"/>
      <c r="H49" s="3229" t="str">
        <f>IF($B49=0,0,VLOOKUP($B49,Arbeitsgänge!$B$27:$T$80,7))</f>
        <v>45 kW</v>
      </c>
      <c r="I49" s="727">
        <f>IF($B49=0,0,VLOOKUP($B49,Arbeitsgänge!$B$27:$T$80,12))</f>
        <v>0.55000000000000004</v>
      </c>
      <c r="J49" s="469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.75" customHeight="1" x14ac:dyDescent="0.2">
      <c r="A50" s="195" t="s">
        <v>552</v>
      </c>
      <c r="B50" s="1912">
        <v>8</v>
      </c>
      <c r="C50" s="104"/>
      <c r="D50" s="137"/>
      <c r="E50" s="8"/>
      <c r="F50" s="8"/>
      <c r="G50" s="731"/>
      <c r="H50" s="3229" t="str">
        <f>IF($B50=0,0,VLOOKUP($B50,Arbeitsgänge!$B$27:$T$80,7))</f>
        <v>120 Kw</v>
      </c>
      <c r="I50" s="727">
        <f>IF($B50=0,0,VLOOKUP($B50,Arbeitsgänge!$B$27:$T$80,12))</f>
        <v>1.17</v>
      </c>
      <c r="J50" s="469">
        <f>IF($B50=0,0,VLOOKUP($B50,Arbeitsgänge!$B$27:$T$80,14))</f>
        <v>79.320163159999993</v>
      </c>
      <c r="K50" s="375">
        <v>1</v>
      </c>
      <c r="L50" s="337">
        <f t="shared" si="0"/>
        <v>79.320163159999993</v>
      </c>
      <c r="M50" s="375">
        <v>1</v>
      </c>
      <c r="N50" s="791">
        <f t="shared" si="1"/>
        <v>79.320163159999993</v>
      </c>
      <c r="O50" s="375">
        <v>1</v>
      </c>
      <c r="P50" s="337">
        <f t="shared" si="2"/>
        <v>79.320163159999993</v>
      </c>
      <c r="Q50" s="528"/>
      <c r="R50" s="1348">
        <f t="shared" si="3"/>
        <v>1.17</v>
      </c>
      <c r="S50" s="471" t="e">
        <f>K50*#REF!</f>
        <v>#REF!</v>
      </c>
      <c r="T50" s="258">
        <f t="shared" si="4"/>
        <v>79.320163159999993</v>
      </c>
      <c r="U50" s="1349">
        <f t="shared" si="5"/>
        <v>1.17</v>
      </c>
      <c r="V50" s="1350" t="e">
        <f>M50*#REF!</f>
        <v>#REF!</v>
      </c>
      <c r="W50" s="827">
        <f t="shared" si="6"/>
        <v>79.320163159999993</v>
      </c>
      <c r="X50" s="1351">
        <f t="shared" si="7"/>
        <v>1.17</v>
      </c>
      <c r="Y50" s="471" t="e">
        <f>O50*#REF!</f>
        <v>#REF!</v>
      </c>
      <c r="Z50" s="258">
        <f t="shared" si="8"/>
        <v>79.320163159999993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.75" customHeight="1" x14ac:dyDescent="0.2">
      <c r="A51" s="195" t="s">
        <v>552</v>
      </c>
      <c r="B51" s="1912">
        <v>26</v>
      </c>
      <c r="C51" s="104"/>
      <c r="D51" s="137"/>
      <c r="E51" s="8"/>
      <c r="F51" s="8"/>
      <c r="G51" s="731"/>
      <c r="H51" s="3229" t="str">
        <f>IF($B51=0,0,VLOOKUP($B51,Arbeitsgänge!$B$27:$T$80,7))</f>
        <v>45 kW</v>
      </c>
      <c r="I51" s="727">
        <f>IF($B51=0,0,VLOOKUP($B51,Arbeitsgänge!$B$27:$T$80,12))</f>
        <v>0.48</v>
      </c>
      <c r="J51" s="469">
        <f>IF($B51=0,0,VLOOKUP($B51,Arbeitsgänge!$B$27:$T$80,14))</f>
        <v>9.4573661503999986</v>
      </c>
      <c r="K51" s="2636">
        <v>1</v>
      </c>
      <c r="L51" s="337">
        <f t="shared" si="0"/>
        <v>9.4573661503999986</v>
      </c>
      <c r="M51" s="2636">
        <v>1</v>
      </c>
      <c r="N51" s="791">
        <f t="shared" si="1"/>
        <v>9.4573661503999986</v>
      </c>
      <c r="O51" s="2636">
        <v>1</v>
      </c>
      <c r="P51" s="337">
        <f t="shared" si="2"/>
        <v>9.4573661503999986</v>
      </c>
      <c r="Q51" s="528"/>
      <c r="R51" s="1348">
        <f t="shared" si="3"/>
        <v>0.48</v>
      </c>
      <c r="S51" s="471" t="e">
        <f>K51*#REF!</f>
        <v>#REF!</v>
      </c>
      <c r="T51" s="258">
        <f t="shared" si="4"/>
        <v>9.4573661503999986</v>
      </c>
      <c r="U51" s="1349">
        <f t="shared" si="5"/>
        <v>0.48</v>
      </c>
      <c r="V51" s="1350" t="e">
        <f>M51*#REF!</f>
        <v>#REF!</v>
      </c>
      <c r="W51" s="827">
        <f t="shared" si="6"/>
        <v>9.4573661503999986</v>
      </c>
      <c r="X51" s="1351">
        <f t="shared" si="7"/>
        <v>0.48</v>
      </c>
      <c r="Y51" s="471" t="e">
        <f>O51*#REF!</f>
        <v>#REF!</v>
      </c>
      <c r="Z51" s="258">
        <f t="shared" si="8"/>
        <v>9.4573661503999986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.75" customHeight="1" x14ac:dyDescent="0.2">
      <c r="A52" s="195" t="s">
        <v>552</v>
      </c>
      <c r="B52" s="1912">
        <v>4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0.59</v>
      </c>
      <c r="J52" s="469">
        <f>IF($B52=0,0,VLOOKUP($B52,Arbeitsgänge!$B$27:$T$80,14))</f>
        <v>18.731923576</v>
      </c>
      <c r="K52" s="2636"/>
      <c r="L52" s="337">
        <f t="shared" si="0"/>
        <v>0</v>
      </c>
      <c r="M52" s="2636"/>
      <c r="N52" s="791">
        <f t="shared" si="1"/>
        <v>0</v>
      </c>
      <c r="O52" s="2636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.75" customHeight="1" x14ac:dyDescent="0.2">
      <c r="A53" s="195" t="s">
        <v>552</v>
      </c>
      <c r="B53" s="1912">
        <v>6</v>
      </c>
      <c r="C53" s="104"/>
      <c r="D53" s="137"/>
      <c r="E53" s="8"/>
      <c r="F53" s="8"/>
      <c r="G53" s="731"/>
      <c r="H53" s="3229" t="str">
        <f>IF($B53=0,0,VLOOKUP($B53,Arbeitsgänge!$B$27:$T$80,7))</f>
        <v>54 kW</v>
      </c>
      <c r="I53" s="727">
        <f>IF($B53=0,0,VLOOKUP($B53,Arbeitsgänge!$B$27:$T$80,12))</f>
        <v>0.63</v>
      </c>
      <c r="J53" s="469">
        <f>IF($B53=0,0,VLOOKUP($B53,Arbeitsgänge!$B$27:$T$80,14))</f>
        <v>12.038093180399995</v>
      </c>
      <c r="K53" s="2636">
        <f>421/350</f>
        <v>1.2028571428571428</v>
      </c>
      <c r="L53" s="337">
        <f t="shared" si="0"/>
        <v>14.480106368423995</v>
      </c>
      <c r="M53" s="2636">
        <f>579/350</f>
        <v>1.6542857142857144</v>
      </c>
      <c r="N53" s="791">
        <f t="shared" si="1"/>
        <v>19.914445575575993</v>
      </c>
      <c r="O53" s="2636">
        <f>737/350</f>
        <v>2.1057142857142859</v>
      </c>
      <c r="P53" s="337">
        <f t="shared" si="2"/>
        <v>25.348784782727993</v>
      </c>
      <c r="Q53" s="528"/>
      <c r="R53" s="1348">
        <f t="shared" si="3"/>
        <v>0.75780000000000003</v>
      </c>
      <c r="S53" s="471" t="e">
        <f>K53*#REF!</f>
        <v>#REF!</v>
      </c>
      <c r="T53" s="258">
        <f t="shared" si="4"/>
        <v>14.480106368423995</v>
      </c>
      <c r="U53" s="1349">
        <f t="shared" si="5"/>
        <v>1.0422</v>
      </c>
      <c r="V53" s="1350" t="e">
        <f>M53*#REF!</f>
        <v>#REF!</v>
      </c>
      <c r="W53" s="827">
        <f t="shared" si="6"/>
        <v>19.914445575575993</v>
      </c>
      <c r="X53" s="1351">
        <f t="shared" si="7"/>
        <v>1.3266</v>
      </c>
      <c r="Y53" s="471" t="e">
        <f>O53*#REF!</f>
        <v>#REF!</v>
      </c>
      <c r="Z53" s="258">
        <f t="shared" si="8"/>
        <v>25.348784782727993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.75" customHeight="1" x14ac:dyDescent="0.2">
      <c r="A54" s="195" t="s">
        <v>552</v>
      </c>
      <c r="B54" s="1912">
        <v>9</v>
      </c>
      <c r="C54" s="104"/>
      <c r="D54" s="137"/>
      <c r="E54" s="8"/>
      <c r="F54" s="8"/>
      <c r="G54" s="731"/>
      <c r="H54" s="3229" t="str">
        <f>IF($B54=0,0,VLOOKUP($B54,Arbeitsgänge!$B$27:$T$80,7))</f>
        <v>67 Kw</v>
      </c>
      <c r="I54" s="727">
        <f>IF($B54=0,0,VLOOKUP($B54,Arbeitsgänge!$B$27:$T$80,12))</f>
        <v>0.61</v>
      </c>
      <c r="J54" s="469">
        <f>IF($B54=0,0,VLOOKUP($B54,Arbeitsgänge!$B$27:$T$80,14))</f>
        <v>14.5023886728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.75" customHeight="1" x14ac:dyDescent="0.2">
      <c r="A55" s="195" t="s">
        <v>552</v>
      </c>
      <c r="B55" s="1912">
        <v>10</v>
      </c>
      <c r="C55" s="104"/>
      <c r="D55" s="138"/>
      <c r="E55" s="85"/>
      <c r="F55" s="85"/>
      <c r="G55" s="732"/>
      <c r="H55" s="3230" t="str">
        <f>IF($B55=0,0,VLOOKUP($B55,Arbeitsgänge!$B$27:$T$80,7))</f>
        <v>45 kW</v>
      </c>
      <c r="I55" s="728">
        <f>IF($B55=0,0,VLOOKUP($B55,Arbeitsgänge!$B$27:$T$80,12))</f>
        <v>0.55000000000000004</v>
      </c>
      <c r="J55" s="3231">
        <f>IF($B55=0,0,VLOOKUP($B55,Arbeitsgänge!$B$27:$T$80,14))</f>
        <v>17.356773713999999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6.5777999999999999</v>
      </c>
      <c r="L56" s="341"/>
      <c r="M56" s="3239">
        <f>SUM($U$45:$U$55)</f>
        <v>6.8622000000000005</v>
      </c>
      <c r="N56" s="798"/>
      <c r="O56" s="3238">
        <f>SUM($X$45:$X$55)</f>
        <v>7.1466000000000003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SUM($R$45:$R$55)+SUM($R$45:$R$55)*$G$57/100</f>
        <v>11.840039999999998</v>
      </c>
      <c r="L57" s="3247"/>
      <c r="M57" s="3248">
        <f>SUM($U$45:$U$55)+SUM($U$45:$U$55)*$G$57/100</f>
        <v>12.351960000000002</v>
      </c>
      <c r="N57" s="3249"/>
      <c r="O57" s="3246">
        <f>SUM($X$45:$X$55)+SUM($X$45:$X$55)*$G$57/100</f>
        <v>12.863880000000002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806.47427368421063</v>
      </c>
      <c r="M58" s="3251"/>
      <c r="N58" s="3211">
        <f>SUM(N60:N62)</f>
        <v>939.32712631578943</v>
      </c>
      <c r="O58" s="3250"/>
      <c r="P58" s="3210">
        <f>SUM(P60:P62)</f>
        <v>1072.1799789473687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648</v>
      </c>
      <c r="E60" s="3020"/>
      <c r="F60" s="3020"/>
      <c r="G60" s="3021"/>
      <c r="H60" s="3012">
        <v>600</v>
      </c>
      <c r="I60" s="3022"/>
      <c r="J60" s="3015">
        <f>H60*($H$58+100)/100</f>
        <v>714</v>
      </c>
      <c r="K60" s="3023">
        <v>0.9</v>
      </c>
      <c r="L60" s="3015">
        <f>K60*J60</f>
        <v>642.6</v>
      </c>
      <c r="M60" s="3023">
        <v>1</v>
      </c>
      <c r="N60" s="3016">
        <f>M60*J60</f>
        <v>714</v>
      </c>
      <c r="O60" s="3023">
        <v>1.1000000000000001</v>
      </c>
      <c r="P60" s="3015">
        <f>O60*J60</f>
        <v>785.40000000000009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30.602105263157895</v>
      </c>
      <c r="L62" s="308">
        <f>K62*I62</f>
        <v>163.87427368421055</v>
      </c>
      <c r="M62" s="2626">
        <f>M11/($V$63)/10*($V$65*M17)</f>
        <v>42.077894736842104</v>
      </c>
      <c r="N62" s="828">
        <f>M62*I62</f>
        <v>225.32712631578949</v>
      </c>
      <c r="O62" s="2626">
        <f>O11/($V$63)/10*($V$65*O17)</f>
        <v>53.553684210526328</v>
      </c>
      <c r="P62" s="308">
        <f>O62*I62</f>
        <v>286.77997894736853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0.19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/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8.7436799999999977</v>
      </c>
      <c r="M65" s="1357"/>
      <c r="N65" s="3211">
        <f>M66*$H66/100</f>
        <v>12.022559999999999</v>
      </c>
      <c r="O65" s="347"/>
      <c r="P65" s="3210">
        <f>O66*$H66/100</f>
        <v>15.301439999999999</v>
      </c>
      <c r="Q65" s="529"/>
      <c r="R65" s="542"/>
      <c r="S65" s="1167"/>
      <c r="T65" s="2598"/>
      <c r="U65" s="2598"/>
      <c r="V65" s="2599">
        <v>0.79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728.63999999999987</v>
      </c>
      <c r="L66" s="3257"/>
      <c r="M66" s="3181">
        <f>M15*0.3</f>
        <v>1001.8799999999999</v>
      </c>
      <c r="N66" s="3258"/>
      <c r="O66" s="3181">
        <f>O15*0.3</f>
        <v>1275.1200000000001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3259"/>
      <c r="N67" s="3211">
        <f>SUM(N68:N69)</f>
        <v>0</v>
      </c>
      <c r="O67" s="330"/>
      <c r="P67" s="3210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IF($B68=0,0,VLOOKUP($B68,'Preise-Stammdaten'!$B$61:$N$66,12))</f>
        <v>0</v>
      </c>
      <c r="J68" s="360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F1"/>
  </mergeCells>
  <phoneticPr fontId="0" type="noConversion"/>
  <hyperlinks>
    <hyperlink ref="B1:F1" location="Inhalt!A1:A10" display="zurück zum Inhaltsverzeichnis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42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3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4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5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38100</xdr:rowOff>
                  </from>
                  <to>
                    <xdr:col>11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6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28575</xdr:rowOff>
                  </from>
                  <to>
                    <xdr:col>11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7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8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9525</xdr:rowOff>
                  </from>
                  <to>
                    <xdr:col>13</xdr:col>
                    <xdr:colOff>209550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9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0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1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2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3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4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5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6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8" r:id="rId19" name="Check Box 28">
              <controlPr defaultSize="0" autoFill="0" autoLine="0" autoPict="0">
                <anchor moveWithCells="1">
                  <from>
                    <xdr:col>5</xdr:col>
                    <xdr:colOff>266700</xdr:colOff>
                    <xdr:row>9</xdr:row>
                    <xdr:rowOff>38100</xdr:rowOff>
                  </from>
                  <to>
                    <xdr:col>6</xdr:col>
                    <xdr:colOff>19050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3" r:id="rId20" name="Drop Down 33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6</xdr:col>
                    <xdr:colOff>685800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9" r:id="rId21" name="Drop Down 39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0" r:id="rId22" name="Drop Down 40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19050</xdr:rowOff>
                  </from>
                  <to>
                    <xdr:col>7</xdr:col>
                    <xdr:colOff>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2" r:id="rId23" name="Drop Down 42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4" r:id="rId24" name="Drop Down 44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5" r:id="rId25" name="Drop Down 45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6" r:id="rId26" name="Drop Down 46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7" r:id="rId27" name="Drop Down 47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8" r:id="rId28" name="Drop Down 48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0" r:id="rId29" name="Drop Down 50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1" r:id="rId30" name="Drop Down 51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0">
    <tabColor rgb="FFFFC000"/>
    <pageSetUpPr fitToPage="1"/>
  </sheetPr>
  <dimension ref="A1:BP92"/>
  <sheetViews>
    <sheetView showGridLines="0" showZeros="0" zoomScaleNormal="75" workbookViewId="0">
      <pane xSplit="12" ySplit="6" topLeftCell="M25" activePane="bottomRight" state="frozen"/>
      <selection activeCell="J40" sqref="J40"/>
      <selection pane="topRight" activeCell="J40" sqref="J40"/>
      <selection pane="bottomLeft" activeCell="J40" sqref="J40"/>
      <selection pane="bottomRight" activeCell="J40" sqref="J4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7" customFormat="1" ht="15" thickBot="1" x14ac:dyDescent="0.25">
      <c r="L1" s="357"/>
      <c r="AI1" s="41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 t="e">
        <f>#REF!</f>
        <v>#REF!</v>
      </c>
      <c r="K2" s="3265" t="s">
        <v>858</v>
      </c>
      <c r="L2" s="2502"/>
      <c r="M2" s="2505"/>
      <c r="N2" s="2529"/>
      <c r="O2" s="3266" t="str">
        <f>'Topi Knolle Biogas ex Silo (a)'!M2</f>
        <v>Topinambur-Knollen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8" t="str">
        <f>'Topi Knolle Biogas ex Silo (a)'!H3</f>
        <v>Knollen für Biogasanlage; Rücklieferung Gärrest unter 100% Anrechung der Netto-Nährstoffe (30% N-Verluste); Vollkosten incl. Kosten der Gärrest-Ausbringung</v>
      </c>
      <c r="H3" s="4281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1005</v>
      </c>
      <c r="F6" s="26"/>
      <c r="G6" s="26"/>
      <c r="H6" s="26"/>
      <c r="I6" s="238"/>
      <c r="J6" s="238"/>
      <c r="K6" s="238"/>
      <c r="L6" s="512" t="s">
        <v>139</v>
      </c>
      <c r="M6" s="1821">
        <f>'Topi Knolle Biogas ex Silo (a)'!K5</f>
        <v>80</v>
      </c>
      <c r="N6" s="1820">
        <f>'Topi Knolle Biogas ex Silo (a)'!M5</f>
        <v>110</v>
      </c>
      <c r="O6" s="1822">
        <f>'Topi Knolle Biogas ex Silo 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'Topi Knolle Biogas ex Silo (a)'!K9</f>
        <v>80</v>
      </c>
      <c r="N7" s="1736">
        <f>'Topi Knolle Biogas ex Silo (a)'!M9</f>
        <v>110</v>
      </c>
      <c r="O7" s="1744">
        <f>'Topi Knolle Biogas ex Silo (a)'!O9</f>
        <v>140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'Topi Knolle Biogas ex Silo (a)'!L9</f>
        <v>421.05263157894734</v>
      </c>
      <c r="N8" s="1737">
        <f>'Topi Knolle Biogas ex Silo (a)'!N9</f>
        <v>578.9473684210526</v>
      </c>
      <c r="O8" s="1583">
        <f>'Topi Knolle Biogas ex Silo (a)'!P9</f>
        <v>736.84210526315792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'Topi Knolle Biogas ex Silo (a)'!K11</f>
        <v>73.599999999999994</v>
      </c>
      <c r="N9" s="1562">
        <f>'Topi Knolle Biogas ex Silo (a)'!M11</f>
        <v>101.2</v>
      </c>
      <c r="O9" s="1747">
        <f>'Topi Knolle Biogas ex Silo (a)'!O11</f>
        <v>128.80000000000001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'Topi Knolle Biogas ex Silo (a)'!L11</f>
        <v>350.47619047619042</v>
      </c>
      <c r="N10" s="1582">
        <f>'Topi Knolle Biogas ex Silo (a)'!N11</f>
        <v>481.90476190476187</v>
      </c>
      <c r="O10" s="2014">
        <f>'Topi Knolle Biogas ex Silo (a)'!P11</f>
        <v>613.33333333333337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'Topi Knolle Biogas ex Silo (a)'!L12</f>
        <v>51.540616246498594</v>
      </c>
      <c r="N11" s="3269">
        <f>'Topi Knolle Biogas ex Silo (a)'!N12</f>
        <v>70.868347338935578</v>
      </c>
      <c r="O11" s="3270">
        <f>'Topi Knolle Biogas ex Silo (a)'!P12</f>
        <v>90.196078431372555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'Topi Knolle Biogas ex Silo (a)'!K15</f>
        <v>2428.7999999999997</v>
      </c>
      <c r="N12" s="1738">
        <f>'Topi Knolle Biogas ex Silo (a)'!M15</f>
        <v>3339.6</v>
      </c>
      <c r="O12" s="1745">
        <f>'Topi Knolle Biogas ex Silo (a)'!O15</f>
        <v>4250.4000000000005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'Topi Knolle Biogas ex Silo (a)'!K16</f>
        <v>87.436799999999991</v>
      </c>
      <c r="N13" s="2077">
        <f>'Topi Knolle Biogas ex Silo (a)'!M16</f>
        <v>120.2256</v>
      </c>
      <c r="O13" s="2078">
        <f>'Topi Knolle Biogas ex Silo (a)'!O16</f>
        <v>153.01439999999999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'Topi Knolle Biogas ex Silo (a)'!L24</f>
        <v>270</v>
      </c>
      <c r="N15" s="3338">
        <f>'Topi Knolle Biogas ex Silo (a)'!N24</f>
        <v>270</v>
      </c>
      <c r="O15" s="3341">
        <f>'Topi Knolle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1226</v>
      </c>
      <c r="E16" s="3"/>
      <c r="F16" s="3"/>
      <c r="G16" s="172"/>
      <c r="H16" s="676"/>
      <c r="I16" s="234"/>
      <c r="J16" s="234"/>
      <c r="K16" s="234"/>
      <c r="L16" s="512"/>
      <c r="M16" s="452">
        <f>'Topi Knolle Biogas ex Silo (a)'!L18</f>
        <v>0</v>
      </c>
      <c r="N16" s="1736">
        <f>'Topi Knolle Biogas ex Silo (a)'!N18</f>
        <v>0</v>
      </c>
      <c r="O16" s="3343">
        <f>'Topi Knolle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'Topi Knolle Biogas ex Silo (a)'!L27</f>
        <v>1444.5</v>
      </c>
      <c r="N19" s="2098">
        <f>'Topi Knolle Biogas ex Silo (a)'!N27</f>
        <v>1444.5</v>
      </c>
      <c r="O19" s="3276">
        <f>'Topi Knolle Biogas ex Silo (a)'!P27</f>
        <v>1444.5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'Topi Knolle Biogas ex Silo (a)'!L31-'Topi Knolle Biogas ex Silo (a)'!L17</f>
        <v>68.840071999999964</v>
      </c>
      <c r="N20" s="1750">
        <f>'Topi Knolle Biogas ex Silo (a)'!N31-'Topi Knolle Biogas ex Silo (a)'!N17</f>
        <v>94.655099000000064</v>
      </c>
      <c r="O20" s="3278">
        <f>'Topi Knolle Biogas ex Silo (a)'!P31-'Topi Knolle Biogas ex Silo (a)'!P17</f>
        <v>120.47012599999994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'Topi Knolle Biogas ex Silo (a)'!L37</f>
        <v>0</v>
      </c>
      <c r="N21" s="1750">
        <f>'Topi Knolle Biogas ex Silo (a)'!N37</f>
        <v>0</v>
      </c>
      <c r="O21" s="3278">
        <f>'Topi Knolle Biogas ex Silo 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'Topi Knolle Biogas ex Silo (a)'!L65</f>
        <v>8.7436799999999977</v>
      </c>
      <c r="N22" s="1750">
        <f>'Topi Knolle Biogas ex Silo (a)'!N65</f>
        <v>12.022559999999999</v>
      </c>
      <c r="O22" s="3278">
        <f>'Topi Knolle Biogas ex Silo (a)'!P65</f>
        <v>15.301439999999999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'Topi Knolle Biogas ex Silo (a)'!L67</f>
        <v>0</v>
      </c>
      <c r="N23" s="1750">
        <f>'Topi Knolle Biogas ex Silo (a)'!N67</f>
        <v>0</v>
      </c>
      <c r="O23" s="3278">
        <f>'Topi Knolle Biogas ex Silo (a)'!P67</f>
        <v>0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'Topi Knolle Biogas ex Silo (a)'!L42</f>
        <v>284.70484387922397</v>
      </c>
      <c r="N24" s="1750">
        <f>'Topi Knolle Biogas ex Silo (a)'!N42</f>
        <v>290.13918308637597</v>
      </c>
      <c r="O24" s="3278">
        <f>'Topi Knolle Biogas ex Silo (a)'!P42</f>
        <v>295.57352229352796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'Topi Knolle Biogas ex Silo (a)'!L58</f>
        <v>806.47427368421063</v>
      </c>
      <c r="N25" s="1750">
        <f>'Topi Knolle Biogas ex Silo (a)'!N58</f>
        <v>939.32712631578943</v>
      </c>
      <c r="O25" s="3278">
        <f>'Topi Knolle Biogas ex Silo (a)'!P58</f>
        <v>1072.1799789473687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'Topi Knolle Biogas ex Silo (a)'!L63</f>
        <v>0</v>
      </c>
      <c r="N26" s="2101">
        <f>'Topi Knolle Biogas ex Silo (a)'!N63</f>
        <v>0</v>
      </c>
      <c r="O26" s="3279">
        <f>'Topi Knolle Biogas ex Silo 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2613.2628695634348</v>
      </c>
      <c r="N27" s="1775">
        <f>SUM(N19:N26)</f>
        <v>2780.6439684021652</v>
      </c>
      <c r="O27" s="2055">
        <f>SUM(O19:O26)</f>
        <v>2948.0250672408965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-2613.2628695634348</v>
      </c>
      <c r="N28" s="2060">
        <f>-N27</f>
        <v>-2780.6439684021652</v>
      </c>
      <c r="O28" s="2061">
        <f>-O27</f>
        <v>-2948.0250672408965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M27*'Topi Knolle Biogas ex Silo (a)'!$L$70*'Topi Knolle Biogas ex Silo (a)'!$P$70/12/100</f>
        <v>16.332892934771468</v>
      </c>
      <c r="N30" s="2101">
        <f>N27*'Topi Knolle Biogas ex Silo (a)'!$L$70*'Topi Knolle Biogas ex Silo (a)'!$P$70/12/100</f>
        <v>17.379024802513534</v>
      </c>
      <c r="O30" s="3279">
        <f>O27*'Topi Knolle Biogas ex Silo (a)'!$L$70*'Topi Knolle Biogas ex Silo (a)'!$P$70/12/100</f>
        <v>18.425156670255603</v>
      </c>
      <c r="P30" s="172"/>
      <c r="T30" s="3293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-2359.5957624982061</v>
      </c>
      <c r="N31" s="1769">
        <f>N28+N29-N30</f>
        <v>-2528.0229932046786</v>
      </c>
      <c r="O31" s="1776">
        <f>O28+O29-O30</f>
        <v>-2696.4502239111521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-0.97150681921039461</v>
      </c>
      <c r="N32" s="3282">
        <f>IF(N12=0,0,N31/N12)</f>
        <v>-0.75698376847666748</v>
      </c>
      <c r="O32" s="2517">
        <f>IF(O12=0,0,O31/O12)</f>
        <v>-0.63439916805739505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-26.986300533622071</v>
      </c>
      <c r="N33" s="3284">
        <f>IF(N13=0,0,N31/N13)</f>
        <v>-21.027326902129651</v>
      </c>
      <c r="O33" s="3285">
        <f>IF(O13=0,0,O31/O13)</f>
        <v>-17.62219911270542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'Topi Knolle Biogas ex Silo (a)'!K57</f>
        <v>11.840039999999998</v>
      </c>
      <c r="N35" s="2396">
        <f>'Topi Knolle Biogas ex Silo (a)'!M57</f>
        <v>12.351960000000002</v>
      </c>
      <c r="O35" s="2398">
        <f>'Topi Knolle Biogas ex Silo (a)'!O57</f>
        <v>12.863880000000002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'Topi Knolle Biogas ex Silo (a)'!L10</f>
        <v>61.919504643962846</v>
      </c>
      <c r="N36" s="2431">
        <f>'Topi Knolle Biogas ex Silo (a)'!N10</f>
        <v>85.139318885448915</v>
      </c>
      <c r="O36" s="2432">
        <f>'Topi Knolle Biogas ex Silo (a)'!P10</f>
        <v>108.35913312693499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207.20069999999998</v>
      </c>
      <c r="N37" s="1750">
        <f>$J$37*N35</f>
        <v>216.15930000000003</v>
      </c>
      <c r="O37" s="3278">
        <f>$J$37*O35</f>
        <v>225.11790000000002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300.87719298245617</v>
      </c>
      <c r="N38" s="3289">
        <f>N36*$I$36</f>
        <v>413.70614035087721</v>
      </c>
      <c r="O38" s="3290">
        <f>O36*$I$36</f>
        <v>526.5350877192983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1490.821037033382</v>
      </c>
      <c r="N43" s="1991">
        <f>SUM(N37:N42)</f>
        <v>1302.608584401803</v>
      </c>
      <c r="O43" s="1994">
        <f>SUM(O37:O42)</f>
        <v>1424.3961317702242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4120.4167995315884</v>
      </c>
      <c r="N46" s="2041">
        <f>N27+N30+N43</f>
        <v>4100.6315776064821</v>
      </c>
      <c r="O46" s="2080">
        <f>O27+O30+O43</f>
        <v>4390.8463556813767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-4120.4167995315884</v>
      </c>
      <c r="N47" s="2227">
        <f>N45-N46</f>
        <v>-4100.6315776064821</v>
      </c>
      <c r="O47" s="2228">
        <f>O45-O46</f>
        <v>-4390.8463556813767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-3850.4167995315884</v>
      </c>
      <c r="N49" s="1991">
        <f>N47+N48</f>
        <v>-3830.6315776064821</v>
      </c>
      <c r="O49" s="1994">
        <f>O47+O48</f>
        <v>-4120.8463556813767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3850.4167995315884</v>
      </c>
      <c r="N51" s="1771">
        <f>N46-N48</f>
        <v>3830.6315776064821</v>
      </c>
      <c r="O51" s="3358">
        <f>O46-O48</f>
        <v>4120.8463556813767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10.986243585620024</v>
      </c>
      <c r="N52" s="2335">
        <f>IF(N10=0,0,N$51/N10)</f>
        <v>7.9489390444403289</v>
      </c>
      <c r="O52" s="2336">
        <f>IF(O10=0,0,O$51/O10)</f>
        <v>6.7187712320892006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52.315445645809632</v>
      </c>
      <c r="N53" s="2335">
        <f>IF(N9=0,0,N$51/N9)</f>
        <v>37.852090687811085</v>
      </c>
      <c r="O53" s="2336">
        <f>IF(O9=0,0,O$51/O9)</f>
        <v>31.994148724234289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74.706456382216146</v>
      </c>
      <c r="N54" s="2335">
        <f t="shared" si="3"/>
        <v>54.052785502194233</v>
      </c>
      <c r="O54" s="2336">
        <f t="shared" si="3"/>
        <v>45.687644378206564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1.5853165347215039</v>
      </c>
      <c r="N55" s="2219">
        <f t="shared" si="3"/>
        <v>1.1470330511457907</v>
      </c>
      <c r="O55" s="2220">
        <f t="shared" si="3"/>
        <v>0.96951965831012987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44.036570408930665</v>
      </c>
      <c r="N56" s="2219">
        <f>IF(N13=0,0,N$51/N13)</f>
        <v>31.862029198494181</v>
      </c>
      <c r="O56" s="2220">
        <f>IF(O13=0,0,O$51/O13)</f>
        <v>26.931101619725837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0.44036570408930664</v>
      </c>
      <c r="N57" s="2222">
        <f>N51/$N$12*10/$F$57</f>
        <v>0.31862029198494185</v>
      </c>
      <c r="O57" s="2223">
        <f>O51/$O$12*10/$F$57</f>
        <v>0.26931101619725828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3549.5396065491323</v>
      </c>
      <c r="N58" s="1769">
        <f>N51-N38</f>
        <v>3416.9254372556047</v>
      </c>
      <c r="O58" s="1776">
        <f>O51-O38</f>
        <v>3594.3112679620785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M58/M7</f>
        <v>44.36924508186415</v>
      </c>
      <c r="N59" s="3416">
        <f>N58/N7</f>
        <v>31.062958520505497</v>
      </c>
      <c r="O59" s="3417">
        <f>O58/O7</f>
        <v>25.673651914014847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1.461437585041639</v>
      </c>
      <c r="N60" s="2130">
        <f>IF(N12=0,0,N$58/N12)</f>
        <v>1.0231541014659256</v>
      </c>
      <c r="O60" s="2217">
        <f>IF(O12=0,0,O$58/O12)</f>
        <v>0.84564070863026497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0.4059548847337886</v>
      </c>
      <c r="N61" s="2130">
        <f>N58/$N$12*10/$F$57</f>
        <v>0.28420947262942375</v>
      </c>
      <c r="O61" s="3422">
        <f>O58/$O$12*10/$F$57</f>
        <v>0.23490019684174024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40.595488473378857</v>
      </c>
      <c r="N62" s="1874">
        <f>IF(N13=0,0,N$58/N13)</f>
        <v>28.420947262942374</v>
      </c>
      <c r="O62" s="2032">
        <f>IF(O13=0,0,O$58/O13)</f>
        <v>23.49001968417403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1538.4166449347715</v>
      </c>
      <c r="N64" s="1772">
        <f>SUM(N19:N23)+N30</f>
        <v>1568.5566838025136</v>
      </c>
      <c r="O64" s="1773">
        <f>SUM(O19:O23)+O30</f>
        <v>1598.6967226702554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0.63340606263783417</v>
      </c>
      <c r="N65" s="2031">
        <f>IF(N12=0,0,N64/N12)</f>
        <v>0.46968399922221632</v>
      </c>
      <c r="O65" s="2032">
        <f>IF(O12=0,0,O64/O12)</f>
        <v>0.37612853441329175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1778.7373008215127</v>
      </c>
      <c r="N66" s="2038">
        <f>N24+N25+N26+N39+N37</f>
        <v>1920.5487534530912</v>
      </c>
      <c r="O66" s="2039">
        <f>O24+O25+O26+O39+O37</f>
        <v>2067.7945452918225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0.73235231423810643</v>
      </c>
      <c r="N67" s="2168">
        <f>IF(N12=0,0,N66/N12)</f>
        <v>0.57508346911399311</v>
      </c>
      <c r="O67" s="2187">
        <f>IF(O12=0,0,O66/O12)</f>
        <v>0.48649410532933896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3293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8</v>
      </c>
      <c r="N72" s="2877">
        <f>N7/10</f>
        <v>11</v>
      </c>
      <c r="O72" s="2877">
        <f>O7/10</f>
        <v>14</v>
      </c>
    </row>
    <row r="73" spans="2:41" x14ac:dyDescent="0.2">
      <c r="K73" s="7" t="s">
        <v>263</v>
      </c>
      <c r="M73" s="2725">
        <f>M6</f>
        <v>80</v>
      </c>
      <c r="N73" s="2725">
        <f>N6</f>
        <v>110</v>
      </c>
      <c r="O73" s="2725">
        <f>O6</f>
        <v>140</v>
      </c>
    </row>
    <row r="74" spans="2:41" x14ac:dyDescent="0.2">
      <c r="K74" s="7" t="s">
        <v>419</v>
      </c>
      <c r="M74" s="2941">
        <f>M9/10</f>
        <v>7.3599999999999994</v>
      </c>
      <c r="N74" s="2941">
        <f>N9/10</f>
        <v>10.120000000000001</v>
      </c>
      <c r="O74" s="2941">
        <f>O9/10</f>
        <v>12.88</v>
      </c>
    </row>
    <row r="75" spans="2:41" x14ac:dyDescent="0.2">
      <c r="M75" s="2666">
        <f>M53*10</f>
        <v>523.15445645809632</v>
      </c>
      <c r="N75" s="2666">
        <f>N53*10</f>
        <v>378.52090687811085</v>
      </c>
      <c r="O75" s="2666">
        <f>O53*10</f>
        <v>319.94148724234287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0">
    <mergeCell ref="B15:B17"/>
    <mergeCell ref="G3:O3"/>
    <mergeCell ref="B2:B4"/>
    <mergeCell ref="B51:B67"/>
    <mergeCell ref="D19:D23"/>
    <mergeCell ref="B19:B27"/>
    <mergeCell ref="B28:B33"/>
    <mergeCell ref="B45:B49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Aulendorf&amp;C&amp;12 127&amp;9
&amp;R&amp;12&amp;F
&amp;A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3">
    <pageSetUpPr fitToPage="1"/>
  </sheetPr>
  <dimension ref="A1:CA70"/>
  <sheetViews>
    <sheetView showGridLines="0" showZeros="0" zoomScale="85" zoomScaleNormal="80" zoomScaleSheetLayoutView="75" workbookViewId="0">
      <pane xSplit="10" ySplit="5" topLeftCell="K6" activePane="bottomRight" state="frozen"/>
      <selection activeCell="B50" sqref="B50"/>
      <selection pane="topRight" activeCell="B50" sqref="B50"/>
      <selection pane="bottomLeft" activeCell="B50" sqref="B50"/>
      <selection pane="bottomRight" activeCell="B50" sqref="B50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ht="15.95" customHeight="1" x14ac:dyDescent="0.2">
      <c r="B1" s="4320" t="s">
        <v>312</v>
      </c>
      <c r="C1" s="4320"/>
      <c r="D1" s="4320"/>
      <c r="E1" s="4320"/>
      <c r="F1" s="4320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647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619</v>
      </c>
      <c r="E5" s="237"/>
      <c r="F5" s="237"/>
      <c r="G5" s="237"/>
      <c r="H5" s="237"/>
      <c r="I5" s="237"/>
      <c r="J5" s="144" t="s">
        <v>139</v>
      </c>
      <c r="K5" s="416">
        <v>30</v>
      </c>
      <c r="L5" s="417"/>
      <c r="M5" s="370">
        <v>50</v>
      </c>
      <c r="N5" s="2261"/>
      <c r="O5" s="370">
        <v>70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/>
      <c r="L6" s="706">
        <v>8</v>
      </c>
      <c r="M6" s="702"/>
      <c r="N6" s="706">
        <v>8</v>
      </c>
      <c r="O6" s="702"/>
      <c r="P6" s="706">
        <v>8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65</v>
      </c>
      <c r="L7" s="706">
        <v>65</v>
      </c>
      <c r="M7" s="702">
        <v>65</v>
      </c>
      <c r="N7" s="706">
        <v>65</v>
      </c>
      <c r="O7" s="702">
        <v>65</v>
      </c>
      <c r="P7" s="706">
        <v>65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5.5</v>
      </c>
      <c r="L8" s="707">
        <v>5.5</v>
      </c>
      <c r="M8" s="703">
        <v>5.5</v>
      </c>
      <c r="N8" s="707">
        <v>5.5</v>
      </c>
      <c r="O8" s="703">
        <v>5.5</v>
      </c>
      <c r="P8" s="707">
        <v>5.5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30</v>
      </c>
      <c r="L9" s="721">
        <f>IF(K7=0,0,K9/K7*100)</f>
        <v>46.153846153846153</v>
      </c>
      <c r="M9" s="809">
        <f>M5*(100-M6)/100</f>
        <v>50</v>
      </c>
      <c r="N9" s="810">
        <f>IF(M7=0,0,M9/M7*100)</f>
        <v>76.923076923076934</v>
      </c>
      <c r="O9" s="720">
        <f>O5*(100-O6)/100</f>
        <v>70</v>
      </c>
      <c r="P9" s="721">
        <f>IF(O7=0,0,O9/O7*100)</f>
        <v>107.69230769230769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8.3916083916083917</v>
      </c>
      <c r="M10" s="286"/>
      <c r="N10" s="811">
        <f>IF(R10=TRUE,IF(M8=0,0,1/M8*N9),0)</f>
        <v>13.986013986013988</v>
      </c>
      <c r="O10" s="173"/>
      <c r="P10" s="722">
        <f>IF(R10=TRUE,IF(O8=0,0,1/O8*P9),0)</f>
        <v>19.58041958041958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27.6</v>
      </c>
      <c r="L11" s="709">
        <f>IF(L7=0,0,K11/L7*100)</f>
        <v>42.46153846153846</v>
      </c>
      <c r="M11" s="812">
        <f>M9*(100-N6)/100</f>
        <v>46</v>
      </c>
      <c r="N11" s="813">
        <f>IF(N7=0,0,M11/N7*100)</f>
        <v>70.769230769230774</v>
      </c>
      <c r="O11" s="708">
        <f>O9*(100-P6)/100</f>
        <v>64.400000000000006</v>
      </c>
      <c r="P11" s="709">
        <f>IF(P7=0,0,O11/P7*100)</f>
        <v>99.07692307692308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7.72027972027972</v>
      </c>
      <c r="M12" s="801"/>
      <c r="N12" s="814">
        <f>IF(N8=0,0,1/N8*N11)</f>
        <v>12.867132867132868</v>
      </c>
      <c r="O12" s="487"/>
      <c r="P12" s="502">
        <f>IF(P8=0,0,1/P8*P11)</f>
        <v>18.013986013986017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v>24</v>
      </c>
      <c r="L13" s="418"/>
      <c r="M13" s="499">
        <v>24</v>
      </c>
      <c r="N13" s="784"/>
      <c r="O13" s="499">
        <v>24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0.86399999999999988</v>
      </c>
      <c r="L14" s="418"/>
      <c r="M14" s="815">
        <f>M13*$G14</f>
        <v>0.86399999999999988</v>
      </c>
      <c r="N14" s="784"/>
      <c r="O14" s="513">
        <f>O13*$G14</f>
        <v>0.86399999999999988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662.40000000000009</v>
      </c>
      <c r="L15" s="418"/>
      <c r="M15" s="816">
        <f>M$11*M13</f>
        <v>1104</v>
      </c>
      <c r="N15" s="784"/>
      <c r="O15" s="497">
        <f>O$11*O13</f>
        <v>1545.6000000000001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23.846399999999999</v>
      </c>
      <c r="L16" s="417"/>
      <c r="M16" s="817">
        <f>M$11*M14</f>
        <v>39.743999999999993</v>
      </c>
      <c r="N16" s="428"/>
      <c r="O16" s="498">
        <f>O$11*O14</f>
        <v>55.641599999999997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202.380563</v>
      </c>
      <c r="M17" s="2600">
        <f>K17</f>
        <v>1</v>
      </c>
      <c r="N17" s="2591">
        <f>M17*(N33*(1-$AC$14)+N34*(1-$AC$15)+N35*(1-$AC$16)+N36*(1-$AC$17))</f>
        <v>337.30093833333331</v>
      </c>
      <c r="O17" s="2601">
        <f>K17</f>
        <v>1</v>
      </c>
      <c r="P17" s="2590">
        <f>O17*(P33*(1-$AC$14)+P34*(1-$AC$15)+P35*(1-$AC$16)+P36*(1-$AC$17))</f>
        <v>472.22131366666667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SUM(L19:L23)</f>
        <v>0</v>
      </c>
      <c r="M18" s="3208"/>
      <c r="N18" s="3209">
        <f>SUM(N19:N23)</f>
        <v>0</v>
      </c>
      <c r="O18" s="3206"/>
      <c r="P18" s="3207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63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1053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0</v>
      </c>
      <c r="M27" s="804"/>
      <c r="N27" s="3211">
        <f>SUM(N29:N30)</f>
        <v>0</v>
      </c>
      <c r="O27" s="330"/>
      <c r="P27" s="3210">
        <f>SUM(P29:P30)</f>
        <v>0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/>
      <c r="I29" s="711">
        <f>H29*($H$27+100)/100</f>
        <v>0</v>
      </c>
      <c r="J29" s="357"/>
      <c r="K29" s="440">
        <v>3000</v>
      </c>
      <c r="L29" s="337">
        <f>$I29*K29</f>
        <v>0</v>
      </c>
      <c r="M29" s="440">
        <v>3000</v>
      </c>
      <c r="N29" s="791">
        <f>$I29*M29</f>
        <v>0</v>
      </c>
      <c r="O29" s="440">
        <v>3000</v>
      </c>
      <c r="P29" s="337">
        <f>$I29*O29</f>
        <v>0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228.19558999999998</v>
      </c>
      <c r="M31" s="3216"/>
      <c r="N31" s="3211">
        <f>SUM(N33:N36)</f>
        <v>380.32598333333328</v>
      </c>
      <c r="O31" s="3215"/>
      <c r="P31" s="3210">
        <f>SUM(P33:P36)</f>
        <v>532.45637666666664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1.67</v>
      </c>
      <c r="H33" s="386">
        <v>0</v>
      </c>
      <c r="I33"/>
      <c r="J33" s="172"/>
      <c r="K33" s="336">
        <f>G33*$K$9+H33</f>
        <v>50.099999999999994</v>
      </c>
      <c r="L33" s="337">
        <f>K33*$E33</f>
        <v>86.050089999999997</v>
      </c>
      <c r="M33" s="820">
        <f>G33*$M$9+H33</f>
        <v>83.5</v>
      </c>
      <c r="N33" s="791">
        <f>M33*$E33</f>
        <v>143.41681666666668</v>
      </c>
      <c r="O33" s="336">
        <f>G33*$O$9+H33</f>
        <v>116.89999999999999</v>
      </c>
      <c r="P33" s="337">
        <f>O33*$E33</f>
        <v>200.78354333333331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18.899999999999999</v>
      </c>
      <c r="L34" s="337">
        <f>K34*$E34</f>
        <v>21.366449999999997</v>
      </c>
      <c r="M34" s="820">
        <f>G34*$M$9+H34</f>
        <v>31.5</v>
      </c>
      <c r="N34" s="791">
        <f>M34*$E34</f>
        <v>35.610749999999996</v>
      </c>
      <c r="O34" s="336">
        <f>G34*$O$9+H34</f>
        <v>44.1</v>
      </c>
      <c r="P34" s="337">
        <f>O34*$E34</f>
        <v>49.855049999999991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3.83</v>
      </c>
      <c r="H35" s="386"/>
      <c r="I35"/>
      <c r="J35" s="172"/>
      <c r="K35" s="336">
        <f>G35*$K$9+H35</f>
        <v>114.9</v>
      </c>
      <c r="L35" s="337">
        <f>K35*$E35</f>
        <v>120.77905</v>
      </c>
      <c r="M35" s="820">
        <f>G35*$M$9+H35</f>
        <v>191.5</v>
      </c>
      <c r="N35" s="791">
        <f>M35*$E35</f>
        <v>201.29841666666664</v>
      </c>
      <c r="O35" s="336">
        <f>G35*$O$9+H35</f>
        <v>268.10000000000002</v>
      </c>
      <c r="P35" s="337">
        <f>O35*$E35</f>
        <v>281.81778333333335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/>
      <c r="H36" s="387"/>
      <c r="I36" s="36"/>
      <c r="J36" s="36"/>
      <c r="K36" s="338">
        <f>G36*$K$9+H36</f>
        <v>0</v>
      </c>
      <c r="L36" s="333">
        <f>K36*$E36</f>
        <v>0</v>
      </c>
      <c r="M36" s="821">
        <f>G36*$M$9+H36</f>
        <v>0</v>
      </c>
      <c r="N36" s="792">
        <f>M36*$E36</f>
        <v>0</v>
      </c>
      <c r="O36" s="338">
        <f>G36*$O$9+H36</f>
        <v>0</v>
      </c>
      <c r="P36" s="333">
        <f>O36*$E36</f>
        <v>0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19.880722213419197</v>
      </c>
      <c r="M42" s="3225"/>
      <c r="N42" s="3211">
        <f>SUM(W45:W55)</f>
        <v>33.278600226810397</v>
      </c>
      <c r="O42" s="3224"/>
      <c r="P42" s="3210">
        <f>SUM(Z45:Z55)</f>
        <v>46.676478240201597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46</v>
      </c>
      <c r="C48" s="104"/>
      <c r="D48" s="137"/>
      <c r="E48" s="8"/>
      <c r="F48" s="8"/>
      <c r="G48" s="731"/>
      <c r="H48" s="3229">
        <f>IF($B48=0,0,VLOOKUP($B48,Arbeitsgänge!$B$27:$T$80,7))</f>
        <v>0</v>
      </c>
      <c r="I48" s="727">
        <f>IF($B48=0,0,VLOOKUP($B48,Arbeitsgänge!$B$27:$T$80,12))</f>
        <v>0</v>
      </c>
      <c r="J48" s="469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52</v>
      </c>
      <c r="C49" s="104"/>
      <c r="D49" s="137"/>
      <c r="E49" s="8"/>
      <c r="F49" s="8"/>
      <c r="G49" s="731"/>
      <c r="H49" s="3229">
        <f>IF($B49=0,0,VLOOKUP($B49,Arbeitsgänge!$B$27:$T$80,7))</f>
        <v>0</v>
      </c>
      <c r="I49" s="727">
        <f>IF($B49=0,0,VLOOKUP($B49,Arbeitsgänge!$B$27:$T$80,12))</f>
        <v>0</v>
      </c>
      <c r="J49" s="469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3229" t="str">
        <f>IF($B50=0,0,VLOOKUP($B50,Arbeitsgänge!$B$27:$T$80,7))</f>
        <v>45 kW</v>
      </c>
      <c r="I50" s="727">
        <f>IF($B50=0,0,VLOOKUP($B50,Arbeitsgänge!$B$27:$T$80,12))</f>
        <v>0.37</v>
      </c>
      <c r="J50" s="469">
        <f>IF($B50=0,0,VLOOKUP($B50,Arbeitsgänge!$B$27:$T$80,14))</f>
        <v>5.4505114075999996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3229" t="str">
        <f>IF($B51=0,0,VLOOKUP($B51,Arbeitsgänge!$B$27:$T$80,7))</f>
        <v>54 kW</v>
      </c>
      <c r="I51" s="727">
        <f>IF($B51=0,0,VLOOKUP($B51,Arbeitsgänge!$B$27:$T$80,12))</f>
        <v>0.22</v>
      </c>
      <c r="J51" s="469">
        <f>IF($B51=0,0,VLOOKUP($B51,Arbeitsgänge!$B$27:$T$80,14))</f>
        <v>4.4729452375999994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7.88</v>
      </c>
      <c r="J52" s="469">
        <f>IF($B52=0,0,VLOOKUP($B52,Arbeitsgänge!$B$27:$T$80,14))</f>
        <v>160.81118482240001</v>
      </c>
      <c r="K52" s="2636">
        <f>46/500</f>
        <v>9.1999999999999998E-2</v>
      </c>
      <c r="L52" s="337">
        <f t="shared" si="0"/>
        <v>14.7946290036608</v>
      </c>
      <c r="M52" s="2636">
        <f>77/500</f>
        <v>0.154</v>
      </c>
      <c r="N52" s="791">
        <f t="shared" si="1"/>
        <v>24.764922462649601</v>
      </c>
      <c r="O52" s="2636">
        <f>108/500</f>
        <v>0.216</v>
      </c>
      <c r="P52" s="337">
        <f t="shared" si="2"/>
        <v>34.7352159216384</v>
      </c>
      <c r="Q52" s="528"/>
      <c r="R52" s="1348">
        <f t="shared" si="3"/>
        <v>0.72495999999999994</v>
      </c>
      <c r="S52" s="471" t="e">
        <f>K52*#REF!</f>
        <v>#REF!</v>
      </c>
      <c r="T52" s="258">
        <f t="shared" si="4"/>
        <v>14.7946290036608</v>
      </c>
      <c r="U52" s="1349">
        <f t="shared" si="5"/>
        <v>1.2135199999999999</v>
      </c>
      <c r="V52" s="1350" t="e">
        <f>M52*#REF!</f>
        <v>#REF!</v>
      </c>
      <c r="W52" s="827">
        <f t="shared" si="6"/>
        <v>24.764922462649601</v>
      </c>
      <c r="X52" s="1351">
        <f t="shared" si="7"/>
        <v>1.70208</v>
      </c>
      <c r="Y52" s="471" t="e">
        <f>O52*#REF!</f>
        <v>#REF!</v>
      </c>
      <c r="Z52" s="258">
        <f t="shared" si="8"/>
        <v>34.7352159216384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3229" t="str">
        <f>IF($B53=0,0,VLOOKUP($B53,Arbeitsgänge!$B$27:$T$80,7))</f>
        <v>102 kW</v>
      </c>
      <c r="I53" s="727">
        <f>IF($B53=0,0,VLOOKUP($B53,Arbeitsgänge!$B$27:$T$80,12))</f>
        <v>2.13</v>
      </c>
      <c r="J53" s="469">
        <f>IF($B53=0,0,VLOOKUP($B53,Arbeitsgänge!$B$27:$T$80,14))</f>
        <v>55.283621845199988</v>
      </c>
      <c r="K53" s="2636">
        <f>46/500</f>
        <v>9.1999999999999998E-2</v>
      </c>
      <c r="L53" s="337">
        <f t="shared" si="0"/>
        <v>5.0860932097583991</v>
      </c>
      <c r="M53" s="2636">
        <f>77/500</f>
        <v>0.154</v>
      </c>
      <c r="N53" s="791">
        <f t="shared" si="1"/>
        <v>8.5136777641607981</v>
      </c>
      <c r="O53" s="2636">
        <f>108/500</f>
        <v>0.216</v>
      </c>
      <c r="P53" s="337">
        <f t="shared" si="2"/>
        <v>11.941262318563197</v>
      </c>
      <c r="Q53" s="528"/>
      <c r="R53" s="1348">
        <f t="shared" si="3"/>
        <v>0.19596</v>
      </c>
      <c r="S53" s="471" t="e">
        <f>K53*#REF!</f>
        <v>#REF!</v>
      </c>
      <c r="T53" s="258">
        <f t="shared" si="4"/>
        <v>5.0860932097583991</v>
      </c>
      <c r="U53" s="1349">
        <f t="shared" si="5"/>
        <v>0.32801999999999998</v>
      </c>
      <c r="V53" s="1350" t="e">
        <f>M53*#REF!</f>
        <v>#REF!</v>
      </c>
      <c r="W53" s="827">
        <f t="shared" si="6"/>
        <v>8.5136777641607981</v>
      </c>
      <c r="X53" s="1351">
        <f t="shared" si="7"/>
        <v>0.46007999999999999</v>
      </c>
      <c r="Y53" s="471" t="e">
        <f>O53*#REF!</f>
        <v>#REF!</v>
      </c>
      <c r="Z53" s="258">
        <f t="shared" si="8"/>
        <v>11.941262318563197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45</v>
      </c>
      <c r="C54" s="104"/>
      <c r="D54" s="137"/>
      <c r="E54" s="8"/>
      <c r="F54" s="8"/>
      <c r="G54" s="731"/>
      <c r="H54" s="3229" t="str">
        <f>IF($B54=0,0,VLOOKUP($B54,Arbeitsgänge!$B$27:$T$80,7))</f>
        <v>120 Kw</v>
      </c>
      <c r="I54" s="727">
        <f>IF($B54=0,0,VLOOKUP($B54,Arbeitsgänge!$B$27:$T$80,12))</f>
        <v>2.5</v>
      </c>
      <c r="J54" s="469">
        <f>IF($B54=0,0,VLOOKUP($B54,Arbeitsgänge!$B$27:$T$80,14))</f>
        <v>118.49907999999999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0.92091999999999996</v>
      </c>
      <c r="L56" s="341"/>
      <c r="M56" s="3239">
        <f>SUM($U$45:$U$55)</f>
        <v>1.5415399999999999</v>
      </c>
      <c r="N56" s="798"/>
      <c r="O56" s="3238">
        <f>SUM($X$45:$X$55)</f>
        <v>2.1621600000000001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SUM($R$45:$R$55)+SUM($R$45:$R$55)*$G$57/100</f>
        <v>1.6576559999999998</v>
      </c>
      <c r="L57" s="3247"/>
      <c r="M57" s="3248">
        <f>SUM($U$45:$U$55)+SUM($U$45:$U$55)*$G$57/100</f>
        <v>2.7747719999999996</v>
      </c>
      <c r="N57" s="3249"/>
      <c r="O57" s="3246">
        <f>SUM($X$45:$X$55)+SUM($X$45:$X$55)*$G$57/100</f>
        <v>3.8918880000000002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205.38814153846155</v>
      </c>
      <c r="M58" s="3251"/>
      <c r="N58" s="3211">
        <f>SUM(N60:N62)</f>
        <v>238.18856923076925</v>
      </c>
      <c r="O58" s="3250"/>
      <c r="P58" s="3210">
        <f>SUM(P60:P62)</f>
        <v>270.98899692307697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3.3544615384615386</v>
      </c>
      <c r="L62" s="308">
        <f>K62*I62</f>
        <v>17.963141538461542</v>
      </c>
      <c r="M62" s="2626">
        <f>M11/($V$63)/10*($V$65*M17)</f>
        <v>5.5907692307692312</v>
      </c>
      <c r="N62" s="828">
        <f>M62*I62</f>
        <v>29.938569230769236</v>
      </c>
      <c r="O62" s="2626">
        <f>O11/($V$63)/10*($V$65*O17)</f>
        <v>7.8270769230769233</v>
      </c>
      <c r="P62" s="308">
        <f>O62*I62</f>
        <v>41.91399692307693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0.65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>
        <v>10</v>
      </c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2.3846400000000001</v>
      </c>
      <c r="M65" s="1357"/>
      <c r="N65" s="3211">
        <f>M66*$H66/100</f>
        <v>3.9744000000000002</v>
      </c>
      <c r="O65" s="347"/>
      <c r="P65" s="3210">
        <f>O66*$H66/100</f>
        <v>5.5641599999999993</v>
      </c>
      <c r="Q65" s="529"/>
      <c r="R65" s="542"/>
      <c r="S65" s="1167"/>
      <c r="T65" s="2598"/>
      <c r="U65" s="2598"/>
      <c r="V65" s="2599">
        <v>0.79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198.72000000000003</v>
      </c>
      <c r="L66" s="3257"/>
      <c r="M66" s="3181">
        <f>M15*0.3</f>
        <v>331.2</v>
      </c>
      <c r="N66" s="3258"/>
      <c r="O66" s="3181">
        <f>O15*0.3</f>
        <v>463.68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3259"/>
      <c r="N67" s="3211">
        <f>SUM(N68:N69)</f>
        <v>0</v>
      </c>
      <c r="O67" s="330"/>
      <c r="P67" s="3210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IF($B68=0,0,VLOOKUP($B68,'Preise-Stammdaten'!$B$61:$N$66,12))</f>
        <v>0</v>
      </c>
      <c r="J68" s="360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F1"/>
  </mergeCells>
  <phoneticPr fontId="0" type="noConversion"/>
  <hyperlinks>
    <hyperlink ref="B1:F1" location="Inhalt!A1:A10" display="zurück zum Inhaltsverzeichnis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6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7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0</xdr:rowOff>
                  </from>
                  <to>
                    <xdr:col>11</xdr:col>
                    <xdr:colOff>209550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8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9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0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1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2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3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4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5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6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7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8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9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80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92" r:id="rId19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9525</xdr:rowOff>
                  </from>
                  <to>
                    <xdr:col>5</xdr:col>
                    <xdr:colOff>457200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3" r:id="rId20" name="Drop Down 39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6</xdr:col>
                    <xdr:colOff>685800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4" r:id="rId21" name="Drop Down 40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6</xdr:col>
                    <xdr:colOff>685800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5" r:id="rId22" name="Drop Down 4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180975</xdr:rowOff>
                  </from>
                  <to>
                    <xdr:col>6</xdr:col>
                    <xdr:colOff>685800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6" r:id="rId23" name="Drop Down 4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180975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7" r:id="rId24" name="Drop Down 43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6</xdr:col>
                    <xdr:colOff>685800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8" r:id="rId25" name="Drop Down 44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9" r:id="rId26" name="Drop Down 45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6</xdr:col>
                    <xdr:colOff>685800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10" r:id="rId27" name="Drop Down 46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11" r:id="rId28" name="Drop Down 47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6</xdr:col>
                    <xdr:colOff>685800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12" r:id="rId29" name="Drop Down 48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4">
    <tabColor rgb="FFFFC000"/>
    <pageSetUpPr fitToPage="1"/>
  </sheetPr>
  <dimension ref="A1:BP92"/>
  <sheetViews>
    <sheetView showGridLines="0" showZeros="0" zoomScaleNormal="75" workbookViewId="0">
      <pane xSplit="12" ySplit="6" topLeftCell="M25" activePane="bottomRight" state="frozen"/>
      <selection activeCell="P45" sqref="P45"/>
      <selection pane="topRight" activeCell="P45" sqref="P45"/>
      <selection pane="bottomLeft" activeCell="P45" sqref="P45"/>
      <selection pane="bottomRight" activeCell="B50" sqref="B5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7" customFormat="1" ht="15" thickBot="1" x14ac:dyDescent="0.25">
      <c r="L1" s="357"/>
      <c r="AI1" s="41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 t="e">
        <f>#REF!</f>
        <v>#REF!</v>
      </c>
      <c r="K2" s="3265" t="s">
        <v>858</v>
      </c>
      <c r="L2" s="2502"/>
      <c r="M2" s="2505"/>
      <c r="N2" s="2529"/>
      <c r="O2" s="3266" t="str">
        <f>'Topi Kraut s Biogas ex Silo (a)'!M2</f>
        <v>Topinambur-Kraut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8" t="str">
        <f>'Topi Kraut s Biogas ex Silo (a)'!H3</f>
        <v>Kraut-Silage vor Knollenernte im Spätherbst/Winter für Biogasanlage; Rücklieferung Gärrest unter 100% Anrechung der Netto-Nährstoffe (30% N-Verluste) Vollkosten incl. Kosten der Gärrest-Ausbringung</v>
      </c>
      <c r="H3" s="4281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1005</v>
      </c>
      <c r="F6" s="26"/>
      <c r="G6" s="26"/>
      <c r="H6" s="26"/>
      <c r="I6" s="238"/>
      <c r="J6" s="238"/>
      <c r="K6" s="238"/>
      <c r="L6" s="512" t="s">
        <v>139</v>
      </c>
      <c r="M6" s="1821">
        <f>'Topi Kraut s Biogas ex Silo (a)'!K5</f>
        <v>30</v>
      </c>
      <c r="N6" s="1820">
        <f>'Topi Kraut s Biogas ex Silo (a)'!M5</f>
        <v>50</v>
      </c>
      <c r="O6" s="1822">
        <f>'Topi Kraut s Biogas ex Silo (a)'!O5</f>
        <v>70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'Topi Kraut s Biogas ex Silo (a)'!K9</f>
        <v>30</v>
      </c>
      <c r="N7" s="1736">
        <f>'Topi Kraut s Biogas ex Silo (a)'!M9</f>
        <v>50</v>
      </c>
      <c r="O7" s="1744">
        <f>'Topi Kraut s Biogas ex Silo (a)'!O9</f>
        <v>70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'Topi Kraut s Biogas ex Silo (a)'!L9</f>
        <v>46.153846153846153</v>
      </c>
      <c r="N8" s="1737">
        <f>'Topi Kraut s Biogas ex Silo (a)'!N9</f>
        <v>76.923076923076934</v>
      </c>
      <c r="O8" s="1583">
        <f>'Topi Kraut s Biogas ex Silo (a)'!P9</f>
        <v>107.69230769230769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'Topi Kraut s Biogas ex Silo (a)'!K11</f>
        <v>27.6</v>
      </c>
      <c r="N9" s="1562">
        <f>'Topi Kraut s Biogas ex Silo (a)'!M11</f>
        <v>46</v>
      </c>
      <c r="O9" s="1747">
        <f>'Topi Kraut s Biogas ex Silo (a)'!O11</f>
        <v>64.400000000000006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'Topi Kraut s Biogas ex Silo (a)'!L11</f>
        <v>42.46153846153846</v>
      </c>
      <c r="N10" s="1582">
        <f>'Topi Kraut s Biogas ex Silo (a)'!N11</f>
        <v>70.769230769230774</v>
      </c>
      <c r="O10" s="2014">
        <f>'Topi Kraut s Biogas ex Silo (a)'!P11</f>
        <v>99.07692307692308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'Topi Kraut s Biogas ex Silo (a)'!L12</f>
        <v>7.72027972027972</v>
      </c>
      <c r="N11" s="3269">
        <f>'Topi Kraut s Biogas ex Silo (a)'!N12</f>
        <v>12.867132867132868</v>
      </c>
      <c r="O11" s="3270">
        <f>'Topi Kraut s Biogas ex Silo (a)'!P12</f>
        <v>18.013986013986017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'Topi Kraut s Biogas ex Silo (a)'!K15</f>
        <v>662.40000000000009</v>
      </c>
      <c r="N12" s="1738">
        <f>'Topi Kraut s Biogas ex Silo (a)'!M15</f>
        <v>1104</v>
      </c>
      <c r="O12" s="1745">
        <f>'Topi Kraut s Biogas ex Silo (a)'!O15</f>
        <v>1545.6000000000001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'Topi Kraut s Biogas ex Silo (a)'!K16</f>
        <v>23.846399999999999</v>
      </c>
      <c r="N13" s="2077">
        <f>'Topi Kraut s Biogas ex Silo (a)'!M16</f>
        <v>39.743999999999993</v>
      </c>
      <c r="O13" s="2078">
        <f>'Topi Kraut s Biogas ex Silo (a)'!O16</f>
        <v>55.641599999999997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'Topi Kraut s Biogas ex Silo (a)'!L24</f>
        <v>270</v>
      </c>
      <c r="N15" s="3338">
        <f>'Topi Kraut s Biogas ex Silo (a)'!N24</f>
        <v>270</v>
      </c>
      <c r="O15" s="3341">
        <f>'Topi Kraut s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1226</v>
      </c>
      <c r="E16" s="3"/>
      <c r="F16" s="3"/>
      <c r="G16" s="172"/>
      <c r="H16" s="676"/>
      <c r="I16" s="234"/>
      <c r="J16" s="234"/>
      <c r="K16" s="234"/>
      <c r="L16" s="512"/>
      <c r="M16" s="452">
        <f>'Topi Kraut s Biogas ex Silo (a)'!L18</f>
        <v>0</v>
      </c>
      <c r="N16" s="1736">
        <f>'Topi Kraut s Biogas ex Silo (a)'!N18</f>
        <v>0</v>
      </c>
      <c r="O16" s="3343">
        <f>'Topi Kraut s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'Topi Kraut s Biogas ex Silo (a)'!L27</f>
        <v>0</v>
      </c>
      <c r="N19" s="2098">
        <f>'Topi Kraut s Biogas ex Silo (a)'!N27</f>
        <v>0</v>
      </c>
      <c r="O19" s="3276">
        <f>'Topi Kraut s Biogas ex Silo (a)'!P27</f>
        <v>0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'Topi Kraut s Biogas ex Silo (a)'!L31-'Topi Kraut s Biogas ex Silo (a)'!L17</f>
        <v>25.815026999999986</v>
      </c>
      <c r="N20" s="1750">
        <f>'Topi Kraut s Biogas ex Silo (a)'!N31-'Topi Kraut s Biogas ex Silo (a)'!N17</f>
        <v>43.025044999999977</v>
      </c>
      <c r="O20" s="3278">
        <f>'Topi Kraut s Biogas ex Silo (a)'!P31-'Topi Kraut s Biogas ex Silo (a)'!P17</f>
        <v>60.235062999999968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'Topi Kraut s Biogas ex Silo (a)'!L37</f>
        <v>0</v>
      </c>
      <c r="N21" s="1750">
        <f>'Topi Kraut s Biogas ex Silo (a)'!N37</f>
        <v>0</v>
      </c>
      <c r="O21" s="3278">
        <f>'Topi Kraut s Biogas ex Silo 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'Topi Kraut s Biogas ex Silo (a)'!L65</f>
        <v>2.3846400000000001</v>
      </c>
      <c r="N22" s="1750">
        <f>'Topi Kraut s Biogas ex Silo (a)'!N65</f>
        <v>3.9744000000000002</v>
      </c>
      <c r="O22" s="3278">
        <f>'Topi Kraut s Biogas ex Silo (a)'!P65</f>
        <v>5.5641599999999993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'Topi Kraut s Biogas ex Silo (a)'!L67</f>
        <v>0</v>
      </c>
      <c r="N23" s="1750">
        <f>'Topi Kraut s Biogas ex Silo (a)'!N67</f>
        <v>0</v>
      </c>
      <c r="O23" s="3278">
        <f>'Topi Kraut s Biogas ex Silo (a)'!P67</f>
        <v>0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'Topi Kraut s Biogas ex Silo (a)'!L42</f>
        <v>19.880722213419197</v>
      </c>
      <c r="N24" s="1750">
        <f>'Topi Kraut s Biogas ex Silo (a)'!N42</f>
        <v>33.278600226810397</v>
      </c>
      <c r="O24" s="3278">
        <f>'Topi Kraut s Biogas ex Silo (a)'!P42</f>
        <v>46.676478240201597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'Topi Kraut s Biogas ex Silo (a)'!L58</f>
        <v>205.38814153846155</v>
      </c>
      <c r="N25" s="1750">
        <f>'Topi Kraut s Biogas ex Silo (a)'!N58</f>
        <v>238.18856923076925</v>
      </c>
      <c r="O25" s="3278">
        <f>'Topi Kraut s Biogas ex Silo (a)'!P58</f>
        <v>270.98899692307697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'Topi Kraut s Biogas ex Silo (a)'!L63</f>
        <v>0</v>
      </c>
      <c r="N26" s="2101">
        <f>'Topi Kraut s Biogas ex Silo (a)'!N63</f>
        <v>0</v>
      </c>
      <c r="O26" s="3279">
        <f>'Topi Kraut s Biogas ex Silo 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253.46853075188073</v>
      </c>
      <c r="N27" s="1775">
        <f>SUM(N19:N26)</f>
        <v>318.46661445757962</v>
      </c>
      <c r="O27" s="2055">
        <f>SUM(O19:O26)</f>
        <v>383.46469816327851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-253.46853075188073</v>
      </c>
      <c r="N28" s="2060">
        <f>-N27</f>
        <v>-318.46661445757962</v>
      </c>
      <c r="O28" s="2061">
        <f>-O27</f>
        <v>-383.46469816327851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M27*'Topi Kraut s Biogas ex Silo (a)'!$L$70*'Topi Kraut s Biogas ex Silo (a)'!$P$70/12/100</f>
        <v>1.5841783171992545</v>
      </c>
      <c r="N30" s="2101">
        <f>N27*'Topi Kraut s Biogas ex Silo (a)'!$L$70*'Topi Kraut s Biogas ex Silo (a)'!$P$70/12/100</f>
        <v>1.9904163403598727</v>
      </c>
      <c r="O30" s="3279">
        <f>O27*'Topi Kraut s Biogas ex Silo (a)'!$L$70*'Topi Kraut s Biogas ex Silo (a)'!$P$70/12/100</f>
        <v>2.3966543635204904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14.94729093092001</v>
      </c>
      <c r="N31" s="1769">
        <f>N28+N29-N30</f>
        <v>-50.457030797939495</v>
      </c>
      <c r="O31" s="1776">
        <f>O28+O29-O30</f>
        <v>-115.86135252679901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2.2565354666243972E-2</v>
      </c>
      <c r="N32" s="3282">
        <f>IF(N12=0,0,N31/N12)</f>
        <v>-4.5703832244510412E-2</v>
      </c>
      <c r="O32" s="2517">
        <f>IF(O12=0,0,O31/O12)</f>
        <v>-7.4962055206262299E-2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0.62681540739566599</v>
      </c>
      <c r="N33" s="3284">
        <f>IF(N13=0,0,N31/N13)</f>
        <v>-1.269550895680845</v>
      </c>
      <c r="O33" s="3285">
        <f>IF(O13=0,0,O31/O13)</f>
        <v>-2.0822793112850642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'Topi Kraut s Biogas ex Silo (a)'!K57</f>
        <v>1.6576559999999998</v>
      </c>
      <c r="N35" s="2396">
        <f>'Topi Kraut s Biogas ex Silo (a)'!M57</f>
        <v>2.7747719999999996</v>
      </c>
      <c r="O35" s="2398">
        <f>'Topi Kraut s Biogas ex Silo (a)'!O57</f>
        <v>3.8918880000000002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'Topi Kraut s Biogas ex Silo (a)'!L10</f>
        <v>8.3916083916083917</v>
      </c>
      <c r="N36" s="2431">
        <f>'Topi Kraut s Biogas ex Silo (a)'!N10</f>
        <v>13.986013986013988</v>
      </c>
      <c r="O36" s="2432">
        <f>'Topi Kraut s Biogas ex Silo (a)'!P10</f>
        <v>19.58041958041958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29.008979999999998</v>
      </c>
      <c r="N37" s="1750">
        <f>$J$37*N35</f>
        <v>48.558509999999991</v>
      </c>
      <c r="O37" s="3278">
        <f>$J$37*O35</f>
        <v>68.108040000000003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40.77622377622378</v>
      </c>
      <c r="N38" s="3289">
        <f>N36*$I$36</f>
        <v>67.960372960372979</v>
      </c>
      <c r="O38" s="3290">
        <f>O36*$I$36</f>
        <v>95.144522144522142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1052.5283478271497</v>
      </c>
      <c r="N43" s="1991">
        <f>SUM(N37:N42)</f>
        <v>789.26202701129887</v>
      </c>
      <c r="O43" s="1994">
        <f>SUM(O37:O42)</f>
        <v>835.99570619544807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1307.5810568962297</v>
      </c>
      <c r="N46" s="2041">
        <f>N27+N30+N43</f>
        <v>1109.7190578092384</v>
      </c>
      <c r="O46" s="2080">
        <f>O27+O30+O43</f>
        <v>1221.8570587222471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-1307.5810568962297</v>
      </c>
      <c r="N47" s="2227">
        <f>N45-N46</f>
        <v>-1109.7190578092384</v>
      </c>
      <c r="O47" s="2228">
        <f>O45-O46</f>
        <v>-1221.8570587222471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-1037.5810568962297</v>
      </c>
      <c r="N49" s="1991">
        <f>N47+N48</f>
        <v>-839.71905780923839</v>
      </c>
      <c r="O49" s="1994">
        <f>O47+O48</f>
        <v>-951.85705872224707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1037.5810568962297</v>
      </c>
      <c r="N51" s="1771">
        <f>N46-N48</f>
        <v>839.71905780923839</v>
      </c>
      <c r="O51" s="3358">
        <f>O46-O48</f>
        <v>951.85705872224707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24.435785760237295</v>
      </c>
      <c r="N52" s="2335">
        <f>IF(N10=0,0,N$51/N10)</f>
        <v>11.865595382087063</v>
      </c>
      <c r="O52" s="2336">
        <f>IF(O10=0,0,O$51/O10)</f>
        <v>9.6072529218860332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37.59351655421122</v>
      </c>
      <c r="N53" s="2335">
        <f>IF(N9=0,0,N$51/N9)</f>
        <v>18.25476212628779</v>
      </c>
      <c r="O53" s="2336">
        <f>IF(O9=0,0,O$51/O9)</f>
        <v>14.780389110593898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134.39682168130511</v>
      </c>
      <c r="N54" s="2335">
        <f t="shared" si="3"/>
        <v>65.260774601478843</v>
      </c>
      <c r="O54" s="2336">
        <f t="shared" si="3"/>
        <v>52.839891070373177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1.566396523092134</v>
      </c>
      <c r="N55" s="2219">
        <f t="shared" si="3"/>
        <v>0.76061508859532467</v>
      </c>
      <c r="O55" s="2220">
        <f t="shared" si="3"/>
        <v>0.61584954627474575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43.511014530337064</v>
      </c>
      <c r="N56" s="2219">
        <f>IF(N13=0,0,N$51/N13)</f>
        <v>21.128196905425689</v>
      </c>
      <c r="O56" s="2220">
        <f>IF(O13=0,0,O$51/O13)</f>
        <v>17.10693184096516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0.43511014530337055</v>
      </c>
      <c r="N57" s="2222">
        <f>N51/$N$12*10/$F$57</f>
        <v>0.21128196905425684</v>
      </c>
      <c r="O57" s="2223">
        <f>O51/$O$12*10/$F$57</f>
        <v>0.17106931840965159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996.80483312000592</v>
      </c>
      <c r="N58" s="1769">
        <f>N51-N38</f>
        <v>771.75868484886541</v>
      </c>
      <c r="O58" s="1776">
        <f>O51-O38</f>
        <v>856.7125365777249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M58/M7</f>
        <v>33.226827770666866</v>
      </c>
      <c r="N59" s="3416">
        <f>N58/N7</f>
        <v>15.435173696977309</v>
      </c>
      <c r="O59" s="3417">
        <f>O58/O7</f>
        <v>12.238750522538927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1.5048382142512164</v>
      </c>
      <c r="N60" s="2130">
        <f>IF(N12=0,0,N$58/N12)</f>
        <v>0.69905677975440705</v>
      </c>
      <c r="O60" s="2217">
        <f>IF(O12=0,0,O$58/O12)</f>
        <v>0.55429123743382813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0.41801061506978232</v>
      </c>
      <c r="N61" s="2130">
        <f>N58/$N$12*10/$F$57</f>
        <v>0.19418243882066863</v>
      </c>
      <c r="O61" s="3422">
        <f>O58/$O$12*10/$F$57</f>
        <v>0.15396978817606338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41.801061506978243</v>
      </c>
      <c r="N62" s="1874">
        <f>IF(N13=0,0,N$58/N13)</f>
        <v>19.418243882066868</v>
      </c>
      <c r="O62" s="2032">
        <f>IF(O13=0,0,O$58/O13)</f>
        <v>15.396978817606341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29.783845317199241</v>
      </c>
      <c r="N64" s="1772">
        <f>SUM(N19:N23)+N30</f>
        <v>48.989861340359852</v>
      </c>
      <c r="O64" s="1773">
        <f>SUM(O19:O23)+O30</f>
        <v>68.195877363520466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4.4963534597221071E-2</v>
      </c>
      <c r="N65" s="2031">
        <f>IF(N12=0,0,N64/N12)</f>
        <v>4.4374874402499868E-2</v>
      </c>
      <c r="O65" s="2032">
        <f>IF(O12=0,0,O64/O12)</f>
        <v>4.4122591461905059E-2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742.59886581619776</v>
      </c>
      <c r="N66" s="2038">
        <f>N24+N25+N26+N39+N37</f>
        <v>794.94882350850548</v>
      </c>
      <c r="O66" s="2039">
        <f>O24+O25+O26+O39+O37</f>
        <v>860.69665921420449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1.121073166993052</v>
      </c>
      <c r="N67" s="2168">
        <f>IF(N12=0,0,N66/N12)</f>
        <v>0.72006234013451587</v>
      </c>
      <c r="O67" s="2187">
        <f>IF(O12=0,0,O66/O12)</f>
        <v>0.55686895653092938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3293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3</v>
      </c>
      <c r="N72" s="2877">
        <f>N7/10</f>
        <v>5</v>
      </c>
      <c r="O72" s="2877">
        <f>O7/10</f>
        <v>7</v>
      </c>
    </row>
    <row r="73" spans="2:41" x14ac:dyDescent="0.2">
      <c r="K73" s="7" t="s">
        <v>263</v>
      </c>
      <c r="M73" s="2725">
        <f>M6</f>
        <v>30</v>
      </c>
      <c r="N73" s="2725">
        <f>N6</f>
        <v>50</v>
      </c>
      <c r="O73" s="2725">
        <f>O6</f>
        <v>70</v>
      </c>
    </row>
    <row r="74" spans="2:41" x14ac:dyDescent="0.2">
      <c r="K74" s="7" t="s">
        <v>419</v>
      </c>
      <c r="M74" s="2941">
        <f>M9/10</f>
        <v>2.7600000000000002</v>
      </c>
      <c r="N74" s="2941">
        <f>N9/10</f>
        <v>4.5999999999999996</v>
      </c>
      <c r="O74" s="2941">
        <f>O9/10</f>
        <v>6.44</v>
      </c>
    </row>
    <row r="75" spans="2:41" x14ac:dyDescent="0.2">
      <c r="M75" s="2666">
        <f>M53*10</f>
        <v>375.9351655421122</v>
      </c>
      <c r="N75" s="2666">
        <f>N53*10</f>
        <v>182.5476212628779</v>
      </c>
      <c r="O75" s="2666">
        <f>O53*10</f>
        <v>147.80389110593899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0">
    <mergeCell ref="B15:B17"/>
    <mergeCell ref="G3:O3"/>
    <mergeCell ref="B2:B4"/>
    <mergeCell ref="B51:B67"/>
    <mergeCell ref="D19:D23"/>
    <mergeCell ref="B19:B27"/>
    <mergeCell ref="B28:B33"/>
    <mergeCell ref="B45:B49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8" firstPageNumber="15" orientation="portrait" useFirstPageNumber="1" horizontalDpi="300" verticalDpi="300" r:id="rId1"/>
  <headerFooter alignWithMargins="0">
    <oddFooter>&amp;L&amp;12LEL Schwäbisch Gmünd (Abtlg. II)
LAZBW Aulendorf&amp;C&amp;12 127&amp;9
&amp;R&amp;12&amp;F
&amp;A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5">
    <tabColor rgb="FFC00000"/>
  </sheetPr>
  <dimension ref="A1:Q40"/>
  <sheetViews>
    <sheetView topLeftCell="A25" zoomScaleNormal="100" workbookViewId="0">
      <selection activeCell="J42" sqref="J42"/>
    </sheetView>
  </sheetViews>
  <sheetFormatPr baseColWidth="10" defaultRowHeight="12.75" x14ac:dyDescent="0.2"/>
  <cols>
    <col min="9" max="9" width="13.85546875" customWidth="1"/>
    <col min="11" max="11" width="11.5703125" bestFit="1" customWidth="1"/>
  </cols>
  <sheetData>
    <row r="1" spans="1:16" s="3713" customFormat="1" ht="33" customHeight="1" thickBot="1" x14ac:dyDescent="0.25"/>
    <row r="2" spans="1:16" ht="25.15" customHeight="1" x14ac:dyDescent="0.3">
      <c r="A2" s="4351" t="s">
        <v>1082</v>
      </c>
      <c r="B2" s="4352"/>
      <c r="C2" s="4352"/>
      <c r="D2" s="4352"/>
      <c r="E2" s="4352"/>
      <c r="F2" s="4352"/>
      <c r="G2" s="4352"/>
      <c r="H2" s="4352"/>
      <c r="I2" s="4352"/>
      <c r="J2" s="4352"/>
      <c r="K2" s="4352"/>
      <c r="L2" s="4352"/>
      <c r="M2" s="4352"/>
      <c r="N2" s="4352"/>
      <c r="O2" s="4352"/>
      <c r="P2" s="4353"/>
    </row>
    <row r="3" spans="1:16" ht="15.75" x14ac:dyDescent="0.25">
      <c r="A3" s="2705"/>
      <c r="B3" s="400"/>
      <c r="C3" s="400"/>
      <c r="D3" s="400"/>
      <c r="E3" s="400"/>
      <c r="F3" s="400"/>
      <c r="G3" s="400"/>
      <c r="H3" s="400"/>
      <c r="I3" s="2733" t="s">
        <v>198</v>
      </c>
      <c r="J3" s="2733" t="s">
        <v>830</v>
      </c>
      <c r="K3" s="2733"/>
      <c r="L3" s="2734">
        <f>'28)Silomais Biogas ex Silo (a)'!K5/'28)Silomais Biogas ex Silo (a)'!K7*100</f>
        <v>363.63636363636363</v>
      </c>
      <c r="M3" s="2734"/>
      <c r="N3" s="2734">
        <f>'28)Silomais Biogas ex Silo (a)'!M5/'28)Silomais Biogas ex Silo (a)'!M7*100</f>
        <v>454.54545454545456</v>
      </c>
      <c r="O3" s="2734"/>
      <c r="P3" s="2735">
        <f>'28)Silomais Biogas ex Silo (a)'!O5/'28)Silomais Biogas ex Silo (a)'!O7*100</f>
        <v>545.45454545454538</v>
      </c>
    </row>
    <row r="4" spans="1:16" ht="14.25" x14ac:dyDescent="0.2">
      <c r="A4" s="2706"/>
      <c r="B4" s="172"/>
      <c r="C4" s="172"/>
      <c r="D4" s="172"/>
      <c r="E4" s="172"/>
      <c r="F4" s="172"/>
      <c r="G4" s="172"/>
      <c r="H4" s="172"/>
      <c r="I4" s="2722" t="s">
        <v>1097</v>
      </c>
      <c r="J4" s="2722" t="s">
        <v>1047</v>
      </c>
      <c r="K4" s="2722"/>
      <c r="L4" s="2723">
        <f>'28)Silomais Biogas ex Silo (a)'!K6</f>
        <v>5</v>
      </c>
      <c r="M4" s="2723"/>
      <c r="N4" s="2723">
        <f>'28)Silomais Biogas ex Silo (a)'!M6</f>
        <v>5</v>
      </c>
      <c r="O4" s="2723"/>
      <c r="P4" s="2724">
        <f>'28)Silomais Biogas ex Silo (a)'!O6</f>
        <v>5</v>
      </c>
    </row>
    <row r="5" spans="1:16" ht="15.75" x14ac:dyDescent="0.2">
      <c r="A5" s="2675" t="s">
        <v>300</v>
      </c>
      <c r="B5" s="3"/>
      <c r="C5" s="3"/>
      <c r="D5" s="3"/>
      <c r="E5" s="3"/>
      <c r="F5" s="3" t="s">
        <v>301</v>
      </c>
      <c r="G5" s="7"/>
      <c r="H5" s="3"/>
      <c r="I5" s="225" t="s">
        <v>1096</v>
      </c>
      <c r="J5" s="234" t="s">
        <v>951</v>
      </c>
      <c r="K5" s="1323"/>
      <c r="L5" s="2690">
        <f>'28)Silomais Biogas ex Silo (a)'!L9</f>
        <v>345.45454545454544</v>
      </c>
      <c r="M5" s="2690"/>
      <c r="N5" s="2690">
        <f>'28)Silomais Biogas ex Silo (a)'!N9</f>
        <v>431.81818181818181</v>
      </c>
      <c r="O5" s="2690"/>
      <c r="P5" s="2691">
        <f>'28)Silomais Biogas ex Silo (a)'!P9</f>
        <v>518.18181818181813</v>
      </c>
    </row>
    <row r="6" spans="1:16" ht="15.75" x14ac:dyDescent="0.2">
      <c r="A6" s="2675" t="s">
        <v>616</v>
      </c>
      <c r="B6" s="3"/>
      <c r="C6" s="3"/>
      <c r="D6" s="3"/>
      <c r="E6" s="3"/>
      <c r="F6" s="3"/>
      <c r="G6" s="3"/>
      <c r="H6" s="3"/>
      <c r="I6" s="225"/>
      <c r="J6" s="2736" t="s">
        <v>938</v>
      </c>
      <c r="K6" s="1324"/>
      <c r="L6" s="2737">
        <f>L5/10</f>
        <v>34.545454545454547</v>
      </c>
      <c r="M6" s="2737"/>
      <c r="N6" s="2737">
        <f>N5/10</f>
        <v>43.18181818181818</v>
      </c>
      <c r="O6" s="2737"/>
      <c r="P6" s="2738">
        <f>P5/10</f>
        <v>51.818181818181813</v>
      </c>
    </row>
    <row r="7" spans="1:16" ht="18" x14ac:dyDescent="0.2">
      <c r="A7" s="2675"/>
      <c r="B7" s="3"/>
      <c r="C7" s="3"/>
      <c r="D7" s="3"/>
      <c r="E7" s="3"/>
      <c r="F7" s="3"/>
      <c r="G7" s="3"/>
      <c r="H7" s="3"/>
      <c r="I7" s="3" t="s">
        <v>596</v>
      </c>
      <c r="J7" s="234"/>
      <c r="K7" s="1323"/>
      <c r="L7" s="2669">
        <f>'28)Silomais Biogas ex Silo (a)'!K62</f>
        <v>25.390909090909091</v>
      </c>
      <c r="M7" s="2669"/>
      <c r="N7" s="2669">
        <f>'28)Silomais Biogas ex Silo (a)'!M62</f>
        <v>31.738636363636367</v>
      </c>
      <c r="O7" s="2669"/>
      <c r="P7" s="2676">
        <f>'28)Silomais Biogas ex Silo (a)'!O62</f>
        <v>38.086363636363636</v>
      </c>
    </row>
    <row r="8" spans="1:16" ht="15.75" x14ac:dyDescent="0.2">
      <c r="A8" s="2675"/>
      <c r="B8" s="3"/>
      <c r="C8" s="3"/>
      <c r="D8" s="3"/>
      <c r="E8" s="3"/>
      <c r="F8" s="3"/>
      <c r="G8" s="3"/>
      <c r="H8" s="3"/>
      <c r="I8" s="225" t="s">
        <v>1080</v>
      </c>
      <c r="J8" s="2736"/>
      <c r="K8" s="1324"/>
      <c r="L8" s="2737">
        <f>SUM(L6:L7)</f>
        <v>59.936363636363637</v>
      </c>
      <c r="M8" s="2737"/>
      <c r="N8" s="2737">
        <f>SUM(N6:N7)</f>
        <v>74.920454545454547</v>
      </c>
      <c r="O8" s="2737"/>
      <c r="P8" s="2738">
        <f>SUM(P6:P7)</f>
        <v>89.904545454545456</v>
      </c>
    </row>
    <row r="9" spans="1:16" ht="15" x14ac:dyDescent="0.2">
      <c r="A9" s="2706"/>
      <c r="B9" s="50"/>
      <c r="C9" s="172"/>
      <c r="D9" s="50"/>
      <c r="E9" s="50" t="s">
        <v>265</v>
      </c>
      <c r="F9" s="50"/>
      <c r="G9" s="50"/>
      <c r="H9" s="50"/>
      <c r="I9" s="198"/>
      <c r="J9" s="2727">
        <f>I27</f>
        <v>12</v>
      </c>
      <c r="K9" s="54"/>
      <c r="L9" s="2670">
        <f>L8/$I$27</f>
        <v>4.9946969696969701</v>
      </c>
      <c r="M9" s="2670"/>
      <c r="N9" s="2670">
        <f>N8/$I$27</f>
        <v>6.2433712121212119</v>
      </c>
      <c r="O9" s="2670"/>
      <c r="P9" s="2678">
        <f>P8/$I$27</f>
        <v>7.4920454545454547</v>
      </c>
    </row>
    <row r="10" spans="1:16" ht="15.75" thickBot="1" x14ac:dyDescent="0.25">
      <c r="A10" s="4145" t="s">
        <v>1889</v>
      </c>
      <c r="B10" s="50"/>
      <c r="C10" s="512" t="s">
        <v>466</v>
      </c>
      <c r="D10" s="4144" t="s">
        <v>1888</v>
      </c>
      <c r="F10" s="50"/>
      <c r="G10" s="2730">
        <f>J9</f>
        <v>12</v>
      </c>
      <c r="H10" s="50"/>
      <c r="I10" s="2728">
        <f>I38</f>
        <v>2.2130000000000001</v>
      </c>
      <c r="J10" s="244"/>
      <c r="M10" s="57"/>
      <c r="N10" s="57"/>
      <c r="O10" s="2668"/>
      <c r="P10" s="2679"/>
    </row>
    <row r="11" spans="1:16" ht="60" x14ac:dyDescent="0.2">
      <c r="A11" s="2677"/>
      <c r="B11" s="1886" t="s">
        <v>1160</v>
      </c>
      <c r="C11" s="50"/>
      <c r="D11" s="50"/>
      <c r="E11" s="50"/>
      <c r="F11" s="50"/>
      <c r="G11" s="50"/>
      <c r="H11" s="50"/>
      <c r="I11" s="493"/>
      <c r="J11" s="58"/>
      <c r="K11" s="2671" t="s">
        <v>1161</v>
      </c>
      <c r="L11" s="2674" t="s">
        <v>913</v>
      </c>
      <c r="M11" s="2671" t="s">
        <v>1161</v>
      </c>
      <c r="N11" s="2674" t="s">
        <v>913</v>
      </c>
      <c r="O11" s="2671" t="s">
        <v>1161</v>
      </c>
      <c r="P11" s="2674" t="s">
        <v>913</v>
      </c>
    </row>
    <row r="12" spans="1:16" ht="15.75" x14ac:dyDescent="0.2">
      <c r="A12" s="2677"/>
      <c r="B12" s="3" t="s">
        <v>597</v>
      </c>
      <c r="C12" s="50"/>
      <c r="D12" s="50"/>
      <c r="E12" s="2753">
        <v>40</v>
      </c>
      <c r="F12" s="50" t="s">
        <v>598</v>
      </c>
      <c r="G12" s="50"/>
      <c r="H12" s="50"/>
      <c r="I12" s="2683">
        <v>4</v>
      </c>
      <c r="J12" s="244"/>
      <c r="K12" s="2672">
        <f>(I12-2)*2*$L$9/$E$12</f>
        <v>0.49946969696969701</v>
      </c>
      <c r="L12" s="2680">
        <f>$L$9*(I12-2)</f>
        <v>9.9893939393939402</v>
      </c>
      <c r="M12" s="2672">
        <f>(I12-2)*2*$N$9/$E$12</f>
        <v>0.62433712121212115</v>
      </c>
      <c r="N12" s="2680">
        <f>$N$9*(I12-2)</f>
        <v>12.486742424242424</v>
      </c>
      <c r="O12" s="2672">
        <f>(I12-2)*2*$P$9/$E$12</f>
        <v>0.74920454545454551</v>
      </c>
      <c r="P12" s="2680">
        <f>$P$9*(I12-2)</f>
        <v>14.984090909090909</v>
      </c>
    </row>
    <row r="13" spans="1:16" ht="15.75" x14ac:dyDescent="0.2">
      <c r="A13" s="2677"/>
      <c r="B13" s="3" t="s">
        <v>1887</v>
      </c>
      <c r="C13" s="50"/>
      <c r="D13" s="50"/>
      <c r="E13" s="50"/>
      <c r="F13" s="50"/>
      <c r="G13" s="50"/>
      <c r="H13" s="50"/>
      <c r="I13" s="2684"/>
      <c r="J13" s="236"/>
      <c r="K13" s="2681">
        <f>K12*$E$15</f>
        <v>8.7407196969696983</v>
      </c>
      <c r="L13" s="2682">
        <f>L12*$I$10</f>
        <v>22.106528787878791</v>
      </c>
      <c r="M13" s="2681">
        <f>M12*$E$15</f>
        <v>10.925899621212119</v>
      </c>
      <c r="N13" s="2682">
        <f>N12*$I$10</f>
        <v>27.633160984848484</v>
      </c>
      <c r="O13" s="2681">
        <f>O12*$E$15</f>
        <v>13.111079545454546</v>
      </c>
      <c r="P13" s="2682">
        <f>P12*$I$10</f>
        <v>33.159793181818181</v>
      </c>
    </row>
    <row r="14" spans="1:16" ht="15.75" x14ac:dyDescent="0.2">
      <c r="A14" s="2677"/>
      <c r="B14" s="50"/>
      <c r="C14" s="50"/>
      <c r="D14" s="50"/>
      <c r="E14" s="50"/>
      <c r="F14" s="50"/>
      <c r="G14" s="50"/>
      <c r="H14" s="50"/>
      <c r="I14" s="2685">
        <v>6</v>
      </c>
      <c r="J14" s="234"/>
      <c r="K14" s="2673">
        <f>(I14-2)*2*$L$9/$E$12</f>
        <v>0.99893939393939402</v>
      </c>
      <c r="L14" s="2680">
        <f>$L$9*(I14-2)</f>
        <v>19.97878787878788</v>
      </c>
      <c r="M14" s="2673">
        <f>(I14-2)*2*$N$9/$E$12</f>
        <v>1.2486742424242423</v>
      </c>
      <c r="N14" s="2680">
        <f>$N$9*(I14-2)</f>
        <v>24.973484848484848</v>
      </c>
      <c r="O14" s="2673">
        <f>(I14-2)*2*$P$9/$E$12</f>
        <v>1.498409090909091</v>
      </c>
      <c r="P14" s="2680">
        <f>$P$9*(I14-2)</f>
        <v>29.968181818181819</v>
      </c>
    </row>
    <row r="15" spans="1:16" ht="15.75" x14ac:dyDescent="0.2">
      <c r="A15" s="2677"/>
      <c r="B15" s="50" t="s">
        <v>465</v>
      </c>
      <c r="C15" s="50"/>
      <c r="D15" s="1323" t="s">
        <v>115</v>
      </c>
      <c r="E15" s="2754">
        <f>'Preise-Stammdaten'!N35</f>
        <v>17.5</v>
      </c>
      <c r="F15" s="50"/>
      <c r="G15" s="50"/>
      <c r="H15" s="50"/>
      <c r="I15" s="2684"/>
      <c r="J15" s="236"/>
      <c r="K15" s="2681">
        <f>K14*$E$15</f>
        <v>17.481439393939397</v>
      </c>
      <c r="L15" s="2682">
        <f>L14*$I$10</f>
        <v>44.213057575757581</v>
      </c>
      <c r="M15" s="2681">
        <f>M14*$E$15</f>
        <v>21.851799242424239</v>
      </c>
      <c r="N15" s="2682">
        <f>N14*$I$10</f>
        <v>55.266321969696968</v>
      </c>
      <c r="O15" s="2681">
        <f>O14*$E$15</f>
        <v>26.222159090909091</v>
      </c>
      <c r="P15" s="2682">
        <f>P14*$I$10</f>
        <v>66.319586363636361</v>
      </c>
    </row>
    <row r="16" spans="1:16" ht="15.75" x14ac:dyDescent="0.2">
      <c r="A16" s="2677"/>
      <c r="B16" s="50"/>
      <c r="C16" s="50"/>
      <c r="D16" s="50"/>
      <c r="E16" s="50"/>
      <c r="F16" s="50"/>
      <c r="G16" s="50"/>
      <c r="H16" s="50"/>
      <c r="I16" s="2683">
        <v>8</v>
      </c>
      <c r="J16" s="244"/>
      <c r="K16" s="2672">
        <f>(I16-2)*2*$L$9/$E$12</f>
        <v>1.498409090909091</v>
      </c>
      <c r="L16" s="2680">
        <f>$L$9*(I16-2)</f>
        <v>29.968181818181819</v>
      </c>
      <c r="M16" s="2672">
        <f>(I16-2)*2*$N$9/$E$12</f>
        <v>1.8730113636363637</v>
      </c>
      <c r="N16" s="2680">
        <f>$N$9*(I16-2)</f>
        <v>37.460227272727273</v>
      </c>
      <c r="O16" s="2672">
        <f>(I16-2)*2*$P$9/$E$12</f>
        <v>2.2476136363636363</v>
      </c>
      <c r="P16" s="2680">
        <f>$P$9*(I16-2)</f>
        <v>44.952272727272728</v>
      </c>
    </row>
    <row r="17" spans="1:17" ht="15.75" x14ac:dyDescent="0.2">
      <c r="A17" s="2677"/>
      <c r="B17" s="50"/>
      <c r="C17" s="50"/>
      <c r="D17" s="50"/>
      <c r="E17" s="50"/>
      <c r="F17" s="50"/>
      <c r="G17" s="50"/>
      <c r="H17" s="50"/>
      <c r="I17" s="2684"/>
      <c r="J17" s="236"/>
      <c r="K17" s="2681">
        <f>K16*$E$15</f>
        <v>26.222159090909091</v>
      </c>
      <c r="L17" s="2682">
        <f>L16*$I$10</f>
        <v>66.319586363636361</v>
      </c>
      <c r="M17" s="2681">
        <f>M16*$E$15</f>
        <v>32.777698863636367</v>
      </c>
      <c r="N17" s="2682">
        <f>N16*$I$10</f>
        <v>82.899482954545462</v>
      </c>
      <c r="O17" s="2681">
        <f>O16*$E$15</f>
        <v>39.333238636363639</v>
      </c>
      <c r="P17" s="2682">
        <f>P16*$I$10</f>
        <v>99.479379545454549</v>
      </c>
    </row>
    <row r="18" spans="1:17" ht="15.75" x14ac:dyDescent="0.2">
      <c r="A18" s="2677"/>
      <c r="B18" s="50"/>
      <c r="C18" s="50"/>
      <c r="D18" s="50"/>
      <c r="E18" s="50"/>
      <c r="F18" s="50"/>
      <c r="G18" s="50"/>
      <c r="H18" s="50"/>
      <c r="I18" s="2683">
        <v>10</v>
      </c>
      <c r="J18" s="244"/>
      <c r="K18" s="2672">
        <f>(I18-2)*2*$L$9/$E$12</f>
        <v>1.997878787878788</v>
      </c>
      <c r="L18" s="2680">
        <f>$L$9*(I18-2)</f>
        <v>39.957575757575761</v>
      </c>
      <c r="M18" s="2672">
        <f>(I18-2)*2*$N$9/$E$12</f>
        <v>2.4973484848484846</v>
      </c>
      <c r="N18" s="2680">
        <f>$N$9*(I18-2)</f>
        <v>49.946969696969695</v>
      </c>
      <c r="O18" s="2672">
        <f>(I18-2)*2*$P$9/$E$12</f>
        <v>2.996818181818182</v>
      </c>
      <c r="P18" s="2680">
        <f>$P$9*(I18-2)</f>
        <v>59.936363636363637</v>
      </c>
    </row>
    <row r="19" spans="1:17" ht="15.75" x14ac:dyDescent="0.2">
      <c r="A19" s="2677"/>
      <c r="B19" s="50"/>
      <c r="C19" s="50"/>
      <c r="D19" s="50"/>
      <c r="E19" s="50"/>
      <c r="F19" s="50"/>
      <c r="G19" s="50"/>
      <c r="H19" s="50"/>
      <c r="I19" s="2684"/>
      <c r="J19" s="236"/>
      <c r="K19" s="2681">
        <f>K18*$E$15</f>
        <v>34.962878787878793</v>
      </c>
      <c r="L19" s="2682">
        <f>L18*$I$10</f>
        <v>88.426115151515162</v>
      </c>
      <c r="M19" s="2681">
        <f>M18*$E$15</f>
        <v>43.703598484848477</v>
      </c>
      <c r="N19" s="2682">
        <f>N18*$I$10</f>
        <v>110.53264393939394</v>
      </c>
      <c r="O19" s="2681">
        <f>O18*$E$15</f>
        <v>52.444318181818183</v>
      </c>
      <c r="P19" s="2682">
        <f>P18*$I$10</f>
        <v>132.63917272727272</v>
      </c>
    </row>
    <row r="20" spans="1:17" ht="15.75" x14ac:dyDescent="0.2">
      <c r="A20" s="2677"/>
      <c r="B20" s="50"/>
      <c r="C20" s="50"/>
      <c r="D20" s="50"/>
      <c r="E20" s="50"/>
      <c r="F20" s="50"/>
      <c r="G20" s="50"/>
      <c r="H20" s="50"/>
      <c r="I20" s="2683">
        <v>12</v>
      </c>
      <c r="J20" s="244"/>
      <c r="K20" s="2672">
        <f>(I20-2)*2*$L$9/$E$12</f>
        <v>2.497348484848485</v>
      </c>
      <c r="L20" s="2680">
        <f>$L$9*(I20-2)</f>
        <v>49.946969696969703</v>
      </c>
      <c r="M20" s="2672">
        <f>(I20-2)*2*$N$9/$E$12</f>
        <v>3.121685606060606</v>
      </c>
      <c r="N20" s="2680">
        <f>$N$9*(I20-2)</f>
        <v>62.433712121212118</v>
      </c>
      <c r="O20" s="2672">
        <f>(I20-2)*2*$P$9/$E$12</f>
        <v>3.7460227272727273</v>
      </c>
      <c r="P20" s="2680">
        <f>$P$9*(I20-2)</f>
        <v>74.920454545454547</v>
      </c>
    </row>
    <row r="21" spans="1:17" ht="16.5" thickBot="1" x14ac:dyDescent="0.25">
      <c r="A21" s="2677"/>
      <c r="B21" s="50"/>
      <c r="C21" s="50"/>
      <c r="D21" s="50"/>
      <c r="E21" s="50"/>
      <c r="F21" s="50"/>
      <c r="G21" s="50"/>
      <c r="H21" s="50"/>
      <c r="I21" s="1267"/>
      <c r="J21" s="236"/>
      <c r="K21" s="2686">
        <f>K20*$E$15</f>
        <v>43.703598484848492</v>
      </c>
      <c r="L21" s="2687">
        <f>L20*$I$10</f>
        <v>110.53264393939395</v>
      </c>
      <c r="M21" s="2688">
        <f>M20*$E$15</f>
        <v>54.629498106060602</v>
      </c>
      <c r="N21" s="2687">
        <f>N20*$I$10</f>
        <v>138.16580492424242</v>
      </c>
      <c r="O21" s="2686">
        <f>O20*$E$15</f>
        <v>65.555397727272734</v>
      </c>
      <c r="P21" s="2687">
        <f>P20*$I$10</f>
        <v>165.79896590909092</v>
      </c>
    </row>
    <row r="22" spans="1:17" ht="18" x14ac:dyDescent="0.2">
      <c r="A22" s="2677"/>
      <c r="B22" s="50"/>
      <c r="C22" s="50"/>
      <c r="D22" s="50"/>
      <c r="E22" s="50"/>
      <c r="G22" s="2740"/>
      <c r="H22" s="2740"/>
      <c r="I22" s="2741"/>
      <c r="J22" s="2749" t="s">
        <v>415</v>
      </c>
      <c r="K22" s="2742" t="s">
        <v>463</v>
      </c>
      <c r="L22" s="2743" t="s">
        <v>17</v>
      </c>
      <c r="M22" s="2742" t="s">
        <v>463</v>
      </c>
      <c r="N22" s="2743" t="s">
        <v>17</v>
      </c>
      <c r="O22" s="2742" t="s">
        <v>463</v>
      </c>
      <c r="P22" s="2743" t="s">
        <v>17</v>
      </c>
    </row>
    <row r="23" spans="1:17" ht="18" x14ac:dyDescent="0.2">
      <c r="A23" s="2715"/>
      <c r="B23" s="233"/>
      <c r="C23" s="233"/>
      <c r="D23" s="36"/>
      <c r="E23" s="233"/>
      <c r="F23" s="2744"/>
      <c r="G23" s="2744"/>
      <c r="H23" s="2744"/>
      <c r="J23" s="2750" t="s">
        <v>617</v>
      </c>
      <c r="K23" s="2745">
        <f t="shared" ref="K23:P23" si="0">K21/10</f>
        <v>4.3703598484848492</v>
      </c>
      <c r="L23" s="2746">
        <f t="shared" si="0"/>
        <v>11.053264393939395</v>
      </c>
      <c r="M23" s="2745">
        <f t="shared" si="0"/>
        <v>5.4629498106060606</v>
      </c>
      <c r="N23" s="2746">
        <f t="shared" si="0"/>
        <v>13.816580492424242</v>
      </c>
      <c r="O23" s="2745">
        <f t="shared" si="0"/>
        <v>6.5555397727272737</v>
      </c>
      <c r="P23" s="2746">
        <f t="shared" si="0"/>
        <v>16.579896590909094</v>
      </c>
    </row>
    <row r="24" spans="1:17" ht="17.25" thickBot="1" x14ac:dyDescent="0.25">
      <c r="A24" s="2707"/>
      <c r="B24" s="2106"/>
      <c r="C24" s="2106"/>
      <c r="D24" s="2106"/>
      <c r="E24" s="2106"/>
      <c r="F24" s="2106"/>
      <c r="G24" s="2106"/>
      <c r="H24" s="2106" t="s">
        <v>805</v>
      </c>
      <c r="J24" s="2692"/>
      <c r="K24" s="2751">
        <f>K23/L8</f>
        <v>7.2916666666666671E-2</v>
      </c>
      <c r="L24" s="2752">
        <f>L23/L8</f>
        <v>0.18441666666666667</v>
      </c>
      <c r="M24" s="2751">
        <f>M23/N8</f>
        <v>7.2916666666666671E-2</v>
      </c>
      <c r="N24" s="2752">
        <f>N23/N8</f>
        <v>0.18441666666666665</v>
      </c>
      <c r="O24" s="2751">
        <f>O23/P8</f>
        <v>7.2916666666666671E-2</v>
      </c>
      <c r="P24" s="2752">
        <f>P23/P8</f>
        <v>0.1844166666666667</v>
      </c>
    </row>
    <row r="25" spans="1:17" ht="18.75" thickBot="1" x14ac:dyDescent="0.3">
      <c r="A25" s="2707"/>
      <c r="B25" s="2106"/>
      <c r="C25" s="2106"/>
      <c r="D25" s="2106"/>
      <c r="E25" s="2106"/>
      <c r="F25" s="2106"/>
      <c r="G25" s="2106"/>
      <c r="H25" s="2739" t="s">
        <v>414</v>
      </c>
      <c r="I25" s="2747"/>
      <c r="J25" s="2748"/>
      <c r="K25" s="4357">
        <f>K23+L23</f>
        <v>15.423624242424244</v>
      </c>
      <c r="L25" s="4358"/>
      <c r="M25" s="4358">
        <f>M23+N23</f>
        <v>19.279530303030302</v>
      </c>
      <c r="N25" s="4358"/>
      <c r="O25" s="4358">
        <f>O23+P23</f>
        <v>23.135436363636366</v>
      </c>
      <c r="P25" s="4359"/>
    </row>
    <row r="26" spans="1:17" ht="16.5" x14ac:dyDescent="0.2">
      <c r="A26" s="2707" t="s">
        <v>911</v>
      </c>
      <c r="B26" s="2106"/>
      <c r="C26" s="2106"/>
      <c r="D26" s="2106"/>
      <c r="E26" s="2106"/>
      <c r="F26" s="2106"/>
      <c r="G26" s="2106"/>
      <c r="H26" s="2106"/>
      <c r="I26" s="2106" t="s">
        <v>291</v>
      </c>
      <c r="J26" s="2692"/>
      <c r="K26" s="2693"/>
      <c r="L26" s="2692"/>
      <c r="M26" s="2106"/>
      <c r="N26" s="2106"/>
      <c r="O26" s="2693"/>
      <c r="P26" s="2708"/>
    </row>
    <row r="27" spans="1:17" ht="16.5" x14ac:dyDescent="0.2">
      <c r="A27" s="2706"/>
      <c r="B27" s="2106"/>
      <c r="C27" s="2106"/>
      <c r="D27" s="2106"/>
      <c r="E27" s="2106"/>
      <c r="F27" s="2106"/>
      <c r="G27" s="2106"/>
      <c r="H27" s="2106"/>
      <c r="I27" s="2755">
        <v>12</v>
      </c>
      <c r="J27" s="2106"/>
      <c r="K27" s="2106"/>
      <c r="L27" s="2692" t="s">
        <v>292</v>
      </c>
      <c r="M27" s="2106"/>
      <c r="N27" s="2106"/>
      <c r="O27" s="2693"/>
      <c r="P27" s="2708"/>
    </row>
    <row r="28" spans="1:17" s="2689" customFormat="1" ht="30.75" customHeight="1" x14ac:dyDescent="0.2">
      <c r="A28" s="2709"/>
      <c r="B28" s="2694"/>
      <c r="C28" s="2694"/>
      <c r="D28" s="2694"/>
      <c r="E28" s="2694"/>
      <c r="F28" s="4350" t="s">
        <v>1095</v>
      </c>
      <c r="G28" s="4350"/>
      <c r="H28" s="2694"/>
      <c r="I28" s="4356" t="s">
        <v>1094</v>
      </c>
      <c r="J28" s="4356"/>
      <c r="K28" s="2696">
        <f>I27</f>
        <v>12</v>
      </c>
      <c r="L28" s="2695">
        <f>E12</f>
        <v>40</v>
      </c>
      <c r="M28" s="2694" t="s">
        <v>598</v>
      </c>
      <c r="O28" s="2697"/>
      <c r="P28" s="2710"/>
    </row>
    <row r="29" spans="1:17" ht="16.5" x14ac:dyDescent="0.2">
      <c r="A29" s="2707" t="s">
        <v>290</v>
      </c>
      <c r="B29" s="2106"/>
      <c r="C29" s="2106"/>
      <c r="D29" s="2106"/>
      <c r="E29" s="2106"/>
      <c r="F29" s="4354">
        <v>0.03</v>
      </c>
      <c r="G29" s="4354"/>
      <c r="H29" s="2106"/>
      <c r="I29" s="2698">
        <f>F29*I27</f>
        <v>0.36</v>
      </c>
      <c r="J29" s="2106"/>
      <c r="K29" s="4146" t="s">
        <v>1890</v>
      </c>
      <c r="M29" s="2106"/>
      <c r="N29" s="2106"/>
      <c r="O29" s="2693"/>
      <c r="P29" s="2708"/>
    </row>
    <row r="30" spans="1:17" ht="16.5" x14ac:dyDescent="0.2">
      <c r="A30" s="2711" t="s">
        <v>287</v>
      </c>
      <c r="B30" s="2106"/>
      <c r="C30" s="2106"/>
      <c r="D30" s="2106"/>
      <c r="E30" s="2106"/>
      <c r="F30" s="4355">
        <v>22.06</v>
      </c>
      <c r="G30" s="4355"/>
      <c r="H30" s="2106"/>
      <c r="I30" s="2698">
        <f>F30/E12*2</f>
        <v>1.103</v>
      </c>
      <c r="J30" s="2106"/>
      <c r="K30" s="4146" t="s">
        <v>1891</v>
      </c>
      <c r="M30" s="2106"/>
      <c r="N30" s="2106"/>
      <c r="O30" s="2693"/>
      <c r="P30" s="2708"/>
    </row>
    <row r="31" spans="1:17" ht="16.5" x14ac:dyDescent="0.2">
      <c r="A31" s="2711" t="s">
        <v>288</v>
      </c>
      <c r="B31" s="2106"/>
      <c r="C31" s="2106"/>
      <c r="D31" s="2106"/>
      <c r="E31" s="2106"/>
      <c r="F31" s="2106"/>
      <c r="G31" s="2106"/>
      <c r="H31" s="2106"/>
      <c r="I31" s="2106"/>
      <c r="J31" s="2692"/>
      <c r="K31" s="2693"/>
      <c r="M31" s="2106"/>
      <c r="N31" s="2106"/>
      <c r="O31" s="2693"/>
      <c r="P31" s="2708"/>
    </row>
    <row r="32" spans="1:17" ht="16.5" x14ac:dyDescent="0.2">
      <c r="A32" s="2707" t="s">
        <v>293</v>
      </c>
      <c r="B32" s="2106"/>
      <c r="C32" s="2106"/>
      <c r="D32" s="2106"/>
      <c r="E32" s="4349">
        <v>120000</v>
      </c>
      <c r="F32" s="4349"/>
      <c r="G32" s="2106" t="s">
        <v>296</v>
      </c>
      <c r="H32" s="2106"/>
      <c r="I32" s="2106"/>
      <c r="J32" s="2692"/>
      <c r="K32" s="4146" t="s">
        <v>1891</v>
      </c>
      <c r="M32" s="2106"/>
      <c r="N32" s="2106"/>
      <c r="O32" s="2693"/>
      <c r="P32" s="2708"/>
      <c r="Q32" t="s">
        <v>289</v>
      </c>
    </row>
    <row r="33" spans="1:16" ht="16.5" x14ac:dyDescent="0.2">
      <c r="A33" s="2707" t="s">
        <v>294</v>
      </c>
      <c r="B33" s="2106"/>
      <c r="C33" s="2106"/>
      <c r="D33" s="2106"/>
      <c r="E33" s="2106">
        <v>20</v>
      </c>
      <c r="F33" s="2106" t="s">
        <v>103</v>
      </c>
      <c r="G33" s="2699">
        <f>E32/E33</f>
        <v>6000</v>
      </c>
      <c r="H33" s="2106"/>
      <c r="I33" s="2106"/>
      <c r="J33" s="2692"/>
      <c r="K33" s="2693"/>
      <c r="L33" s="2693"/>
      <c r="M33" s="2106"/>
      <c r="N33" s="2106"/>
      <c r="O33" s="2693"/>
      <c r="P33" s="2708"/>
    </row>
    <row r="34" spans="1:16" ht="16.5" x14ac:dyDescent="0.2">
      <c r="A34" s="2707" t="s">
        <v>295</v>
      </c>
      <c r="B34" s="2106"/>
      <c r="C34" s="2106"/>
      <c r="D34" s="2106"/>
      <c r="E34" s="2106">
        <v>16</v>
      </c>
      <c r="F34" s="2106" t="s">
        <v>103</v>
      </c>
      <c r="G34" s="2699">
        <f>E32/E34</f>
        <v>7500</v>
      </c>
      <c r="H34" s="2106"/>
      <c r="I34" s="2106"/>
      <c r="J34" s="2692"/>
      <c r="K34" s="2693"/>
      <c r="L34" s="2693"/>
      <c r="M34" s="2106"/>
      <c r="N34" s="2106"/>
      <c r="O34" s="2693"/>
      <c r="P34" s="2708"/>
    </row>
    <row r="35" spans="1:16" ht="16.5" x14ac:dyDescent="0.2">
      <c r="A35" s="2707" t="s">
        <v>297</v>
      </c>
      <c r="B35" s="2106"/>
      <c r="C35" s="2106"/>
      <c r="D35" s="2106"/>
      <c r="E35" s="2106"/>
      <c r="F35" s="2106"/>
      <c r="G35" s="2699">
        <f>G34-G33</f>
        <v>1500</v>
      </c>
      <c r="H35" s="2106"/>
      <c r="I35" s="2106"/>
      <c r="J35" s="2692"/>
      <c r="K35" s="2693"/>
      <c r="L35" s="2693"/>
      <c r="M35" s="2106"/>
      <c r="N35" s="2106"/>
      <c r="O35" s="2693"/>
      <c r="P35" s="2708"/>
    </row>
    <row r="36" spans="1:16" ht="16.5" x14ac:dyDescent="0.25">
      <c r="A36" s="2707"/>
      <c r="B36" s="2106" t="s">
        <v>298</v>
      </c>
      <c r="C36" s="2712"/>
      <c r="D36" s="2106"/>
      <c r="E36" s="2106"/>
      <c r="F36" s="2106"/>
      <c r="G36" s="2698">
        <f>G35/100</f>
        <v>15</v>
      </c>
      <c r="H36" s="2106"/>
      <c r="I36" s="2106"/>
      <c r="J36" s="2692"/>
      <c r="K36" s="2693"/>
      <c r="L36" s="2693"/>
      <c r="M36" s="2106"/>
      <c r="N36" s="2106"/>
      <c r="O36" s="2693"/>
      <c r="P36" s="2708"/>
    </row>
    <row r="37" spans="1:16" ht="16.5" x14ac:dyDescent="0.25">
      <c r="A37" s="2713"/>
      <c r="B37" s="2700" t="s">
        <v>1081</v>
      </c>
      <c r="C37" s="2701"/>
      <c r="D37" s="2700"/>
      <c r="E37" s="2700">
        <f>E12</f>
        <v>40</v>
      </c>
      <c r="F37" s="2700" t="s">
        <v>598</v>
      </c>
      <c r="G37" s="2702">
        <f>G36/E37</f>
        <v>0.375</v>
      </c>
      <c r="H37" s="2700"/>
      <c r="I37" s="2702">
        <f>G37*2</f>
        <v>0.75</v>
      </c>
      <c r="J37" s="2703"/>
      <c r="K37" s="2704"/>
      <c r="L37" s="2704"/>
      <c r="M37" s="2700"/>
      <c r="N37" s="2700"/>
      <c r="O37" s="2704"/>
      <c r="P37" s="2714"/>
    </row>
    <row r="38" spans="1:16" s="2721" customFormat="1" ht="21" thickBot="1" x14ac:dyDescent="0.35">
      <c r="A38" s="3166" t="s">
        <v>464</v>
      </c>
      <c r="B38" s="3167"/>
      <c r="C38" s="3167"/>
      <c r="D38" s="3167"/>
      <c r="E38" s="3167"/>
      <c r="F38" s="3167"/>
      <c r="G38" s="3167"/>
      <c r="H38" s="3167"/>
      <c r="I38" s="3168">
        <f>I29+I30+I37</f>
        <v>2.2130000000000001</v>
      </c>
      <c r="J38" s="3169" t="s">
        <v>264</v>
      </c>
      <c r="K38" s="3167"/>
      <c r="L38" s="3170">
        <f>I27</f>
        <v>12</v>
      </c>
      <c r="M38" s="3168">
        <f>I38/I27</f>
        <v>0.18441666666666667</v>
      </c>
      <c r="N38" s="3167" t="s">
        <v>299</v>
      </c>
      <c r="O38" s="3167"/>
      <c r="P38" s="3171"/>
    </row>
    <row r="39" spans="1:16" ht="21" thickBot="1" x14ac:dyDescent="0.25">
      <c r="A39" s="3166" t="s">
        <v>465</v>
      </c>
      <c r="B39" s="3167"/>
      <c r="C39" s="3167"/>
      <c r="D39" s="3167"/>
      <c r="E39" s="3167"/>
      <c r="F39" s="3167"/>
      <c r="G39" s="3167"/>
      <c r="H39" s="3167"/>
      <c r="I39" s="3168"/>
      <c r="J39" s="3169"/>
      <c r="K39" s="3167"/>
      <c r="L39" s="3172"/>
      <c r="M39" s="3168">
        <f>K24</f>
        <v>7.2916666666666671E-2</v>
      </c>
      <c r="N39" s="3167" t="s">
        <v>299</v>
      </c>
      <c r="O39" s="3167"/>
      <c r="P39" s="3171"/>
    </row>
    <row r="40" spans="1:16" ht="21" thickBot="1" x14ac:dyDescent="0.25">
      <c r="A40" s="2716" t="s">
        <v>155</v>
      </c>
      <c r="B40" s="2717"/>
      <c r="C40" s="2717"/>
      <c r="D40" s="2717"/>
      <c r="E40" s="2717"/>
      <c r="F40" s="2717"/>
      <c r="G40" s="2717"/>
      <c r="H40" s="2717"/>
      <c r="I40" s="2718"/>
      <c r="J40" s="2719"/>
      <c r="K40" s="2717"/>
      <c r="L40" s="2726"/>
      <c r="M40" s="2718">
        <f>M38+M39</f>
        <v>0.25733333333333336</v>
      </c>
      <c r="N40" s="2717" t="s">
        <v>299</v>
      </c>
      <c r="O40" s="2717"/>
      <c r="P40" s="2720"/>
    </row>
  </sheetData>
  <mergeCells count="9">
    <mergeCell ref="E32:F32"/>
    <mergeCell ref="F28:G28"/>
    <mergeCell ref="A2:P2"/>
    <mergeCell ref="F29:G29"/>
    <mergeCell ref="F30:G30"/>
    <mergeCell ref="I28:J28"/>
    <mergeCell ref="K25:L25"/>
    <mergeCell ref="M25:N25"/>
    <mergeCell ref="O25:P25"/>
  </mergeCells>
  <phoneticPr fontId="0" type="noConversion"/>
  <printOptions horizontalCentered="1"/>
  <pageMargins left="0.51181102362204722" right="0.27559055118110237" top="0.55118110236220474" bottom="0.51181102362204722" header="0.51181102362204722" footer="0.31496062992125984"/>
  <pageSetup paperSize="9" scale="52" firstPageNumber="15" orientation="portrait" useFirstPageNumber="1" horizontalDpi="1200" verticalDpi="1200" r:id="rId1"/>
  <headerFooter alignWithMargins="0">
    <oddFooter>&amp;L&amp;12LEL Schwäbisch Gmünd (Abtlg. II)
LAZBW Aulendorf&amp;C&amp;12 136&amp;9
&amp;R&amp;12&amp;F
&amp;A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7"/>
  <dimension ref="A1:F20"/>
  <sheetViews>
    <sheetView topLeftCell="A7" zoomScaleNormal="100" workbookViewId="0">
      <selection activeCell="A2" sqref="A2:F2"/>
    </sheetView>
  </sheetViews>
  <sheetFormatPr baseColWidth="10" defaultRowHeight="12.75" x14ac:dyDescent="0.2"/>
  <cols>
    <col min="1" max="1" width="36.7109375" customWidth="1"/>
    <col min="2" max="2" width="21" customWidth="1"/>
    <col min="3" max="3" width="19.5703125" customWidth="1"/>
    <col min="4" max="4" width="13.42578125" customWidth="1"/>
    <col min="5" max="5" width="13.140625" customWidth="1"/>
    <col min="6" max="6" width="16" customWidth="1"/>
  </cols>
  <sheetData>
    <row r="1" spans="1:6" ht="20.25" x14ac:dyDescent="0.3">
      <c r="A1" s="4360" t="s">
        <v>381</v>
      </c>
      <c r="B1" s="4360"/>
      <c r="C1" s="4360"/>
      <c r="D1" s="4360"/>
      <c r="E1" s="4360"/>
      <c r="F1" s="4360"/>
    </row>
    <row r="2" spans="1:6" ht="26.45" customHeight="1" thickBot="1" x14ac:dyDescent="0.25">
      <c r="A2" s="4361" t="s">
        <v>1892</v>
      </c>
      <c r="B2" s="4203"/>
      <c r="C2" s="4203"/>
      <c r="D2" s="4203"/>
      <c r="E2" s="4203"/>
      <c r="F2" s="4203"/>
    </row>
    <row r="3" spans="1:6" ht="15.75" x14ac:dyDescent="0.25">
      <c r="A3" s="2908"/>
      <c r="B3" s="2909"/>
      <c r="C3" s="2910" t="str">
        <f>'20)Silomais int-(a)'!M2</f>
        <v>Silomais intensiv</v>
      </c>
      <c r="D3" s="2911" t="str">
        <f>'24)Mais LKS-(a)'!M2</f>
        <v>Mais LKS</v>
      </c>
      <c r="E3" s="2910" t="str">
        <f>'25)Mais CCM-(a)'!M2</f>
        <v>Mais CCM</v>
      </c>
      <c r="F3" s="2912" t="str">
        <f>'26)Mais feucht-(a)'!M2</f>
        <v>Feuchtmais</v>
      </c>
    </row>
    <row r="4" spans="1:6" s="895" customFormat="1" ht="15.75" x14ac:dyDescent="0.25">
      <c r="A4" s="2913" t="s">
        <v>417</v>
      </c>
      <c r="B4" s="2914" t="s">
        <v>830</v>
      </c>
      <c r="C4" s="2915">
        <f>'20)Silomais int(b)'!$N$8</f>
        <v>417.42424242424238</v>
      </c>
      <c r="D4" s="2915">
        <f>'24)Mais LKS-(b)'!$N$8</f>
        <v>210.09615384615384</v>
      </c>
      <c r="E4" s="2915">
        <f>'25)Mais CCM-(b)'!$N$8</f>
        <v>158.33333333333331</v>
      </c>
      <c r="F4" s="2916">
        <f>'26)M(ais feucht-b)'!$N$8</f>
        <v>138.84615384615384</v>
      </c>
    </row>
    <row r="5" spans="1:6" ht="15" x14ac:dyDescent="0.2">
      <c r="A5" s="2900"/>
      <c r="B5" s="2901" t="s">
        <v>232</v>
      </c>
      <c r="C5" s="2904">
        <f>'20)Silomais int-(a)'!$N$7</f>
        <v>35</v>
      </c>
      <c r="D5" s="2904">
        <f>'24)Mais LKS-(a)'!$N$7</f>
        <v>54</v>
      </c>
      <c r="E5" s="2904">
        <f>'25)Mais CCM-(a)'!$N$7</f>
        <v>65</v>
      </c>
      <c r="F5" s="2905">
        <f>'26)Mais feucht-(a)'!$N$7</f>
        <v>67</v>
      </c>
    </row>
    <row r="6" spans="1:6" ht="15" x14ac:dyDescent="0.2">
      <c r="A6" s="2900"/>
      <c r="B6" s="2901" t="s">
        <v>139</v>
      </c>
      <c r="C6" s="2902">
        <f>'20)Silomais int(b)'!$N$6</f>
        <v>145</v>
      </c>
      <c r="D6" s="2902">
        <f>'24)Mais LKS-(b)'!$N$6</f>
        <v>115</v>
      </c>
      <c r="E6" s="2902">
        <f>'25)Mais CCM-(b)'!$N$6</f>
        <v>105</v>
      </c>
      <c r="F6" s="2903">
        <f>'26)M(ais feucht-b)'!$N$6</f>
        <v>95</v>
      </c>
    </row>
    <row r="7" spans="1:6" ht="15" x14ac:dyDescent="0.2">
      <c r="A7" s="2900" t="s">
        <v>382</v>
      </c>
      <c r="B7" s="2901" t="s">
        <v>1047</v>
      </c>
      <c r="C7" s="2904">
        <f>'20)Silomais int-(a)'!M6+'20)Silomais int-(a)'!N6</f>
        <v>7</v>
      </c>
      <c r="D7" s="2904">
        <f>'24)Mais LKS-(a)'!M6+'24)Mais LKS-(a)'!$N$6</f>
        <v>7</v>
      </c>
      <c r="E7" s="2904">
        <f>'25)Mais CCM-(a)'!M6+'25)Mais CCM-(a)'!N6</f>
        <v>7</v>
      </c>
      <c r="F7" s="2905">
        <f>'26)Mais feucht-(a)'!M6+'26)Mais feucht-(a)'!N6</f>
        <v>7</v>
      </c>
    </row>
    <row r="8" spans="1:6" s="895" customFormat="1" ht="15.75" x14ac:dyDescent="0.25">
      <c r="A8" s="2913" t="s">
        <v>374</v>
      </c>
      <c r="B8" s="2914" t="s">
        <v>830</v>
      </c>
      <c r="C8" s="2915">
        <f>'20)Silomais int(b)'!$N$10</f>
        <v>385.70000000000005</v>
      </c>
      <c r="D8" s="2915">
        <f>'24)Mais LKS-(b)'!$N$10</f>
        <v>198.26851851851853</v>
      </c>
      <c r="E8" s="2915">
        <f>'25)Mais CCM-(b)'!$N$10</f>
        <v>150.3923076923077</v>
      </c>
      <c r="F8" s="2916">
        <f>'26)M(ais feucht-b)'!$N$10</f>
        <v>132.00746268656715</v>
      </c>
    </row>
    <row r="9" spans="1:6" ht="15" x14ac:dyDescent="0.2">
      <c r="A9" s="2900"/>
      <c r="B9" s="2901" t="s">
        <v>139</v>
      </c>
      <c r="C9" s="2902">
        <f>'20)Silomais int-(a)'!$M$11</f>
        <v>134.995</v>
      </c>
      <c r="D9" s="2902">
        <f>'24)Mais LKS-(a)'!$M$11</f>
        <v>107.065</v>
      </c>
      <c r="E9" s="2902">
        <f>'25)Mais CCM-(a)'!$M$11</f>
        <v>97.754999999999995</v>
      </c>
      <c r="F9" s="2903">
        <f>'26)Mais feucht-(a)'!$M$11</f>
        <v>88.444999999999993</v>
      </c>
    </row>
    <row r="10" spans="1:6" s="895" customFormat="1" ht="15.75" x14ac:dyDescent="0.25">
      <c r="A10" s="2913"/>
      <c r="B10" s="2914" t="s">
        <v>240</v>
      </c>
      <c r="C10" s="2937">
        <f>'20)Silomais int-(a)'!$M$13</f>
        <v>6.6</v>
      </c>
      <c r="D10" s="2937">
        <f>'24)Mais LKS-(a)'!$M$13</f>
        <v>7.4</v>
      </c>
      <c r="E10" s="2937">
        <f>'25)Mais CCM-(a)'!$M$13</f>
        <v>8.1</v>
      </c>
      <c r="F10" s="2938">
        <f>'26)Mais feucht-(a)'!$M$13</f>
        <v>8.6</v>
      </c>
    </row>
    <row r="11" spans="1:6" s="895" customFormat="1" ht="15.75" x14ac:dyDescent="0.25">
      <c r="A11" s="2925"/>
      <c r="B11" s="2926" t="s">
        <v>375</v>
      </c>
      <c r="C11" s="2927">
        <f>'20)Silomais int-(a)'!$M$15</f>
        <v>8909.67</v>
      </c>
      <c r="D11" s="2927">
        <f>'24)Mais LKS-(a)'!$M$15</f>
        <v>7922.81</v>
      </c>
      <c r="E11" s="2927">
        <f>'25)Mais CCM-(a)'!$M$15</f>
        <v>7918.1549999999988</v>
      </c>
      <c r="F11" s="2928">
        <f>'26)Mais feucht-(a)'!$M$15</f>
        <v>7606.2699999999995</v>
      </c>
    </row>
    <row r="12" spans="1:6" s="895" customFormat="1" ht="15.75" x14ac:dyDescent="0.25">
      <c r="A12" s="2929" t="s">
        <v>771</v>
      </c>
      <c r="B12" s="2930" t="s">
        <v>266</v>
      </c>
      <c r="C12" s="2931">
        <f>'20)Silomais int(b)'!$N$27-'20)Silomais int(b)'!$N$29+'20)Silomais int(b)'!$N$30</f>
        <v>1471.7423676637566</v>
      </c>
      <c r="D12" s="2931">
        <f>'24)Mais LKS-(b)'!$N$27-'24)Mais LKS-(b)'!$N$29+'24)Mais LKS-(b)'!$N$30</f>
        <v>1231.392767387566</v>
      </c>
      <c r="E12" s="2931">
        <f>'25)Mais CCM-(b)'!$N$27-'25)Mais CCM-(b)'!$N$29+'25)Mais CCM-(b)'!$N$30</f>
        <v>1103.3276293315578</v>
      </c>
      <c r="F12" s="2932">
        <f>'26)M(ais feucht-b)'!$N$27-'26)M(ais feucht-b)'!$N$29+'26)M(ais feucht-b)'!$N$30</f>
        <v>1316.9467605045802</v>
      </c>
    </row>
    <row r="13" spans="1:6" s="895" customFormat="1" ht="15.75" x14ac:dyDescent="0.25">
      <c r="A13" s="2929" t="s">
        <v>376</v>
      </c>
      <c r="B13" s="2930" t="s">
        <v>266</v>
      </c>
      <c r="C13" s="2931">
        <f>'20)Silomais int(b)'!$N$31</f>
        <v>-1471.7423676637566</v>
      </c>
      <c r="D13" s="2931">
        <f>'24)Mais LKS-(b)'!$N$31</f>
        <v>-1231.392767387566</v>
      </c>
      <c r="E13" s="2931">
        <f>'25)Mais CCM-(b)'!$N$31</f>
        <v>-1103.3276293315578</v>
      </c>
      <c r="F13" s="2932">
        <f>'26)M(ais feucht-b)'!$N$31</f>
        <v>-1316.9467605045802</v>
      </c>
    </row>
    <row r="14" spans="1:6" s="895" customFormat="1" ht="15.75" x14ac:dyDescent="0.25">
      <c r="A14" s="2929" t="s">
        <v>380</v>
      </c>
      <c r="B14" s="2930" t="s">
        <v>266</v>
      </c>
      <c r="C14" s="2931">
        <f>'20)Silomais int(b)'!$N$43</f>
        <v>1370.024722333754</v>
      </c>
      <c r="D14" s="2931">
        <f>'24)Mais LKS-(b)'!$N$43</f>
        <v>1089.7135512802706</v>
      </c>
      <c r="E14" s="2931">
        <f>'25)Mais CCM-(b)'!$N$43</f>
        <v>933.27400516203693</v>
      </c>
      <c r="F14" s="2932">
        <f>'26)M(ais feucht-b)'!$N$43</f>
        <v>983.73551840990012</v>
      </c>
    </row>
    <row r="15" spans="1:6" s="895" customFormat="1" ht="15.75" x14ac:dyDescent="0.25">
      <c r="A15" s="2929" t="s">
        <v>377</v>
      </c>
      <c r="B15" s="2930" t="s">
        <v>266</v>
      </c>
      <c r="C15" s="2931">
        <f>'20)Silomais int(b)'!$N$46</f>
        <v>3111.7670899975105</v>
      </c>
      <c r="D15" s="2931">
        <f>'24)Mais LKS-(b)'!$N$46</f>
        <v>2591.1063186678366</v>
      </c>
      <c r="E15" s="2931">
        <f>'25)Mais CCM-(b)'!$N$46</f>
        <v>2306.6016344935947</v>
      </c>
      <c r="F15" s="2932">
        <f>'26)M(ais feucht-b)'!$N$46</f>
        <v>2570.6822789144803</v>
      </c>
    </row>
    <row r="16" spans="1:6" ht="15.75" thickBot="1" x14ac:dyDescent="0.25">
      <c r="A16" s="2933" t="s">
        <v>378</v>
      </c>
      <c r="B16" s="2934"/>
      <c r="C16" s="2935">
        <f>'20)Silomais int(b)'!$N$48</f>
        <v>270</v>
      </c>
      <c r="D16" s="2935">
        <f>'24)Mais LKS-(b)'!$N$48</f>
        <v>270</v>
      </c>
      <c r="E16" s="2935">
        <f>'25)Mais CCM-(b)'!$N$48</f>
        <v>270</v>
      </c>
      <c r="F16" s="2936">
        <f>'26)M(ais feucht-b)'!$N$48</f>
        <v>270</v>
      </c>
    </row>
    <row r="17" spans="1:6" s="895" customFormat="1" ht="15.75" x14ac:dyDescent="0.25">
      <c r="A17" s="2917" t="s">
        <v>379</v>
      </c>
      <c r="B17" s="2918" t="s">
        <v>266</v>
      </c>
      <c r="C17" s="2919">
        <f>'20)Silomais int(b)'!$N$51</f>
        <v>2841.7670899975105</v>
      </c>
      <c r="D17" s="2919">
        <f>'24)Mais LKS-(b)'!$N$51</f>
        <v>2321.1063186678366</v>
      </c>
      <c r="E17" s="2919">
        <f>'25)Mais CCM-(b)'!$N$51</f>
        <v>2036.6016344935947</v>
      </c>
      <c r="F17" s="2920">
        <f>'26)M(ais feucht-b)'!$N$51</f>
        <v>2300.6822789144803</v>
      </c>
    </row>
    <row r="18" spans="1:6" ht="15" x14ac:dyDescent="0.2">
      <c r="A18" s="2900"/>
      <c r="B18" s="2901" t="s">
        <v>191</v>
      </c>
      <c r="C18" s="2906">
        <f>'20)Silomais int(b)'!$N$52</f>
        <v>7.3678171895190827</v>
      </c>
      <c r="D18" s="2906">
        <f>'24)Mais LKS-(b)'!$N$52</f>
        <v>11.706882847621834</v>
      </c>
      <c r="E18" s="2906">
        <f>'25)Mais CCM-(b)'!$N$52</f>
        <v>13.541926882725553</v>
      </c>
      <c r="F18" s="2907">
        <f>'26)M(ais feucht-b)'!$N$52</f>
        <v>17.42842587905141</v>
      </c>
    </row>
    <row r="19" spans="1:6" ht="15" x14ac:dyDescent="0.2">
      <c r="A19" s="2900"/>
      <c r="B19" s="2901" t="s">
        <v>1017</v>
      </c>
      <c r="C19" s="2906">
        <f>'20)Silomais int(b)'!$N$53</f>
        <v>21.050906255768808</v>
      </c>
      <c r="D19" s="2906">
        <f>'24)Mais LKS-(b)'!$N$53</f>
        <v>21.679412680781176</v>
      </c>
      <c r="E19" s="2906">
        <f>'25)Mais CCM-(b)'!$N$53</f>
        <v>20.833733665731621</v>
      </c>
      <c r="F19" s="2907">
        <f>'26)M(ais feucht-b)'!$N$53</f>
        <v>26.012575938882701</v>
      </c>
    </row>
    <row r="20" spans="1:6" s="895" customFormat="1" ht="16.5" thickBot="1" x14ac:dyDescent="0.3">
      <c r="A20" s="2921"/>
      <c r="B20" s="2922" t="s">
        <v>271</v>
      </c>
      <c r="C20" s="2923">
        <f>'20)Silomais int(b)'!$N$55</f>
        <v>0.3189531250874062</v>
      </c>
      <c r="D20" s="2923">
        <f>'24)Mais LKS-(b)'!$N$55</f>
        <v>0.29296503622677261</v>
      </c>
      <c r="E20" s="2923">
        <f>'25)Mais CCM-(b)'!$N$55</f>
        <v>0.25720658846582251</v>
      </c>
      <c r="F20" s="2924">
        <f>'26)M(ais feucht-b)'!$N$55</f>
        <v>0.30247181324282207</v>
      </c>
    </row>
  </sheetData>
  <mergeCells count="2">
    <mergeCell ref="A1:F1"/>
    <mergeCell ref="A2:F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2" firstPageNumber="15" orientation="portrait" useFirstPageNumber="1" horizontalDpi="1200" verticalDpi="1200" r:id="rId1"/>
  <headerFooter alignWithMargins="0">
    <oddFooter>&amp;L&amp;12LEL Schwäbisch Gmünd (Abtlg. II)
LAZBW Aulendorf&amp;C&amp;12 15&amp;9
&amp;R&amp;12&amp;F
&amp;A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9"/>
  <dimension ref="A1"/>
  <sheetViews>
    <sheetView zoomScaleNormal="100" workbookViewId="0">
      <selection activeCell="H4" sqref="H4"/>
    </sheetView>
  </sheetViews>
  <sheetFormatPr baseColWidth="10" defaultRowHeight="12.75" x14ac:dyDescent="0.2"/>
  <cols>
    <col min="1" max="1" width="2.5703125" customWidth="1"/>
  </cols>
  <sheetData/>
  <sheetProtection sheet="1" objects="1" scenarios="1"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">
    <tabColor rgb="FF92D050"/>
    <pageSetUpPr fitToPage="1"/>
  </sheetPr>
  <dimension ref="A1:AS82"/>
  <sheetViews>
    <sheetView showGridLines="0" showZeros="0" zoomScaleNormal="100" workbookViewId="0">
      <pane ySplit="5" topLeftCell="A6" activePane="bottomLeft" state="frozen"/>
      <selection activeCell="G1" sqref="G1:I1"/>
      <selection pane="bottomLeft"/>
    </sheetView>
  </sheetViews>
  <sheetFormatPr baseColWidth="10" defaultColWidth="11.42578125" defaultRowHeight="12.75" x14ac:dyDescent="0.2"/>
  <cols>
    <col min="1" max="1" width="6" style="530" customWidth="1"/>
    <col min="2" max="2" width="8.85546875" style="530" customWidth="1"/>
    <col min="3" max="3" width="1" style="542" customWidth="1"/>
    <col min="4" max="4" width="10.140625" style="542" customWidth="1"/>
    <col min="5" max="5" width="9.5703125" style="542" customWidth="1"/>
    <col min="6" max="8" width="9.28515625" style="542" customWidth="1"/>
    <col min="9" max="9" width="10.140625" style="542" customWidth="1"/>
    <col min="10" max="10" width="8.42578125" style="951" customWidth="1"/>
    <col min="11" max="11" width="7" style="542" customWidth="1"/>
    <col min="12" max="12" width="7.5703125" style="542" customWidth="1"/>
    <col min="13" max="17" width="8.85546875" style="542" customWidth="1"/>
    <col min="18" max="18" width="8.42578125" style="542" customWidth="1"/>
    <col min="19" max="19" width="6" style="542" customWidth="1"/>
    <col min="20" max="24" width="9.42578125" style="530" customWidth="1"/>
    <col min="25" max="25" width="11.42578125" style="526"/>
    <col min="26" max="26" width="11.140625" style="530" customWidth="1"/>
    <col min="27" max="30" width="8.85546875" style="530" customWidth="1"/>
    <col min="31" max="33" width="11.42578125" style="526"/>
    <col min="34" max="34" width="3.5703125" style="530" customWidth="1"/>
    <col min="35" max="35" width="8.28515625" style="530" customWidth="1"/>
    <col min="36" max="39" width="8.85546875" style="530" customWidth="1"/>
    <col min="40" max="16384" width="11.42578125" style="530"/>
  </cols>
  <sheetData>
    <row r="1" spans="1:45" ht="42.75" customHeight="1" x14ac:dyDescent="0.2">
      <c r="A1" s="989"/>
      <c r="B1" s="4272"/>
      <c r="C1" s="4272"/>
      <c r="D1" s="4272"/>
      <c r="E1" s="607"/>
      <c r="F1" s="3762"/>
      <c r="G1" s="989"/>
      <c r="H1" s="3762"/>
      <c r="I1" s="989"/>
      <c r="J1" s="3762"/>
      <c r="K1" s="3763">
        <f>'1)Grünf. 3Nutz.(b)'!M55</f>
        <v>1397.125495950088</v>
      </c>
      <c r="L1" s="607"/>
      <c r="M1" s="3762"/>
      <c r="N1" s="989"/>
      <c r="O1" s="3762"/>
      <c r="P1" s="989"/>
      <c r="Q1" s="3762"/>
      <c r="R1" s="3445"/>
    </row>
    <row r="2" spans="1:45" s="523" customFormat="1" ht="20.25" customHeight="1" x14ac:dyDescent="0.2">
      <c r="A2" s="1032" t="s">
        <v>856</v>
      </c>
      <c r="B2" s="1033"/>
      <c r="C2" s="2478" t="s">
        <v>857</v>
      </c>
      <c r="D2" s="2479"/>
      <c r="E2" s="2479"/>
      <c r="F2" s="2479"/>
      <c r="G2" s="2480"/>
      <c r="H2" s="2481">
        <v>2021</v>
      </c>
      <c r="I2" s="2482" t="s">
        <v>858</v>
      </c>
      <c r="J2" s="2480"/>
      <c r="K2" s="4273" t="s">
        <v>1610</v>
      </c>
      <c r="L2" s="4273"/>
      <c r="M2" s="4273"/>
      <c r="N2" s="4273"/>
      <c r="O2" s="4273"/>
      <c r="P2" s="4273"/>
      <c r="Q2" s="4274"/>
      <c r="R2" s="538"/>
      <c r="S2" s="526"/>
      <c r="T2" s="526"/>
      <c r="Y2" s="526"/>
      <c r="AE2" s="526"/>
      <c r="AF2" s="526"/>
      <c r="AG2" s="526"/>
    </row>
    <row r="3" spans="1:45" s="523" customFormat="1" ht="25.5" customHeight="1" x14ac:dyDescent="0.2">
      <c r="A3" s="1034" t="s">
        <v>175</v>
      </c>
      <c r="B3" s="1035"/>
      <c r="C3" s="2483"/>
      <c r="D3" s="2426" t="s">
        <v>846</v>
      </c>
      <c r="E3" s="2417"/>
      <c r="F3" s="2417"/>
      <c r="G3" s="1026"/>
      <c r="H3" s="4275" t="s">
        <v>1881</v>
      </c>
      <c r="I3" s="4276"/>
      <c r="J3" s="4276"/>
      <c r="K3" s="4276"/>
      <c r="L3" s="4276"/>
      <c r="M3" s="4276"/>
      <c r="N3" s="4276"/>
      <c r="O3" s="4276"/>
      <c r="P3" s="4276"/>
      <c r="Q3" s="4277"/>
      <c r="R3" s="538"/>
      <c r="S3" s="530" t="s">
        <v>176</v>
      </c>
      <c r="T3" s="526"/>
      <c r="U3" s="526"/>
      <c r="V3" s="604" t="s">
        <v>1067</v>
      </c>
      <c r="W3" s="567"/>
      <c r="X3" s="567"/>
      <c r="Y3" s="567"/>
      <c r="Z3" s="1036"/>
      <c r="AA3" s="524"/>
      <c r="AB3" s="524"/>
      <c r="AC3" s="524"/>
      <c r="AD3" s="524"/>
      <c r="AE3" s="526"/>
      <c r="AF3" s="526"/>
      <c r="AG3" s="526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</row>
    <row r="4" spans="1:45" s="525" customFormat="1" ht="18.75" customHeight="1" x14ac:dyDescent="0.2">
      <c r="A4" s="1034" t="s">
        <v>177</v>
      </c>
      <c r="B4" s="1037"/>
      <c r="C4" s="1038"/>
      <c r="D4" s="958" t="s">
        <v>178</v>
      </c>
      <c r="E4" s="958"/>
      <c r="F4" s="958"/>
      <c r="G4" s="958"/>
      <c r="H4" s="958"/>
      <c r="I4" s="958"/>
      <c r="J4" s="1039"/>
      <c r="K4" s="1601" t="s">
        <v>25</v>
      </c>
      <c r="L4" s="1602"/>
      <c r="M4" s="1040" t="s">
        <v>179</v>
      </c>
      <c r="N4" s="1041" t="s">
        <v>180</v>
      </c>
      <c r="O4" s="1041" t="s">
        <v>181</v>
      </c>
      <c r="P4" s="1041" t="s">
        <v>183</v>
      </c>
      <c r="Q4" s="1042" t="s">
        <v>184</v>
      </c>
      <c r="R4" s="539"/>
      <c r="S4" s="598">
        <v>1</v>
      </c>
      <c r="T4" s="1334" t="s">
        <v>462</v>
      </c>
      <c r="U4" s="526"/>
      <c r="V4" s="605" t="s">
        <v>179</v>
      </c>
      <c r="W4" s="569" t="s">
        <v>180</v>
      </c>
      <c r="X4" s="569" t="s">
        <v>181</v>
      </c>
      <c r="Y4" s="569" t="s">
        <v>183</v>
      </c>
      <c r="Z4" s="1045" t="s">
        <v>184</v>
      </c>
      <c r="AE4" s="526"/>
      <c r="AF4" s="526"/>
      <c r="AG4" s="526"/>
    </row>
    <row r="5" spans="1:45" s="525" customFormat="1" ht="18.75" customHeight="1" x14ac:dyDescent="0.2">
      <c r="A5" s="1046" t="s">
        <v>185</v>
      </c>
      <c r="B5" s="1047"/>
      <c r="C5" s="1048"/>
      <c r="D5" s="1049" t="s">
        <v>225</v>
      </c>
      <c r="E5" s="1049"/>
      <c r="F5" s="1049"/>
      <c r="G5" s="1049"/>
      <c r="H5" s="1049"/>
      <c r="I5" s="1049"/>
      <c r="J5" s="1050"/>
      <c r="K5" s="1603"/>
      <c r="L5" s="1604"/>
      <c r="M5" s="1051" t="str">
        <f>VLOOKUP(V5,$S$4:$T$9,2)</f>
        <v>Grün</v>
      </c>
      <c r="N5" s="1052" t="str">
        <f>VLOOKUP(W5,$S$4:$T$9,2)</f>
        <v>Grün</v>
      </c>
      <c r="O5" s="1052" t="str">
        <f>VLOOKUP($X$5,$S$4:$T$9,2)</f>
        <v>Grün</v>
      </c>
      <c r="P5" s="1052" t="str">
        <f>VLOOKUP($Y$5,$S$4:$T$9,2)</f>
        <v>Grün</v>
      </c>
      <c r="Q5" s="1053" t="str">
        <f>VLOOKUP($Z$5,$S$4:$T$9,2)</f>
        <v>Grün</v>
      </c>
      <c r="R5" s="565"/>
      <c r="S5" s="599">
        <v>2</v>
      </c>
      <c r="T5" s="602" t="s">
        <v>1120</v>
      </c>
      <c r="U5" s="526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E5" s="526"/>
      <c r="AF5" s="526"/>
      <c r="AG5" s="526"/>
    </row>
    <row r="6" spans="1:45" s="525" customFormat="1" ht="18.75" customHeight="1" x14ac:dyDescent="0.2">
      <c r="A6" s="1173"/>
      <c r="B6" s="1056"/>
      <c r="C6" s="1057"/>
      <c r="D6" s="1059" t="s">
        <v>198</v>
      </c>
      <c r="E6" s="1059"/>
      <c r="F6" s="1059"/>
      <c r="G6" s="1059"/>
      <c r="H6" s="1059"/>
      <c r="I6" s="1060" t="s">
        <v>139</v>
      </c>
      <c r="J6" s="540"/>
      <c r="K6" s="3702">
        <v>75</v>
      </c>
      <c r="L6" s="3701"/>
      <c r="M6" s="1061">
        <f>$K$6*M7/100</f>
        <v>33.75</v>
      </c>
      <c r="N6" s="1062">
        <f>$K$6*N7/100</f>
        <v>26.25</v>
      </c>
      <c r="O6" s="1062">
        <f>$K$6*O7/100</f>
        <v>15</v>
      </c>
      <c r="P6" s="1062">
        <f>$K$6*P7/100</f>
        <v>0</v>
      </c>
      <c r="Q6" s="1063">
        <f>$K$6*Q7/100</f>
        <v>0</v>
      </c>
      <c r="R6" s="539"/>
      <c r="S6" s="599">
        <v>3</v>
      </c>
      <c r="T6" s="602" t="s">
        <v>432</v>
      </c>
      <c r="U6" s="526"/>
      <c r="V6" s="526"/>
      <c r="W6" s="526"/>
      <c r="Y6" s="526"/>
      <c r="AE6" s="526"/>
      <c r="AF6" s="526"/>
      <c r="AG6" s="526"/>
    </row>
    <row r="7" spans="1:45" s="525" customFormat="1" ht="18.75" customHeight="1" x14ac:dyDescent="0.2">
      <c r="A7" s="1174"/>
      <c r="B7" s="1064"/>
      <c r="C7" s="1048"/>
      <c r="D7" s="1026"/>
      <c r="E7" s="1049"/>
      <c r="F7" s="1049"/>
      <c r="G7" s="1049"/>
      <c r="H7" s="1049"/>
      <c r="I7" s="1065" t="str">
        <f>IF(R7&lt;&gt;100,"Summe nicht 100%","")</f>
        <v/>
      </c>
      <c r="J7" s="1050"/>
      <c r="K7" s="1606"/>
      <c r="L7" s="1607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26"/>
      <c r="V7" s="526"/>
      <c r="W7" s="526"/>
      <c r="Y7" s="526"/>
      <c r="AE7" s="526"/>
      <c r="AF7" s="526"/>
      <c r="AG7" s="526"/>
    </row>
    <row r="8" spans="1:45" s="526" customFormat="1" ht="15" x14ac:dyDescent="0.2">
      <c r="A8" s="554"/>
      <c r="B8" s="1056"/>
      <c r="C8" s="1028"/>
      <c r="D8" s="79" t="s">
        <v>228</v>
      </c>
      <c r="F8" s="530" t="s">
        <v>229</v>
      </c>
      <c r="J8" s="606" t="s">
        <v>1047</v>
      </c>
      <c r="K8" s="1608">
        <f>(M$6*M8+N$6*N8+O$6*O8+P$6*P8+Q$6*Q8)/K$6</f>
        <v>5</v>
      </c>
      <c r="L8" s="1609"/>
      <c r="M8" s="3700">
        <v>5</v>
      </c>
      <c r="N8" s="412">
        <v>5</v>
      </c>
      <c r="O8" s="412">
        <v>5</v>
      </c>
      <c r="P8" s="412"/>
      <c r="Q8" s="477">
        <v>0</v>
      </c>
      <c r="S8" s="599">
        <v>5</v>
      </c>
      <c r="T8" s="602" t="s">
        <v>67</v>
      </c>
    </row>
    <row r="9" spans="1:45" s="540" customFormat="1" ht="14.25" customHeight="1" x14ac:dyDescent="0.2">
      <c r="A9" s="1027"/>
      <c r="B9" s="1056"/>
      <c r="C9" s="1066"/>
      <c r="D9" s="1067"/>
      <c r="E9" s="1068"/>
      <c r="F9" s="1069" t="s">
        <v>1018</v>
      </c>
      <c r="G9" s="1068"/>
      <c r="H9" s="1068"/>
      <c r="I9" s="1068"/>
      <c r="J9" s="1101"/>
      <c r="K9" s="1610">
        <f>(M$6*M9+N$6*N9+O$6*O9+P$6*P9+Q$6*Q9)/K$6</f>
        <v>0</v>
      </c>
      <c r="L9" s="161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S9" s="571">
        <v>6</v>
      </c>
      <c r="T9" s="603"/>
      <c r="Y9" s="526"/>
      <c r="AE9" s="526"/>
      <c r="AF9" s="526"/>
      <c r="AG9" s="526"/>
    </row>
    <row r="10" spans="1:45" s="526" customFormat="1" ht="14.25" customHeight="1" x14ac:dyDescent="0.2">
      <c r="A10" s="554"/>
      <c r="B10" s="1056"/>
      <c r="C10" s="1028"/>
      <c r="D10" s="79" t="s">
        <v>230</v>
      </c>
      <c r="F10" s="530" t="s">
        <v>231</v>
      </c>
      <c r="J10" s="606" t="s">
        <v>232</v>
      </c>
      <c r="K10" s="1608">
        <f>(M$14*M10+N$14*N10+O$14*O10+P$14*P10+Q$14*Q10)/K$14</f>
        <v>18</v>
      </c>
      <c r="L10" s="1609"/>
      <c r="M10" s="443">
        <v>18</v>
      </c>
      <c r="N10" s="444">
        <v>18</v>
      </c>
      <c r="O10" s="444">
        <v>18</v>
      </c>
      <c r="P10" s="444">
        <v>0</v>
      </c>
      <c r="Q10" s="445">
        <v>0</v>
      </c>
    </row>
    <row r="11" spans="1:45" s="526" customFormat="1" ht="14.25" customHeight="1" x14ac:dyDescent="0.2">
      <c r="A11" s="554"/>
      <c r="B11" s="1056"/>
      <c r="C11" s="1066"/>
      <c r="D11" s="1067"/>
      <c r="E11" s="1068"/>
      <c r="F11" s="1069" t="s">
        <v>233</v>
      </c>
      <c r="G11" s="1068"/>
      <c r="H11" s="1068"/>
      <c r="I11" s="1068"/>
      <c r="J11" s="2384"/>
      <c r="K11" s="1612">
        <f>(M$14*M11+N$14*N11+O$14*O11+P$14*P11+Q$14*Q11)/K$14</f>
        <v>18</v>
      </c>
      <c r="L11" s="1613"/>
      <c r="M11" s="488">
        <v>18</v>
      </c>
      <c r="N11" s="489">
        <v>18</v>
      </c>
      <c r="O11" s="489">
        <v>18</v>
      </c>
      <c r="P11" s="489">
        <v>0</v>
      </c>
      <c r="Q11" s="490">
        <v>0</v>
      </c>
      <c r="S11" s="608"/>
      <c r="U11" s="606"/>
    </row>
    <row r="12" spans="1:45" s="526" customFormat="1" ht="14.25" customHeight="1" x14ac:dyDescent="0.2">
      <c r="A12" s="554"/>
      <c r="B12" s="1056"/>
      <c r="C12" s="1028"/>
      <c r="D12" s="79" t="s">
        <v>234</v>
      </c>
      <c r="F12" s="530" t="s">
        <v>1016</v>
      </c>
      <c r="J12" s="1085" t="s">
        <v>235</v>
      </c>
      <c r="K12" s="1614">
        <f>IF(M15=0,0,(M$15*M12+N$15*N12+O$15*O12+P$15*P12+Q$15*Q12)/K$15)</f>
        <v>3.1999999999999997</v>
      </c>
      <c r="L12" s="1609"/>
      <c r="M12" s="644">
        <v>3.2</v>
      </c>
      <c r="N12" s="645">
        <v>3.2</v>
      </c>
      <c r="O12" s="645">
        <v>3.2</v>
      </c>
      <c r="P12" s="645">
        <v>0</v>
      </c>
      <c r="Q12" s="646">
        <v>0</v>
      </c>
      <c r="U12" s="606"/>
    </row>
    <row r="13" spans="1:45" s="526" customFormat="1" ht="14.25" customHeight="1" x14ac:dyDescent="0.2">
      <c r="A13" s="1174"/>
      <c r="B13" s="1072"/>
      <c r="C13" s="1030"/>
      <c r="D13" s="82"/>
      <c r="E13" s="1026"/>
      <c r="F13" s="989" t="s">
        <v>1016</v>
      </c>
      <c r="G13" s="1026"/>
      <c r="H13" s="1026"/>
      <c r="I13" s="1026"/>
      <c r="J13" s="2385" t="s">
        <v>236</v>
      </c>
      <c r="K13" s="1615">
        <f>IF(M15=0,0,(M$15*M13+N$15*N13+O$15*O13+P$15*P13+Q$15*Q13)/K$15)</f>
        <v>0.57600000000000007</v>
      </c>
      <c r="L13" s="1616"/>
      <c r="M13" s="641">
        <f>M12*M11/100</f>
        <v>0.57600000000000007</v>
      </c>
      <c r="N13" s="642">
        <f>N12*N11/100</f>
        <v>0.57600000000000007</v>
      </c>
      <c r="O13" s="642">
        <f>O12*O11/100</f>
        <v>0.57600000000000007</v>
      </c>
      <c r="P13" s="642">
        <f>P12*P11/100</f>
        <v>0</v>
      </c>
      <c r="Q13" s="643">
        <f>Q12*Q11/100</f>
        <v>0</v>
      </c>
      <c r="AC13" s="526" t="s">
        <v>434</v>
      </c>
    </row>
    <row r="14" spans="1:45" s="526" customFormat="1" ht="15.75" x14ac:dyDescent="0.2">
      <c r="C14" s="1028"/>
      <c r="D14" s="1059" t="s">
        <v>237</v>
      </c>
      <c r="F14" s="530"/>
      <c r="J14" s="606" t="s">
        <v>139</v>
      </c>
      <c r="K14" s="1617">
        <f>SUM(M14:Q14)</f>
        <v>71.25</v>
      </c>
      <c r="L14" s="1618"/>
      <c r="M14" s="1073">
        <f>M6*(100-M8)/100</f>
        <v>32.0625</v>
      </c>
      <c r="N14" s="1074">
        <f>N6*(100-N8)/100</f>
        <v>24.9375</v>
      </c>
      <c r="O14" s="1074">
        <f>O6*(100-O8)/100</f>
        <v>14.25</v>
      </c>
      <c r="P14" s="1074">
        <f>P6*(100-P8)/100</f>
        <v>0</v>
      </c>
      <c r="Q14" s="1075">
        <f>Q6*(100-Q8)/100</f>
        <v>0</v>
      </c>
      <c r="AA14" s="2731" t="s">
        <v>435</v>
      </c>
      <c r="AC14" s="3041">
        <v>0.3</v>
      </c>
    </row>
    <row r="15" spans="1:45" s="526" customFormat="1" ht="15.75" customHeight="1" x14ac:dyDescent="0.2">
      <c r="C15" s="1028"/>
      <c r="D15" s="540"/>
      <c r="E15" s="540"/>
      <c r="F15" s="542"/>
      <c r="G15" s="540"/>
      <c r="H15" s="540"/>
      <c r="I15" s="540"/>
      <c r="J15" s="2386" t="s">
        <v>830</v>
      </c>
      <c r="K15" s="1617">
        <f>SUM(M15:Q15)</f>
        <v>395.83333333333337</v>
      </c>
      <c r="L15" s="1618"/>
      <c r="M15" s="1073">
        <f>IF(M10=0,0,M14/M10*100)</f>
        <v>178.125</v>
      </c>
      <c r="N15" s="1074">
        <f>IF(N10=0,0,N14/N10*100)</f>
        <v>138.54166666666669</v>
      </c>
      <c r="O15" s="1074">
        <f>IF(O10=0,0,O14/O10*100)</f>
        <v>79.166666666666657</v>
      </c>
      <c r="P15" s="1074">
        <f>IF(P10=0,0,P14/P10*100)</f>
        <v>0</v>
      </c>
      <c r="Q15" s="1075">
        <f>IF(Q10=0,0,Q14/Q10*100)</f>
        <v>0</v>
      </c>
      <c r="AA15" s="2731" t="s">
        <v>563</v>
      </c>
      <c r="AC15" s="3041">
        <v>0</v>
      </c>
    </row>
    <row r="16" spans="1:45" s="608" customFormat="1" ht="15.75" customHeight="1" x14ac:dyDescent="0.2">
      <c r="A16" s="1076"/>
      <c r="B16" s="1076"/>
      <c r="C16" s="1077"/>
      <c r="D16" s="989" t="s">
        <v>275</v>
      </c>
      <c r="E16" s="1076"/>
      <c r="F16" s="1026"/>
      <c r="G16" s="1076"/>
      <c r="H16" s="1076"/>
      <c r="I16" s="1076"/>
      <c r="J16" s="1105" t="s">
        <v>832</v>
      </c>
      <c r="K16" s="4278">
        <f>SUM(M16:Q16)</f>
        <v>0</v>
      </c>
      <c r="L16" s="4279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Y16" s="526"/>
      <c r="AA16" s="2731" t="s">
        <v>564</v>
      </c>
      <c r="AC16" s="3042">
        <v>0</v>
      </c>
      <c r="AE16" s="526"/>
      <c r="AF16" s="526"/>
      <c r="AG16" s="526"/>
    </row>
    <row r="17" spans="1:34" s="525" customFormat="1" ht="15" customHeight="1" x14ac:dyDescent="0.2">
      <c r="A17" s="1034"/>
      <c r="B17" s="1037"/>
      <c r="C17" s="1057"/>
      <c r="D17" s="1059" t="s">
        <v>238</v>
      </c>
      <c r="E17" s="1059"/>
      <c r="F17" s="1059"/>
      <c r="G17" s="1059"/>
      <c r="H17" s="1060"/>
      <c r="I17" s="1060"/>
      <c r="J17" s="1085" t="s">
        <v>139</v>
      </c>
      <c r="K17" s="1619">
        <f>SUM(M17:Q17)</f>
        <v>71.25</v>
      </c>
      <c r="L17" s="1620"/>
      <c r="M17" s="1073">
        <f>M14*(100-M9)/100</f>
        <v>32.0625</v>
      </c>
      <c r="N17" s="1078">
        <f>N14*(100-N9)/100</f>
        <v>24.9375</v>
      </c>
      <c r="O17" s="1078">
        <f>O14*(100-O9)/100</f>
        <v>14.25</v>
      </c>
      <c r="P17" s="1078">
        <f>P14*(100-P9)/100</f>
        <v>0</v>
      </c>
      <c r="Q17" s="1079">
        <f>Q14*(100-Q9)/100</f>
        <v>0</v>
      </c>
      <c r="R17" s="539"/>
      <c r="S17" s="539"/>
      <c r="Y17" s="526"/>
      <c r="AA17" s="3045" t="s">
        <v>361</v>
      </c>
      <c r="AC17" s="3044">
        <v>0</v>
      </c>
      <c r="AE17" s="526"/>
      <c r="AF17" s="526"/>
      <c r="AG17" s="526"/>
    </row>
    <row r="18" spans="1:34" s="525" customFormat="1" ht="15" customHeight="1" x14ac:dyDescent="0.2">
      <c r="A18" s="1055"/>
      <c r="B18" s="1037"/>
      <c r="C18" s="1057"/>
      <c r="D18" s="1059"/>
      <c r="E18" s="1059"/>
      <c r="F18" s="1059"/>
      <c r="G18" s="1059"/>
      <c r="H18" s="1060"/>
      <c r="I18" s="1060"/>
      <c r="J18" s="1085" t="s">
        <v>830</v>
      </c>
      <c r="K18" s="1619">
        <f>SUM(M18:Q18)</f>
        <v>395.83333333333337</v>
      </c>
      <c r="L18" s="1620"/>
      <c r="M18" s="1073">
        <f>IF(M11=0,0,M17/M11*100)</f>
        <v>178.125</v>
      </c>
      <c r="N18" s="1078">
        <f>IF(N11=0,0,N17/N11*100)</f>
        <v>138.54166666666669</v>
      </c>
      <c r="O18" s="1078">
        <f>IF(O11=0,0,O17/O11*100)</f>
        <v>79.166666666666657</v>
      </c>
      <c r="P18" s="1078">
        <f>IF(P11=0,0,P17/P11*100)</f>
        <v>0</v>
      </c>
      <c r="Q18" s="1079">
        <f>IF(Q11=0,0,Q17/Q11*100)</f>
        <v>0</v>
      </c>
      <c r="R18" s="539"/>
      <c r="S18" s="539"/>
      <c r="Y18" s="526"/>
      <c r="AE18" s="526"/>
      <c r="AF18" s="526"/>
      <c r="AG18" s="526"/>
    </row>
    <row r="19" spans="1:34" s="525" customFormat="1" ht="15" customHeight="1" x14ac:dyDescent="0.2">
      <c r="A19" s="1055"/>
      <c r="B19" s="1037"/>
      <c r="C19" s="1080"/>
      <c r="D19" s="1081"/>
      <c r="E19" s="1081"/>
      <c r="F19" s="1081"/>
      <c r="G19" s="1081"/>
      <c r="H19" s="1070"/>
      <c r="I19" s="1070"/>
      <c r="J19" s="2387"/>
      <c r="K19" s="1621"/>
      <c r="L19" s="1622"/>
      <c r="M19" s="504"/>
      <c r="N19" s="1082"/>
      <c r="O19" s="1082"/>
      <c r="P19" s="1082"/>
      <c r="Q19" s="1083"/>
      <c r="R19" s="539"/>
      <c r="S19" s="539"/>
      <c r="Y19" s="526"/>
      <c r="AE19" s="526"/>
      <c r="AF19" s="526"/>
      <c r="AG19" s="526"/>
    </row>
    <row r="20" spans="1:34" s="526" customFormat="1" ht="15" customHeight="1" x14ac:dyDescent="0.2">
      <c r="C20" s="1028"/>
      <c r="D20" s="1059" t="s">
        <v>239</v>
      </c>
      <c r="E20" s="540"/>
      <c r="F20" s="540"/>
      <c r="G20" s="540"/>
      <c r="H20" s="1060"/>
      <c r="J20" s="1085" t="s">
        <v>240</v>
      </c>
      <c r="K20" s="1614">
        <f>(M$17*M20+N$17*N20+O$17*O20+P$17*P20+Q$17*Q20)/K$17</f>
        <v>6.05</v>
      </c>
      <c r="L20" s="1623"/>
      <c r="M20" s="312">
        <v>6.2</v>
      </c>
      <c r="N20" s="313">
        <v>6</v>
      </c>
      <c r="O20" s="313">
        <v>5.8</v>
      </c>
      <c r="P20" s="313"/>
      <c r="Q20" s="314"/>
    </row>
    <row r="21" spans="1:34" s="525" customFormat="1" ht="15" customHeight="1" x14ac:dyDescent="0.2">
      <c r="A21" s="1034"/>
      <c r="B21" s="1084"/>
      <c r="C21" s="1057"/>
      <c r="D21" s="79"/>
      <c r="E21" s="526"/>
      <c r="F21" s="1085" t="s">
        <v>241</v>
      </c>
      <c r="G21" s="514">
        <v>0.6</v>
      </c>
      <c r="H21" s="1060"/>
      <c r="J21" s="1085" t="s">
        <v>242</v>
      </c>
      <c r="K21" s="1614">
        <f>(M$17*M21+N$17*N21+O$17*O21+P$17*P21+Q$17*Q21)/K$17</f>
        <v>10.083333333333334</v>
      </c>
      <c r="L21" s="1623"/>
      <c r="M21" s="515">
        <f>IF($G21=0,0,M20/$G21)</f>
        <v>10.333333333333334</v>
      </c>
      <c r="N21" s="516">
        <f>IF($G21=0,0,N20/$G21)</f>
        <v>10</v>
      </c>
      <c r="O21" s="516">
        <f>IF($G21=0,0,O20/$G21)</f>
        <v>9.6666666666666661</v>
      </c>
      <c r="P21" s="516">
        <f>IF($G21=0,0,P20/$G21)</f>
        <v>0</v>
      </c>
      <c r="Q21" s="517">
        <f>IF($G21=0,0,Q20/$G21)</f>
        <v>0</v>
      </c>
      <c r="R21" s="539"/>
      <c r="S21" s="539"/>
      <c r="Y21" s="526"/>
      <c r="AE21" s="526"/>
      <c r="AF21" s="526"/>
      <c r="AG21" s="526"/>
    </row>
    <row r="22" spans="1:34" s="525" customFormat="1" ht="18.75" customHeight="1" x14ac:dyDescent="0.2">
      <c r="A22" s="1034"/>
      <c r="B22" s="1084"/>
      <c r="C22" s="1057"/>
      <c r="D22" s="1086"/>
      <c r="E22" s="1059"/>
      <c r="F22" s="1059"/>
      <c r="G22" s="1059"/>
      <c r="H22" s="1060"/>
      <c r="J22" s="1085" t="s">
        <v>243</v>
      </c>
      <c r="K22" s="1624">
        <f>SUM(M22:Q22)</f>
        <v>4310.625</v>
      </c>
      <c r="L22" s="1625"/>
      <c r="M22" s="446">
        <f t="shared" ref="M22:Q23" si="0">M$17*M20*10</f>
        <v>1987.875</v>
      </c>
      <c r="N22" s="448">
        <f t="shared" si="0"/>
        <v>1496.25</v>
      </c>
      <c r="O22" s="448">
        <f t="shared" si="0"/>
        <v>826.49999999999989</v>
      </c>
      <c r="P22" s="448">
        <f t="shared" si="0"/>
        <v>0</v>
      </c>
      <c r="Q22" s="450">
        <f t="shared" si="0"/>
        <v>0</v>
      </c>
      <c r="R22" s="539"/>
      <c r="S22" s="539"/>
      <c r="Y22" s="526"/>
      <c r="AE22" s="526"/>
      <c r="AF22" s="526"/>
      <c r="AG22" s="526"/>
    </row>
    <row r="23" spans="1:34" s="525" customFormat="1" ht="15" customHeight="1" x14ac:dyDescent="0.2">
      <c r="A23" s="1046"/>
      <c r="B23" s="1087"/>
      <c r="C23" s="1048"/>
      <c r="D23" s="1088"/>
      <c r="E23" s="1089"/>
      <c r="F23" s="1089"/>
      <c r="G23" s="1026"/>
      <c r="H23" s="363"/>
      <c r="I23" s="2389"/>
      <c r="J23" s="1547" t="s">
        <v>244</v>
      </c>
      <c r="K23" s="1626">
        <f>SUM(M23:Q23)</f>
        <v>7184.375</v>
      </c>
      <c r="L23" s="1627"/>
      <c r="M23" s="447">
        <f t="shared" si="0"/>
        <v>3313.125</v>
      </c>
      <c r="N23" s="449">
        <f t="shared" si="0"/>
        <v>2493.75</v>
      </c>
      <c r="O23" s="449">
        <f t="shared" si="0"/>
        <v>1377.5</v>
      </c>
      <c r="P23" s="449">
        <f t="shared" si="0"/>
        <v>0</v>
      </c>
      <c r="Q23" s="451">
        <f t="shared" si="0"/>
        <v>0</v>
      </c>
      <c r="R23" s="539"/>
      <c r="S23" s="539"/>
      <c r="Y23" s="526"/>
      <c r="AE23" s="526"/>
      <c r="AF23" s="526"/>
      <c r="AG23" s="526"/>
    </row>
    <row r="24" spans="1:34" s="525" customFormat="1" ht="15" customHeight="1" x14ac:dyDescent="0.2">
      <c r="A24" s="3118"/>
      <c r="B24" s="3035"/>
      <c r="C24" s="3036"/>
      <c r="D24" s="3037"/>
      <c r="E24" s="3038"/>
      <c r="F24" s="3038"/>
      <c r="G24" s="3039"/>
      <c r="H24" s="2997"/>
      <c r="I24" s="3040"/>
      <c r="J24" s="3053" t="str">
        <f>"anrechenbarer Nährstoffwert bei Gülledüngung zu "&amp;K24*100&amp;"%"</f>
        <v>anrechenbarer Nährstoffwert bei Gülledüngung zu 0%</v>
      </c>
      <c r="K24" s="3703">
        <v>0</v>
      </c>
      <c r="L24" s="3049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Y24" s="526"/>
      <c r="AE24" s="526"/>
      <c r="AF24" s="526"/>
      <c r="AG24" s="526"/>
    </row>
    <row r="25" spans="1:34" s="527" customFormat="1" ht="16.5" customHeight="1" x14ac:dyDescent="0.2">
      <c r="A25" s="1090"/>
      <c r="B25" s="1091" t="s">
        <v>245</v>
      </c>
      <c r="C25" s="1092"/>
      <c r="D25" s="1093" t="s">
        <v>1100</v>
      </c>
      <c r="E25" s="1058"/>
      <c r="F25" s="1058"/>
      <c r="G25" s="1058"/>
      <c r="H25" s="1058"/>
      <c r="I25" s="1058"/>
      <c r="J25" s="2391" t="s">
        <v>266</v>
      </c>
      <c r="K25" s="1628"/>
      <c r="L25" s="1664">
        <f>SUM(L26:L29)</f>
        <v>0</v>
      </c>
      <c r="M25" s="1094">
        <f>$L25*$M$7/100</f>
        <v>0</v>
      </c>
      <c r="N25" s="1078">
        <f>$L25*$N$7/100</f>
        <v>0</v>
      </c>
      <c r="O25" s="1078">
        <f>$L25*$O$7/100</f>
        <v>0</v>
      </c>
      <c r="P25" s="1078">
        <f>$L25*P7/100</f>
        <v>0</v>
      </c>
      <c r="Q25" s="1079">
        <f>$L25*Q7/100</f>
        <v>0</v>
      </c>
      <c r="R25" s="542"/>
      <c r="S25" s="542"/>
      <c r="Y25" s="526"/>
      <c r="AE25" s="526"/>
      <c r="AF25" s="526"/>
      <c r="AG25" s="526"/>
      <c r="AH25" s="526"/>
    </row>
    <row r="26" spans="1:34" s="528" customFormat="1" ht="15" customHeight="1" x14ac:dyDescent="0.2">
      <c r="A26" s="1095" t="s">
        <v>552</v>
      </c>
      <c r="B26" s="183"/>
      <c r="C26" s="78"/>
      <c r="D26" s="80">
        <f>IF(B26=0,0,VLOOKUP(B26,Ausglleist!$C$8:$O$44,2))</f>
        <v>0</v>
      </c>
      <c r="E26" s="79"/>
      <c r="F26" s="79"/>
      <c r="G26" s="79"/>
      <c r="H26" s="526"/>
      <c r="I26" s="526"/>
      <c r="J26" s="526"/>
      <c r="K26" s="1630"/>
      <c r="L26" s="1631">
        <f>IF(B26=0,0,VLOOKUP(B26,Ausglleist!$C$8:$O$44,13))</f>
        <v>0</v>
      </c>
      <c r="M26" s="1094">
        <f t="shared" ref="M26:M29" si="1">$L26*$M$7/100</f>
        <v>0</v>
      </c>
      <c r="N26" s="1078">
        <f t="shared" ref="N26:N29" si="2">$L26*$N$7/100</f>
        <v>0</v>
      </c>
      <c r="O26" s="1078">
        <f t="shared" ref="O26:O29" si="3">$L26*$O$7/100</f>
        <v>0</v>
      </c>
      <c r="P26" s="247"/>
      <c r="Q26" s="258"/>
      <c r="R26" s="542"/>
      <c r="S26" s="542"/>
      <c r="Y26" s="526"/>
      <c r="AE26" s="526"/>
      <c r="AF26" s="526"/>
      <c r="AG26" s="526"/>
    </row>
    <row r="27" spans="1:34" s="528" customFormat="1" ht="15" customHeight="1" x14ac:dyDescent="0.2">
      <c r="A27" s="1095" t="s">
        <v>552</v>
      </c>
      <c r="B27" s="183"/>
      <c r="C27" s="78"/>
      <c r="D27" s="922">
        <f>IF(B27=0,0,VLOOKUP(B27,Ausglleist!$C$8:$O$44,2))</f>
        <v>0</v>
      </c>
      <c r="E27" s="79"/>
      <c r="F27" s="79"/>
      <c r="G27" s="79"/>
      <c r="H27" s="526"/>
      <c r="I27" s="526"/>
      <c r="J27" s="526"/>
      <c r="K27" s="1630"/>
      <c r="L27" s="1631">
        <f>IF(B27=0,0,VLOOKUP(B27,Ausglleist!$C$8:$O$44,13))</f>
        <v>0</v>
      </c>
      <c r="M27" s="1094">
        <f t="shared" si="1"/>
        <v>0</v>
      </c>
      <c r="N27" s="1078">
        <f t="shared" si="2"/>
        <v>0</v>
      </c>
      <c r="O27" s="1078">
        <f t="shared" si="3"/>
        <v>0</v>
      </c>
      <c r="P27" s="247"/>
      <c r="Q27" s="258"/>
      <c r="R27" s="542"/>
      <c r="S27" s="542"/>
      <c r="Y27" s="526"/>
      <c r="AE27" s="526"/>
      <c r="AF27" s="526"/>
      <c r="AG27" s="526"/>
    </row>
    <row r="28" spans="1:34" s="528" customFormat="1" ht="15" customHeight="1" x14ac:dyDescent="0.2">
      <c r="A28" s="1095" t="s">
        <v>552</v>
      </c>
      <c r="B28" s="183"/>
      <c r="C28" s="78"/>
      <c r="D28" s="80">
        <f>IF(B28=0,0,VLOOKUP(B28,Ausglleist!$C$8:$O$44,2))</f>
        <v>0</v>
      </c>
      <c r="E28" s="79"/>
      <c r="F28" s="79"/>
      <c r="G28" s="79"/>
      <c r="H28" s="526"/>
      <c r="I28" s="526"/>
      <c r="J28" s="526"/>
      <c r="K28" s="1630"/>
      <c r="L28" s="1631">
        <f>IF(B28=0,0,VLOOKUP(B28,Ausglleist!$C$8:$O$44,13))</f>
        <v>0</v>
      </c>
      <c r="M28" s="1094">
        <f t="shared" si="1"/>
        <v>0</v>
      </c>
      <c r="N28" s="1078">
        <f t="shared" si="2"/>
        <v>0</v>
      </c>
      <c r="O28" s="1078">
        <f t="shared" si="3"/>
        <v>0</v>
      </c>
      <c r="P28" s="247"/>
      <c r="Q28" s="258"/>
      <c r="R28" s="542"/>
      <c r="S28" s="542"/>
      <c r="Y28" s="526"/>
      <c r="AE28" s="526"/>
      <c r="AF28" s="526"/>
      <c r="AG28" s="526"/>
    </row>
    <row r="29" spans="1:34" s="528" customFormat="1" ht="15" customHeight="1" x14ac:dyDescent="0.2">
      <c r="A29" s="1096" t="s">
        <v>552</v>
      </c>
      <c r="B29" s="199"/>
      <c r="C29" s="81"/>
      <c r="D29" s="200">
        <f>IF(B29=0,0,VLOOKUP(B29,Ausglleist!$C$8:$O$44,2))</f>
        <v>0</v>
      </c>
      <c r="E29" s="82"/>
      <c r="F29" s="82"/>
      <c r="G29" s="82"/>
      <c r="H29" s="82"/>
      <c r="I29" s="82"/>
      <c r="J29" s="309"/>
      <c r="K29" s="1632"/>
      <c r="L29" s="1893">
        <f>IF(B29=0,0,VLOOKUP(B29,Ausglleist!$C$8:$O$44,13))</f>
        <v>0</v>
      </c>
      <c r="M29" s="1094">
        <f t="shared" si="1"/>
        <v>0</v>
      </c>
      <c r="N29" s="1078">
        <f t="shared" si="2"/>
        <v>0</v>
      </c>
      <c r="O29" s="1078">
        <f t="shared" si="3"/>
        <v>0</v>
      </c>
      <c r="P29" s="248"/>
      <c r="Q29" s="259"/>
      <c r="R29" s="542"/>
      <c r="S29" s="542"/>
      <c r="Y29" s="526"/>
      <c r="AE29" s="526"/>
      <c r="AF29" s="526"/>
      <c r="AG29" s="526"/>
    </row>
    <row r="30" spans="1:34" s="528" customFormat="1" ht="15" customHeight="1" x14ac:dyDescent="0.2">
      <c r="A30" s="1090"/>
      <c r="B30" s="1091" t="s">
        <v>245</v>
      </c>
      <c r="C30" s="78"/>
      <c r="D30" s="1093" t="s">
        <v>1101</v>
      </c>
      <c r="E30" s="79"/>
      <c r="F30" s="79"/>
      <c r="G30" s="79"/>
      <c r="H30" s="79"/>
      <c r="I30" s="79"/>
      <c r="J30" s="2392" t="s">
        <v>266</v>
      </c>
      <c r="K30" s="2120"/>
      <c r="L30" s="2119">
        <f>L31</f>
        <v>270</v>
      </c>
      <c r="M30" s="4086">
        <f>$L30*M7/100</f>
        <v>121.5</v>
      </c>
      <c r="N30" s="4087">
        <f>$L30*N7/100</f>
        <v>94.5</v>
      </c>
      <c r="O30" s="4088">
        <f>$L30*O7/100</f>
        <v>54</v>
      </c>
      <c r="P30" s="1078">
        <f>$L30*P7/100</f>
        <v>0</v>
      </c>
      <c r="Q30" s="1079">
        <f>$L30*Q7/100</f>
        <v>0</v>
      </c>
      <c r="R30" s="542"/>
      <c r="S30" s="542"/>
      <c r="Y30" s="526"/>
      <c r="AE30" s="526"/>
      <c r="AF30" s="526"/>
      <c r="AG30" s="526"/>
    </row>
    <row r="31" spans="1:34" s="528" customFormat="1" ht="15" customHeight="1" x14ac:dyDescent="0.2">
      <c r="A31" s="1096" t="s">
        <v>552</v>
      </c>
      <c r="B31" s="199">
        <v>1</v>
      </c>
      <c r="C31" s="81"/>
      <c r="D31" s="200" t="str">
        <f>IF(B31=0,0,VLOOKUP(B31,Ausglleist!$R$8:$S$10,2))</f>
        <v>Zahlungsanspruch Ø</v>
      </c>
      <c r="E31" s="82"/>
      <c r="F31" s="82"/>
      <c r="G31" s="82"/>
      <c r="H31" s="82"/>
      <c r="I31" s="82"/>
      <c r="J31" s="309"/>
      <c r="K31" s="1632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Y31" s="526"/>
      <c r="AE31" s="526"/>
      <c r="AF31" s="526"/>
      <c r="AG31" s="526"/>
    </row>
    <row r="32" spans="1:34" ht="16.5" customHeight="1" x14ac:dyDescent="0.2">
      <c r="A32" s="1097"/>
      <c r="B32" s="1098"/>
      <c r="C32" s="1054"/>
      <c r="D32" s="1099" t="s">
        <v>246</v>
      </c>
      <c r="E32" s="1100"/>
      <c r="F32" s="1068"/>
      <c r="G32" s="1101" t="s">
        <v>247</v>
      </c>
      <c r="H32" s="1553">
        <f>'Preise-Stammdaten'!$N$9</f>
        <v>7</v>
      </c>
      <c r="I32" s="1068"/>
      <c r="J32" s="1070" t="s">
        <v>266</v>
      </c>
      <c r="K32" s="1633"/>
      <c r="L32" s="1659">
        <f>J33*$H33</f>
        <v>23.54</v>
      </c>
      <c r="M32" s="1102">
        <f>$L32*M$7/100</f>
        <v>10.593</v>
      </c>
      <c r="N32" s="1103">
        <f>$L32*N$7/100</f>
        <v>8.238999999999999</v>
      </c>
      <c r="O32" s="1103">
        <f>$L32*O$7/100</f>
        <v>4.7079999999999993</v>
      </c>
      <c r="P32" s="1103">
        <f>$L32*P$7/100</f>
        <v>0</v>
      </c>
      <c r="Q32" s="1104">
        <f>$L32*Q$7/100</f>
        <v>0</v>
      </c>
    </row>
    <row r="33" spans="1:39" ht="16.5" customHeight="1" x14ac:dyDescent="0.2">
      <c r="A33" s="1097"/>
      <c r="B33" s="1098"/>
      <c r="C33" s="1071"/>
      <c r="D33" s="3931" t="s">
        <v>1833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1105" t="s">
        <v>249</v>
      </c>
      <c r="J33" s="455">
        <v>5</v>
      </c>
      <c r="K33" s="1635"/>
      <c r="L33" s="1636"/>
      <c r="M33" s="1106"/>
      <c r="N33" s="1107"/>
      <c r="O33" s="1107"/>
      <c r="P33" s="1107"/>
      <c r="Q33" s="1108"/>
    </row>
    <row r="34" spans="1:39" s="529" customFormat="1" ht="16.5" customHeight="1" x14ac:dyDescent="0.2">
      <c r="A34" s="1109"/>
      <c r="B34" s="1110"/>
      <c r="C34" s="353"/>
      <c r="D34" s="3110" t="s">
        <v>1408</v>
      </c>
      <c r="E34" s="151"/>
      <c r="F34" s="1111"/>
      <c r="G34" s="1069"/>
      <c r="H34" s="1069"/>
      <c r="I34" s="1069"/>
      <c r="J34" s="459" t="s">
        <v>266</v>
      </c>
      <c r="K34" s="1637"/>
      <c r="L34" s="1634">
        <f>SUM(L36:L39)-L24</f>
        <v>510.35356458333325</v>
      </c>
      <c r="M34" s="1102">
        <f>$L34*M$7/100</f>
        <v>229.65910406249998</v>
      </c>
      <c r="N34" s="1103">
        <f>$L34*N$7/100</f>
        <v>178.62374760416662</v>
      </c>
      <c r="O34" s="1103">
        <f>$L34*O$7/100</f>
        <v>102.07071291666665</v>
      </c>
      <c r="P34" s="1103">
        <f>$L34*P$7/100</f>
        <v>0</v>
      </c>
      <c r="Q34" s="1104">
        <f>$L34*Q$7/100</f>
        <v>0</v>
      </c>
      <c r="R34" s="542"/>
      <c r="S34" s="542"/>
      <c r="Y34" s="526"/>
      <c r="AE34" s="526"/>
      <c r="AF34" s="526"/>
      <c r="AG34" s="526"/>
    </row>
    <row r="35" spans="1:39" s="529" customFormat="1" ht="15" customHeight="1" x14ac:dyDescent="0.2">
      <c r="A35" s="1109"/>
      <c r="B35" s="1110"/>
      <c r="C35" s="353"/>
      <c r="D35" s="352" t="s">
        <v>250</v>
      </c>
      <c r="E35" s="151"/>
      <c r="F35" s="1112" t="s">
        <v>251</v>
      </c>
      <c r="G35" s="1068"/>
      <c r="H35" s="1113" t="s">
        <v>252</v>
      </c>
      <c r="I35" s="1114" t="s">
        <v>253</v>
      </c>
      <c r="J35" s="1115"/>
      <c r="K35" s="1638" t="s">
        <v>254</v>
      </c>
      <c r="L35" s="1639" t="s">
        <v>266</v>
      </c>
      <c r="M35" s="1117"/>
      <c r="N35" s="1118"/>
      <c r="O35" s="1118"/>
      <c r="P35" s="1118"/>
      <c r="Q35" s="1119"/>
      <c r="R35" s="542"/>
      <c r="S35" s="542"/>
      <c r="Y35" s="526"/>
      <c r="AE35" s="526"/>
      <c r="AF35" s="526"/>
      <c r="AG35" s="526"/>
    </row>
    <row r="36" spans="1:39" s="528" customFormat="1" ht="15" customHeight="1" x14ac:dyDescent="0.2">
      <c r="A36" s="1120"/>
      <c r="B36" s="1056"/>
      <c r="C36" s="104"/>
      <c r="D36" s="105" t="s">
        <v>356</v>
      </c>
      <c r="E36" s="105"/>
      <c r="F36" s="464">
        <f>'Preise-Stammdaten'!N17</f>
        <v>1.7175666666666667</v>
      </c>
      <c r="G36" s="526"/>
      <c r="H36" s="116">
        <v>2.2000000000000002</v>
      </c>
      <c r="I36" s="117">
        <v>-40</v>
      </c>
      <c r="J36" s="1121"/>
      <c r="K36" s="1640">
        <f>H36*$K$14+I36</f>
        <v>116.75</v>
      </c>
      <c r="L36" s="1641">
        <f>K36*$F36</f>
        <v>200.52590833333335</v>
      </c>
      <c r="M36" s="1122"/>
      <c r="N36" s="1123"/>
      <c r="O36" s="1123"/>
      <c r="P36" s="1123"/>
      <c r="Q36" s="1124"/>
      <c r="R36" s="542"/>
      <c r="S36" s="542"/>
      <c r="Y36" s="526"/>
      <c r="AE36" s="526"/>
      <c r="AF36" s="526"/>
      <c r="AG36" s="526"/>
    </row>
    <row r="37" spans="1:39" s="528" customFormat="1" ht="15" customHeight="1" x14ac:dyDescent="0.2">
      <c r="A37" s="1120"/>
      <c r="B37" s="1125"/>
      <c r="C37" s="104"/>
      <c r="D37" s="105" t="s">
        <v>255</v>
      </c>
      <c r="E37" s="105"/>
      <c r="F37" s="464">
        <f>'Preise-Stammdaten'!N18</f>
        <v>1.1304999999999998</v>
      </c>
      <c r="G37" s="526"/>
      <c r="H37" s="116">
        <v>0.95</v>
      </c>
      <c r="I37" s="117"/>
      <c r="J37" s="1121"/>
      <c r="K37" s="1640">
        <f>H37*$K$14+I37</f>
        <v>67.6875</v>
      </c>
      <c r="L37" s="1641">
        <f>K37*$F37</f>
        <v>76.520718749999986</v>
      </c>
      <c r="M37" s="1122"/>
      <c r="N37" s="1123"/>
      <c r="O37" s="1123"/>
      <c r="P37" s="1123"/>
      <c r="Q37" s="1124"/>
      <c r="R37" s="542"/>
      <c r="S37" s="542"/>
      <c r="Y37" s="526"/>
      <c r="AE37" s="526"/>
      <c r="AF37" s="526"/>
      <c r="AG37" s="526"/>
    </row>
    <row r="38" spans="1:39" s="528" customFormat="1" ht="15" customHeight="1" x14ac:dyDescent="0.2">
      <c r="A38" s="1120"/>
      <c r="B38" s="1126"/>
      <c r="C38" s="104"/>
      <c r="D38" s="105" t="s">
        <v>256</v>
      </c>
      <c r="E38" s="105"/>
      <c r="F38" s="464">
        <f>'Preise-Stammdaten'!N19</f>
        <v>1.0511666666666666</v>
      </c>
      <c r="G38" s="526"/>
      <c r="H38" s="116">
        <v>2.9</v>
      </c>
      <c r="I38" s="117"/>
      <c r="J38" s="1121"/>
      <c r="K38" s="1640">
        <f>H38*$K$14+I38</f>
        <v>206.625</v>
      </c>
      <c r="L38" s="1641">
        <f>K38*$F38</f>
        <v>217.19731249999998</v>
      </c>
      <c r="M38" s="1122"/>
      <c r="N38" s="1123"/>
      <c r="O38" s="1123"/>
      <c r="P38" s="1123"/>
      <c r="Q38" s="1124"/>
      <c r="R38" s="542"/>
      <c r="S38" s="542"/>
      <c r="Y38" s="526"/>
      <c r="AE38" s="526"/>
      <c r="AF38" s="526"/>
      <c r="AG38" s="526"/>
    </row>
    <row r="39" spans="1:39" s="528" customFormat="1" ht="15" customHeight="1" x14ac:dyDescent="0.2">
      <c r="A39" s="551"/>
      <c r="B39" s="1127"/>
      <c r="C39" s="107"/>
      <c r="D39" s="108" t="s">
        <v>361</v>
      </c>
      <c r="E39" s="108"/>
      <c r="F39" s="465">
        <f>'Preise-Stammdaten'!N20</f>
        <v>0.59499999999999997</v>
      </c>
      <c r="G39" s="1026"/>
      <c r="H39" s="119">
        <v>0.38</v>
      </c>
      <c r="I39" s="120"/>
      <c r="J39" s="1128"/>
      <c r="K39" s="1642">
        <f>H39*$K$14+I39</f>
        <v>27.074999999999999</v>
      </c>
      <c r="L39" s="1643">
        <f>K39*$F39</f>
        <v>16.109624999999998</v>
      </c>
      <c r="M39" s="1129"/>
      <c r="N39" s="1130"/>
      <c r="O39" s="1130"/>
      <c r="P39" s="1130"/>
      <c r="Q39" s="1131"/>
      <c r="R39" s="542"/>
      <c r="S39" s="542"/>
      <c r="Y39" s="526"/>
      <c r="AE39" s="526"/>
      <c r="AF39" s="526"/>
      <c r="AG39" s="526"/>
    </row>
    <row r="40" spans="1:39" s="529" customFormat="1" ht="16.5" customHeight="1" x14ac:dyDescent="0.2">
      <c r="A40" s="1109"/>
      <c r="B40" s="1110"/>
      <c r="C40" s="121"/>
      <c r="D40" s="122" t="s">
        <v>257</v>
      </c>
      <c r="E40" s="122"/>
      <c r="F40" s="123"/>
      <c r="G40" s="947" t="s">
        <v>247</v>
      </c>
      <c r="H40" s="687">
        <f>'Preise-Stammdaten'!$N$10</f>
        <v>19</v>
      </c>
      <c r="I40" s="1021"/>
      <c r="J40" s="359" t="s">
        <v>266</v>
      </c>
      <c r="K40" s="1644"/>
      <c r="L40" s="1629">
        <f>SUM(L42:L42)</f>
        <v>0</v>
      </c>
      <c r="M40" s="1094">
        <f>$L40*M$7/100</f>
        <v>0</v>
      </c>
      <c r="N40" s="1078">
        <f>$L40*N$7/100</f>
        <v>0</v>
      </c>
      <c r="O40" s="1078">
        <f>$L40*O$7/100</f>
        <v>0</v>
      </c>
      <c r="P40" s="1078">
        <f>$L40*P$7/100</f>
        <v>0</v>
      </c>
      <c r="Q40" s="1079">
        <f>$L40*Q$7/100</f>
        <v>0</v>
      </c>
      <c r="R40" s="542"/>
      <c r="S40" s="542"/>
      <c r="Y40" s="526"/>
      <c r="AE40" s="526"/>
      <c r="AF40" s="526"/>
      <c r="AG40" s="526"/>
    </row>
    <row r="41" spans="1:39" s="529" customFormat="1" ht="15" customHeight="1" x14ac:dyDescent="0.2">
      <c r="A41" s="1109"/>
      <c r="B41" s="1110"/>
      <c r="C41" s="124"/>
      <c r="D41" s="352" t="s">
        <v>258</v>
      </c>
      <c r="E41" s="125"/>
      <c r="F41" s="126"/>
      <c r="G41" s="1132" t="s">
        <v>773</v>
      </c>
      <c r="H41" s="1132" t="s">
        <v>259</v>
      </c>
      <c r="I41" s="1133" t="s">
        <v>802</v>
      </c>
      <c r="J41" s="127"/>
      <c r="K41" s="1645" t="s">
        <v>260</v>
      </c>
      <c r="L41" s="1646" t="s">
        <v>266</v>
      </c>
      <c r="M41" s="1134"/>
      <c r="N41" s="1135"/>
      <c r="O41" s="1135"/>
      <c r="P41" s="1135"/>
      <c r="Q41" s="1136"/>
      <c r="R41" s="542"/>
      <c r="S41" s="542"/>
      <c r="Y41" s="526"/>
      <c r="AE41" s="526"/>
      <c r="AF41" s="526"/>
      <c r="AG41" s="526"/>
    </row>
    <row r="42" spans="1:39" s="528" customFormat="1" ht="15" customHeight="1" x14ac:dyDescent="0.2">
      <c r="A42" s="81"/>
      <c r="B42" s="941"/>
      <c r="C42" s="107"/>
      <c r="D42" s="130"/>
      <c r="E42" s="131"/>
      <c r="F42" s="131"/>
      <c r="G42" s="109"/>
      <c r="H42" s="163"/>
      <c r="I42" s="689">
        <f>H42*($H$40+100)/100</f>
        <v>0</v>
      </c>
      <c r="J42" s="1137"/>
      <c r="K42" s="806">
        <v>1</v>
      </c>
      <c r="L42" s="1643">
        <f>$I42*K42</f>
        <v>0</v>
      </c>
      <c r="M42" s="1129"/>
      <c r="N42" s="1130"/>
      <c r="O42" s="1130"/>
      <c r="P42" s="1130"/>
      <c r="Q42" s="1131"/>
      <c r="R42" s="542"/>
      <c r="S42" s="542"/>
      <c r="Y42" s="526"/>
      <c r="AE42" s="526"/>
      <c r="AF42" s="526"/>
      <c r="AG42" s="526"/>
    </row>
    <row r="43" spans="1:39" s="529" customFormat="1" ht="16.5" customHeight="1" x14ac:dyDescent="0.2">
      <c r="A43" s="1109"/>
      <c r="B43" s="1138"/>
      <c r="C43" s="121"/>
      <c r="D43" s="122" t="s">
        <v>872</v>
      </c>
      <c r="E43" s="122"/>
      <c r="F43" s="122"/>
      <c r="G43" s="122"/>
      <c r="H43" s="122"/>
      <c r="I43" s="526"/>
      <c r="J43" s="359" t="s">
        <v>266</v>
      </c>
      <c r="K43" s="1647"/>
      <c r="L43" s="1629">
        <f>SUM(M43:Q43)</f>
        <v>256.80413404996</v>
      </c>
      <c r="M43" s="1139">
        <f>SUM(Z46:Z56)</f>
        <v>115.17303099092001</v>
      </c>
      <c r="N43" s="1139">
        <f>SUM(AA46:AA56)</f>
        <v>86.718245154520019</v>
      </c>
      <c r="O43" s="1139">
        <f>SUM(AB46:AB56)</f>
        <v>54.912857904519996</v>
      </c>
      <c r="P43" s="1139">
        <f>SUM(AC46:AC56)</f>
        <v>0</v>
      </c>
      <c r="Q43" s="1482">
        <f>SUM(AD46:AD56)</f>
        <v>0</v>
      </c>
      <c r="R43" s="542"/>
      <c r="S43" s="542"/>
      <c r="T43" s="526" t="s">
        <v>873</v>
      </c>
      <c r="Y43" s="526"/>
      <c r="Z43" s="526" t="s">
        <v>874</v>
      </c>
      <c r="AE43" s="526"/>
      <c r="AF43" s="526"/>
      <c r="AG43" s="526"/>
      <c r="AH43" s="526"/>
      <c r="AI43" s="526"/>
    </row>
    <row r="44" spans="1:39" s="528" customFormat="1" ht="15" customHeight="1" x14ac:dyDescent="0.2">
      <c r="A44" s="78"/>
      <c r="B44" s="1091"/>
      <c r="C44" s="132"/>
      <c r="D44" s="133" t="s">
        <v>875</v>
      </c>
      <c r="E44" s="134"/>
      <c r="F44" s="133"/>
      <c r="G44" s="364" t="s">
        <v>82</v>
      </c>
      <c r="H44" s="1140" t="s">
        <v>876</v>
      </c>
      <c r="I44" s="1141"/>
      <c r="J44" s="1142" t="s">
        <v>877</v>
      </c>
      <c r="K44" s="1648" t="s">
        <v>274</v>
      </c>
      <c r="L44" s="1649" t="s">
        <v>266</v>
      </c>
      <c r="M44" s="1143" t="s">
        <v>878</v>
      </c>
      <c r="N44" s="1144"/>
      <c r="O44" s="1144"/>
      <c r="P44" s="1144"/>
      <c r="Q44" s="1145"/>
      <c r="R44" s="542"/>
      <c r="S44" s="542"/>
      <c r="T44" s="543" t="s">
        <v>328</v>
      </c>
      <c r="U44" s="544"/>
      <c r="V44" s="544"/>
      <c r="W44" s="544"/>
      <c r="X44" s="545"/>
      <c r="Y44" s="526"/>
      <c r="Z44" s="543" t="s">
        <v>328</v>
      </c>
      <c r="AA44" s="544"/>
      <c r="AB44" s="544"/>
      <c r="AC44" s="544"/>
      <c r="AD44" s="545"/>
      <c r="AE44" s="526"/>
      <c r="AF44" s="526"/>
      <c r="AG44" s="526"/>
      <c r="AH44" s="526"/>
      <c r="AI44" s="526"/>
      <c r="AJ44" s="526"/>
      <c r="AK44" s="526"/>
      <c r="AL44" s="526"/>
      <c r="AM44" s="526"/>
    </row>
    <row r="45" spans="1:39" s="528" customFormat="1" ht="15" customHeight="1" x14ac:dyDescent="0.2">
      <c r="A45" s="78"/>
      <c r="B45" s="1091" t="s">
        <v>329</v>
      </c>
      <c r="C45" s="135"/>
      <c r="D45" s="1069"/>
      <c r="E45" s="1069"/>
      <c r="F45" s="136"/>
      <c r="G45" s="164" t="s">
        <v>752</v>
      </c>
      <c r="H45" s="164" t="s">
        <v>274</v>
      </c>
      <c r="I45" s="164" t="s">
        <v>266</v>
      </c>
      <c r="J45" s="1146" t="s">
        <v>330</v>
      </c>
      <c r="K45" s="1650"/>
      <c r="L45" s="1639"/>
      <c r="M45" s="1147" t="s">
        <v>331</v>
      </c>
      <c r="N45" s="1148"/>
      <c r="O45" s="1148"/>
      <c r="P45" s="1148"/>
      <c r="Q45" s="1149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526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526"/>
      <c r="AF45" s="526"/>
      <c r="AG45" s="526"/>
      <c r="AH45" s="526"/>
      <c r="AI45" s="526"/>
      <c r="AJ45" s="526"/>
      <c r="AK45" s="526"/>
      <c r="AL45" s="526"/>
      <c r="AM45" s="526"/>
    </row>
    <row r="46" spans="1:39" s="528" customFormat="1" ht="15" customHeight="1" x14ac:dyDescent="0.2">
      <c r="A46" s="1095" t="s">
        <v>552</v>
      </c>
      <c r="B46" s="1912">
        <v>25</v>
      </c>
      <c r="C46" s="104"/>
      <c r="D46" s="137"/>
      <c r="E46" s="530"/>
      <c r="F46" s="530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4">SUM(M46:Q46)</f>
        <v>0.99</v>
      </c>
      <c r="K46" s="1651">
        <f t="shared" ref="K46:K56" si="5">J46*H46</f>
        <v>0.81179999999999997</v>
      </c>
      <c r="L46" s="1641">
        <f t="shared" ref="L46:L56" si="6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7">IF(M46&lt;&gt;0,M46*$H46,0)</f>
        <v>0.27060000000000001</v>
      </c>
      <c r="U46" s="479">
        <f t="shared" ref="U46:U56" si="8">IF(N46&lt;&gt;0,N46*$H46,0)</f>
        <v>0.27060000000000001</v>
      </c>
      <c r="V46" s="479">
        <f t="shared" ref="V46:V56" si="9">IF(O46&lt;&gt;0,O46*$H46,0)</f>
        <v>0.27060000000000001</v>
      </c>
      <c r="W46" s="479">
        <f t="shared" ref="W46:W56" si="10">IF(P46&lt;&gt;0,P46*$H46,0)</f>
        <v>0</v>
      </c>
      <c r="X46" s="480">
        <f t="shared" ref="X46:X56" si="11">IF(Q46&lt;&gt;0,Q46*$H46,0)</f>
        <v>0</v>
      </c>
      <c r="Y46" s="526"/>
      <c r="Z46" s="478">
        <f t="shared" ref="Z46:Z56" si="12">IF(M46&lt;&gt;0,M46*$I46,0)</f>
        <v>3.9342326672879988</v>
      </c>
      <c r="AA46" s="479">
        <f t="shared" ref="AA46:AA56" si="13">IF(N46&lt;&gt;0,N46*$I46,0)</f>
        <v>3.9342326672879988</v>
      </c>
      <c r="AB46" s="479">
        <f t="shared" ref="AB46:AB56" si="14">IF(O46&lt;&gt;0,O46*$I46,0)</f>
        <v>3.9342326672879988</v>
      </c>
      <c r="AC46" s="479">
        <f t="shared" ref="AC46:AC56" si="15">IF(P46&lt;&gt;0,P46*$I46,0)</f>
        <v>0</v>
      </c>
      <c r="AD46" s="480">
        <f t="shared" ref="AD46:AD56" si="16">IF(Q46&lt;&gt;0,Q46*$I46,0)</f>
        <v>0</v>
      </c>
      <c r="AE46" s="526"/>
      <c r="AF46" s="526"/>
      <c r="AG46" s="526"/>
      <c r="AH46" s="526"/>
      <c r="AI46" s="526"/>
      <c r="AJ46" s="526"/>
      <c r="AK46" s="526"/>
      <c r="AL46" s="526"/>
      <c r="AM46" s="526"/>
    </row>
    <row r="47" spans="1:39" s="528" customFormat="1" ht="15" customHeight="1" x14ac:dyDescent="0.2">
      <c r="A47" s="1095" t="s">
        <v>552</v>
      </c>
      <c r="B47" s="1912">
        <v>26</v>
      </c>
      <c r="C47" s="104"/>
      <c r="D47" s="137"/>
      <c r="E47" s="530"/>
      <c r="F47" s="530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4"/>
        <v>0.99</v>
      </c>
      <c r="K47" s="1651">
        <f t="shared" si="5"/>
        <v>0.47519999999999996</v>
      </c>
      <c r="L47" s="1641">
        <f t="shared" si="6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7"/>
        <v>0.15840000000000001</v>
      </c>
      <c r="U47" s="479">
        <f t="shared" si="8"/>
        <v>0.15840000000000001</v>
      </c>
      <c r="V47" s="479">
        <f t="shared" si="9"/>
        <v>0.15840000000000001</v>
      </c>
      <c r="W47" s="479">
        <f t="shared" si="10"/>
        <v>0</v>
      </c>
      <c r="X47" s="480">
        <f t="shared" si="11"/>
        <v>0</v>
      </c>
      <c r="Y47" s="526"/>
      <c r="Z47" s="478">
        <f t="shared" si="12"/>
        <v>3.1209308296319995</v>
      </c>
      <c r="AA47" s="479">
        <f t="shared" si="13"/>
        <v>3.1209308296319995</v>
      </c>
      <c r="AB47" s="479">
        <f t="shared" si="14"/>
        <v>3.1209308296319995</v>
      </c>
      <c r="AC47" s="479">
        <f t="shared" si="15"/>
        <v>0</v>
      </c>
      <c r="AD47" s="480">
        <f t="shared" si="16"/>
        <v>0</v>
      </c>
      <c r="AE47" s="526"/>
      <c r="AF47" s="526"/>
      <c r="AG47" s="526"/>
      <c r="AH47" s="526"/>
      <c r="AI47" s="526"/>
      <c r="AJ47" s="526"/>
      <c r="AK47" s="526"/>
      <c r="AL47" s="526"/>
      <c r="AM47" s="526"/>
    </row>
    <row r="48" spans="1:39" s="528" customFormat="1" ht="15" customHeight="1" x14ac:dyDescent="0.2">
      <c r="A48" s="1095" t="s">
        <v>552</v>
      </c>
      <c r="B48" s="1912">
        <v>15</v>
      </c>
      <c r="C48" s="104"/>
      <c r="D48" s="137"/>
      <c r="E48" s="530"/>
      <c r="F48" s="530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3</v>
      </c>
      <c r="K48" s="1651">
        <f t="shared" si="5"/>
        <v>1.1099999999999999</v>
      </c>
      <c r="L48" s="1641">
        <f t="shared" si="6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7"/>
        <v>0.37</v>
      </c>
      <c r="U48" s="479">
        <f t="shared" si="8"/>
        <v>0.37</v>
      </c>
      <c r="V48" s="479">
        <f t="shared" si="9"/>
        <v>0.37</v>
      </c>
      <c r="W48" s="479">
        <f t="shared" si="10"/>
        <v>0</v>
      </c>
      <c r="X48" s="480">
        <f t="shared" si="11"/>
        <v>0</v>
      </c>
      <c r="Y48" s="526"/>
      <c r="Z48" s="478">
        <f t="shared" si="12"/>
        <v>5.4505114075999996</v>
      </c>
      <c r="AA48" s="479">
        <f t="shared" si="13"/>
        <v>5.4505114075999996</v>
      </c>
      <c r="AB48" s="479">
        <f t="shared" si="14"/>
        <v>5.4505114075999996</v>
      </c>
      <c r="AC48" s="479">
        <f t="shared" si="15"/>
        <v>0</v>
      </c>
      <c r="AD48" s="480">
        <f t="shared" si="16"/>
        <v>0</v>
      </c>
      <c r="AE48" s="526"/>
      <c r="AF48" s="526"/>
      <c r="AG48" s="526"/>
      <c r="AH48" s="526"/>
      <c r="AI48" s="526"/>
      <c r="AJ48" s="526"/>
      <c r="AK48" s="526"/>
      <c r="AL48" s="526"/>
      <c r="AM48" s="526"/>
    </row>
    <row r="49" spans="1:39" s="528" customFormat="1" ht="15" customHeight="1" x14ac:dyDescent="0.2">
      <c r="A49" s="1095" t="s">
        <v>552</v>
      </c>
      <c r="B49" s="1912">
        <v>9</v>
      </c>
      <c r="C49" s="104"/>
      <c r="D49" s="137"/>
      <c r="E49" s="530"/>
      <c r="F49" s="530"/>
      <c r="G49" s="468" t="str">
        <f>IF($B49=0,0,VLOOKUP($B49,Arbeitsgänge!$B$27:$T$80,7))</f>
        <v>67 Kw</v>
      </c>
      <c r="H49" s="507">
        <f>IF($B49=0,0,VLOOKUP($B49,Arbeitsgänge!$B$27:$O$79,12))</f>
        <v>0.61</v>
      </c>
      <c r="I49" s="469">
        <f>IF($B49=0,0,VLOOKUP($B49,Arbeitsgänge!$B$27:$T$80,14))</f>
        <v>14.5023886728</v>
      </c>
      <c r="J49" s="593">
        <f t="shared" si="4"/>
        <v>0.5</v>
      </c>
      <c r="K49" s="1651">
        <f t="shared" si="5"/>
        <v>0.30499999999999999</v>
      </c>
      <c r="L49" s="1641">
        <f t="shared" si="6"/>
        <v>7.2511943364000002</v>
      </c>
      <c r="M49" s="317">
        <v>0.5</v>
      </c>
      <c r="N49" s="318"/>
      <c r="O49" s="318"/>
      <c r="P49" s="318">
        <f>P15/120</f>
        <v>0</v>
      </c>
      <c r="Q49" s="319">
        <f>Q15/120</f>
        <v>0</v>
      </c>
      <c r="R49" s="542"/>
      <c r="S49" s="542"/>
      <c r="T49" s="478">
        <f t="shared" si="7"/>
        <v>0.30499999999999999</v>
      </c>
      <c r="U49" s="479">
        <f t="shared" si="8"/>
        <v>0</v>
      </c>
      <c r="V49" s="479">
        <f t="shared" si="9"/>
        <v>0</v>
      </c>
      <c r="W49" s="479">
        <f t="shared" si="10"/>
        <v>0</v>
      </c>
      <c r="X49" s="480">
        <f t="shared" si="11"/>
        <v>0</v>
      </c>
      <c r="Y49" s="526"/>
      <c r="Z49" s="478">
        <f t="shared" si="12"/>
        <v>7.2511943364000002</v>
      </c>
      <c r="AA49" s="479">
        <f t="shared" si="13"/>
        <v>0</v>
      </c>
      <c r="AB49" s="479">
        <f t="shared" si="14"/>
        <v>0</v>
      </c>
      <c r="AC49" s="479">
        <f t="shared" si="15"/>
        <v>0</v>
      </c>
      <c r="AD49" s="480">
        <f t="shared" si="16"/>
        <v>0</v>
      </c>
      <c r="AE49" s="526"/>
      <c r="AF49" s="526"/>
      <c r="AG49" s="526"/>
      <c r="AH49" s="526"/>
      <c r="AI49" s="526"/>
      <c r="AJ49" s="526"/>
      <c r="AK49" s="526"/>
      <c r="AL49" s="526"/>
      <c r="AM49" s="526"/>
    </row>
    <row r="50" spans="1:39" s="528" customFormat="1" ht="15" customHeight="1" x14ac:dyDescent="0.2">
      <c r="A50" s="1095" t="s">
        <v>552</v>
      </c>
      <c r="B50" s="1912">
        <v>34</v>
      </c>
      <c r="C50" s="104"/>
      <c r="D50" s="137"/>
      <c r="E50" s="530"/>
      <c r="F50" s="530"/>
      <c r="G50" s="468" t="str">
        <f>IF($B50=0,0,VLOOKUP($B50,Arbeitsgänge!$B$27:$T$80,7))</f>
        <v>120 Kw</v>
      </c>
      <c r="H50" s="507">
        <f>IF($B50=0,0,VLOOKUP($B50,Arbeitsgänge!$B$27:$O$79,12))</f>
        <v>1.3</v>
      </c>
      <c r="I50" s="469">
        <f>IF($B50=0,0,VLOOKUP($B50,Arbeitsgänge!$B$27:$T$80,14))</f>
        <v>64.280361600000006</v>
      </c>
      <c r="J50" s="593">
        <f t="shared" si="4"/>
        <v>3.2986111111111116</v>
      </c>
      <c r="K50" s="1651">
        <f t="shared" si="5"/>
        <v>4.2881944444444455</v>
      </c>
      <c r="L50" s="1641">
        <f t="shared" si="6"/>
        <v>212.03591500000005</v>
      </c>
      <c r="M50" s="317">
        <f>M18/120</f>
        <v>1.484375</v>
      </c>
      <c r="N50" s="318">
        <f>N18/120</f>
        <v>1.1545138888888891</v>
      </c>
      <c r="O50" s="318">
        <f>O18/120</f>
        <v>0.6597222222222221</v>
      </c>
      <c r="P50" s="318">
        <f>P18/120</f>
        <v>0</v>
      </c>
      <c r="Q50" s="319">
        <f>Q18/120</f>
        <v>0</v>
      </c>
      <c r="R50" s="542"/>
      <c r="S50" s="542"/>
      <c r="T50" s="478">
        <f t="shared" si="7"/>
        <v>1.9296875</v>
      </c>
      <c r="U50" s="479">
        <f t="shared" si="8"/>
        <v>1.5008680555555558</v>
      </c>
      <c r="V50" s="479">
        <f t="shared" si="9"/>
        <v>0.85763888888888873</v>
      </c>
      <c r="W50" s="479">
        <f t="shared" si="10"/>
        <v>0</v>
      </c>
      <c r="X50" s="480">
        <f t="shared" si="11"/>
        <v>0</v>
      </c>
      <c r="Y50" s="526"/>
      <c r="Z50" s="478">
        <f t="shared" si="12"/>
        <v>95.416161750000015</v>
      </c>
      <c r="AA50" s="479">
        <f t="shared" si="13"/>
        <v>74.212570250000013</v>
      </c>
      <c r="AB50" s="479">
        <f t="shared" si="14"/>
        <v>42.407182999999996</v>
      </c>
      <c r="AC50" s="479">
        <f t="shared" si="15"/>
        <v>0</v>
      </c>
      <c r="AD50" s="480">
        <f t="shared" si="16"/>
        <v>0</v>
      </c>
      <c r="AE50" s="526"/>
      <c r="AF50" s="526"/>
      <c r="AG50" s="526"/>
      <c r="AH50" s="526"/>
      <c r="AI50" s="526"/>
      <c r="AJ50" s="526"/>
      <c r="AK50" s="526"/>
      <c r="AL50" s="526"/>
      <c r="AM50" s="526"/>
    </row>
    <row r="51" spans="1:39" s="528" customFormat="1" ht="15" customHeight="1" x14ac:dyDescent="0.2">
      <c r="A51" s="1095" t="s">
        <v>552</v>
      </c>
      <c r="B51" s="1912">
        <v>42</v>
      </c>
      <c r="C51" s="104"/>
      <c r="D51" s="137"/>
      <c r="E51" s="530"/>
      <c r="F51" s="530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4"/>
        <v>0</v>
      </c>
      <c r="K51" s="1651">
        <f t="shared" si="5"/>
        <v>0</v>
      </c>
      <c r="L51" s="1641">
        <f t="shared" si="6"/>
        <v>0</v>
      </c>
      <c r="M51" s="317"/>
      <c r="N51" s="318"/>
      <c r="O51" s="318"/>
      <c r="P51" s="318"/>
      <c r="Q51" s="319"/>
      <c r="R51" s="542"/>
      <c r="S51" s="542"/>
      <c r="T51" s="478">
        <f t="shared" si="7"/>
        <v>0</v>
      </c>
      <c r="U51" s="479">
        <f t="shared" si="8"/>
        <v>0</v>
      </c>
      <c r="V51" s="479">
        <f t="shared" si="9"/>
        <v>0</v>
      </c>
      <c r="W51" s="479">
        <f t="shared" si="10"/>
        <v>0</v>
      </c>
      <c r="X51" s="480">
        <f t="shared" si="11"/>
        <v>0</v>
      </c>
      <c r="Y51" s="526"/>
      <c r="Z51" s="478">
        <f t="shared" si="12"/>
        <v>0</v>
      </c>
      <c r="AA51" s="479">
        <f t="shared" si="13"/>
        <v>0</v>
      </c>
      <c r="AB51" s="479">
        <f t="shared" si="14"/>
        <v>0</v>
      </c>
      <c r="AC51" s="479">
        <f t="shared" si="15"/>
        <v>0</v>
      </c>
      <c r="AD51" s="480">
        <f t="shared" si="16"/>
        <v>0</v>
      </c>
      <c r="AE51" s="526"/>
      <c r="AF51" s="526"/>
      <c r="AG51" s="526"/>
      <c r="AH51" s="526"/>
      <c r="AI51" s="526"/>
      <c r="AJ51" s="526"/>
      <c r="AK51" s="526"/>
      <c r="AL51" s="526"/>
      <c r="AM51" s="526"/>
    </row>
    <row r="52" spans="1:39" s="528" customFormat="1" ht="15" customHeight="1" x14ac:dyDescent="0.2">
      <c r="A52" s="1095" t="s">
        <v>552</v>
      </c>
      <c r="B52" s="1912">
        <v>52</v>
      </c>
      <c r="C52" s="104"/>
      <c r="D52" s="137"/>
      <c r="E52" s="530"/>
      <c r="F52" s="530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4"/>
        <v>0</v>
      </c>
      <c r="K52" s="1651">
        <f t="shared" si="5"/>
        <v>0</v>
      </c>
      <c r="L52" s="1641">
        <f t="shared" si="6"/>
        <v>0</v>
      </c>
      <c r="M52" s="317"/>
      <c r="N52" s="318"/>
      <c r="O52" s="318"/>
      <c r="P52" s="318"/>
      <c r="Q52" s="319"/>
      <c r="R52" s="542"/>
      <c r="S52" s="542"/>
      <c r="T52" s="478">
        <f t="shared" si="7"/>
        <v>0</v>
      </c>
      <c r="U52" s="479">
        <f t="shared" si="8"/>
        <v>0</v>
      </c>
      <c r="V52" s="479">
        <f t="shared" si="9"/>
        <v>0</v>
      </c>
      <c r="W52" s="479">
        <f t="shared" si="10"/>
        <v>0</v>
      </c>
      <c r="X52" s="480">
        <f t="shared" si="11"/>
        <v>0</v>
      </c>
      <c r="Y52" s="526"/>
      <c r="Z52" s="478">
        <f t="shared" si="12"/>
        <v>0</v>
      </c>
      <c r="AA52" s="479">
        <f t="shared" si="13"/>
        <v>0</v>
      </c>
      <c r="AB52" s="479">
        <f t="shared" si="14"/>
        <v>0</v>
      </c>
      <c r="AC52" s="479">
        <f t="shared" si="15"/>
        <v>0</v>
      </c>
      <c r="AD52" s="480">
        <f t="shared" si="16"/>
        <v>0</v>
      </c>
      <c r="AE52" s="526"/>
      <c r="AF52" s="526"/>
      <c r="AG52" s="526"/>
      <c r="AH52" s="526"/>
      <c r="AI52" s="526"/>
      <c r="AJ52" s="526"/>
      <c r="AK52" s="526"/>
      <c r="AL52" s="526"/>
      <c r="AM52" s="526"/>
    </row>
    <row r="53" spans="1:39" s="528" customFormat="1" ht="15" customHeight="1" x14ac:dyDescent="0.2">
      <c r="A53" s="1095" t="s">
        <v>552</v>
      </c>
      <c r="B53" s="1912">
        <v>46</v>
      </c>
      <c r="C53" s="104"/>
      <c r="D53" s="137"/>
      <c r="E53" s="530"/>
      <c r="F53" s="530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641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8"/>
        <v>0</v>
      </c>
      <c r="V53" s="479">
        <f t="shared" si="9"/>
        <v>0</v>
      </c>
      <c r="W53" s="479">
        <f t="shared" si="10"/>
        <v>0</v>
      </c>
      <c r="X53" s="480">
        <f t="shared" si="11"/>
        <v>0</v>
      </c>
      <c r="Y53" s="526"/>
      <c r="Z53" s="478">
        <f t="shared" si="12"/>
        <v>0</v>
      </c>
      <c r="AA53" s="479">
        <f t="shared" si="13"/>
        <v>0</v>
      </c>
      <c r="AB53" s="479">
        <f t="shared" si="14"/>
        <v>0</v>
      </c>
      <c r="AC53" s="479">
        <f t="shared" si="15"/>
        <v>0</v>
      </c>
      <c r="AD53" s="480">
        <f t="shared" si="16"/>
        <v>0</v>
      </c>
      <c r="AE53" s="526"/>
      <c r="AF53" s="526"/>
      <c r="AG53" s="526"/>
      <c r="AH53" s="526"/>
      <c r="AI53" s="526"/>
      <c r="AJ53" s="526"/>
      <c r="AK53" s="526"/>
      <c r="AL53" s="526"/>
      <c r="AM53" s="526"/>
    </row>
    <row r="54" spans="1:39" s="528" customFormat="1" ht="15" customHeight="1" x14ac:dyDescent="0.2">
      <c r="A54" s="1095" t="s">
        <v>552</v>
      </c>
      <c r="B54" s="1912">
        <v>46</v>
      </c>
      <c r="C54" s="104"/>
      <c r="D54" s="137"/>
      <c r="E54" s="530"/>
      <c r="F54" s="530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641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8"/>
        <v>0</v>
      </c>
      <c r="V54" s="479">
        <f t="shared" si="9"/>
        <v>0</v>
      </c>
      <c r="W54" s="479">
        <f t="shared" si="10"/>
        <v>0</v>
      </c>
      <c r="X54" s="480">
        <f t="shared" si="11"/>
        <v>0</v>
      </c>
      <c r="Y54" s="526"/>
      <c r="Z54" s="478">
        <f t="shared" si="12"/>
        <v>0</v>
      </c>
      <c r="AA54" s="479">
        <f t="shared" si="13"/>
        <v>0</v>
      </c>
      <c r="AB54" s="479">
        <f t="shared" si="14"/>
        <v>0</v>
      </c>
      <c r="AC54" s="479">
        <f t="shared" si="15"/>
        <v>0</v>
      </c>
      <c r="AD54" s="480">
        <f t="shared" si="16"/>
        <v>0</v>
      </c>
      <c r="AE54" s="526"/>
      <c r="AF54" s="526"/>
      <c r="AG54" s="526"/>
      <c r="AH54" s="526"/>
      <c r="AI54" s="526"/>
      <c r="AJ54" s="526"/>
      <c r="AK54" s="526"/>
      <c r="AL54" s="526"/>
      <c r="AM54" s="526"/>
    </row>
    <row r="55" spans="1:39" s="528" customFormat="1" ht="15" customHeight="1" x14ac:dyDescent="0.2">
      <c r="A55" s="1095" t="s">
        <v>552</v>
      </c>
      <c r="B55" s="1912">
        <v>52</v>
      </c>
      <c r="C55" s="104"/>
      <c r="D55" s="137"/>
      <c r="E55" s="530"/>
      <c r="F55" s="530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641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8"/>
        <v>0</v>
      </c>
      <c r="V55" s="479">
        <f t="shared" si="9"/>
        <v>0</v>
      </c>
      <c r="W55" s="479">
        <f t="shared" si="10"/>
        <v>0</v>
      </c>
      <c r="X55" s="480">
        <f t="shared" si="11"/>
        <v>0</v>
      </c>
      <c r="Y55" s="526"/>
      <c r="Z55" s="478">
        <f t="shared" si="12"/>
        <v>0</v>
      </c>
      <c r="AA55" s="479">
        <f t="shared" si="13"/>
        <v>0</v>
      </c>
      <c r="AB55" s="479">
        <f t="shared" si="14"/>
        <v>0</v>
      </c>
      <c r="AC55" s="479">
        <f t="shared" si="15"/>
        <v>0</v>
      </c>
      <c r="AD55" s="480">
        <f t="shared" si="16"/>
        <v>0</v>
      </c>
      <c r="AE55" s="526"/>
      <c r="AF55" s="526"/>
      <c r="AG55" s="526"/>
      <c r="AH55" s="526"/>
      <c r="AI55" s="526"/>
      <c r="AJ55" s="526"/>
      <c r="AK55" s="526"/>
      <c r="AL55" s="526"/>
      <c r="AM55" s="526"/>
    </row>
    <row r="56" spans="1:39" s="528" customFormat="1" ht="15" customHeight="1" x14ac:dyDescent="0.2">
      <c r="A56" s="1095" t="s">
        <v>552</v>
      </c>
      <c r="B56" s="1913">
        <v>52</v>
      </c>
      <c r="C56" s="107"/>
      <c r="D56" s="926"/>
      <c r="E56" s="989"/>
      <c r="F56" s="989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653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 t="shared" si="7"/>
        <v>0</v>
      </c>
      <c r="U56" s="482">
        <f t="shared" si="8"/>
        <v>0</v>
      </c>
      <c r="V56" s="482">
        <f t="shared" si="9"/>
        <v>0</v>
      </c>
      <c r="W56" s="482">
        <f t="shared" si="10"/>
        <v>0</v>
      </c>
      <c r="X56" s="483">
        <f t="shared" si="11"/>
        <v>0</v>
      </c>
      <c r="Y56" s="526"/>
      <c r="Z56" s="481">
        <f t="shared" si="12"/>
        <v>0</v>
      </c>
      <c r="AA56" s="482">
        <f t="shared" si="13"/>
        <v>0</v>
      </c>
      <c r="AB56" s="482">
        <f t="shared" si="14"/>
        <v>0</v>
      </c>
      <c r="AC56" s="482">
        <f t="shared" si="15"/>
        <v>0</v>
      </c>
      <c r="AD56" s="483">
        <f t="shared" si="16"/>
        <v>0</v>
      </c>
      <c r="AE56" s="526"/>
      <c r="AF56" s="526"/>
      <c r="AG56" s="526"/>
      <c r="AH56" s="526"/>
      <c r="AI56" s="526"/>
      <c r="AJ56" s="526"/>
      <c r="AK56" s="526"/>
      <c r="AL56" s="526"/>
      <c r="AM56" s="526"/>
    </row>
    <row r="57" spans="1:39" s="537" customFormat="1" ht="16.5" customHeight="1" x14ac:dyDescent="0.2">
      <c r="A57" s="1150"/>
      <c r="B57" s="1151"/>
      <c r="C57" s="1481"/>
      <c r="D57" s="122" t="s">
        <v>302</v>
      </c>
      <c r="E57" s="141"/>
      <c r="F57" s="141"/>
      <c r="G57" s="141"/>
      <c r="H57" s="530"/>
      <c r="I57" s="530"/>
      <c r="J57" s="360" t="s">
        <v>274</v>
      </c>
      <c r="K57" s="1654">
        <f>SUM(M57:Q57)</f>
        <v>6.9901944444444446</v>
      </c>
      <c r="L57" s="1655"/>
      <c r="M57" s="1152">
        <f>SUM(T46:T56)</f>
        <v>3.0336875000000001</v>
      </c>
      <c r="N57" s="1153">
        <f>SUM(U46:U56)</f>
        <v>2.2998680555555557</v>
      </c>
      <c r="O57" s="1153">
        <f>SUM(V46:V56)</f>
        <v>1.6566388888888888</v>
      </c>
      <c r="P57" s="1153">
        <f>SUM(W46:W56)</f>
        <v>0</v>
      </c>
      <c r="Q57" s="1154">
        <f>SUM(X46:X56)</f>
        <v>0</v>
      </c>
      <c r="R57" s="542"/>
      <c r="S57" s="526"/>
      <c r="Y57" s="526"/>
      <c r="AE57" s="526"/>
      <c r="AF57" s="526"/>
      <c r="AG57" s="526"/>
    </row>
    <row r="58" spans="1:39" s="537" customFormat="1" ht="15" customHeight="1" x14ac:dyDescent="0.2">
      <c r="A58" s="1155"/>
      <c r="B58" s="1156"/>
      <c r="C58" s="142"/>
      <c r="D58" s="143"/>
      <c r="E58" s="989"/>
      <c r="F58" s="1157" t="s">
        <v>303</v>
      </c>
      <c r="G58" s="145">
        <v>80</v>
      </c>
      <c r="H58" s="989" t="s">
        <v>1047</v>
      </c>
      <c r="I58" s="989"/>
      <c r="J58" s="1158"/>
      <c r="K58" s="1656">
        <f>SUM(M58:Q58)</f>
        <v>12.58235</v>
      </c>
      <c r="L58" s="1657"/>
      <c r="M58" s="1159">
        <f>IF(M57+(M57*$G$58/100)&gt;M57+10,M57+10,M57+(M57*$G$58/100))</f>
        <v>5.4606374999999998</v>
      </c>
      <c r="N58" s="1160">
        <f>IF(N57+(N57*$G$58/100)&gt;(N57+10),N57+10,N57+(N57*$G$58/100))</f>
        <v>4.1397625000000007</v>
      </c>
      <c r="O58" s="1160">
        <f>IF(O57+(O57*$G$58/100)&gt;(O57+10),O57+10,O57+(O57*$G$58/100))</f>
        <v>2.9819499999999999</v>
      </c>
      <c r="P58" s="1160">
        <f>IF(P57+(P57*$G$58/100)&gt;(P57+10),P57+10,P57+(P57*$G$58/100))</f>
        <v>0</v>
      </c>
      <c r="Q58" s="1161">
        <f>IF(Q57+(Q57*$G$58/100)&gt;(Q57+10),Q57+10,Q57+(Q57*$G$58/100))</f>
        <v>0</v>
      </c>
      <c r="R58" s="542"/>
      <c r="S58" s="542"/>
      <c r="Y58" s="526"/>
      <c r="AE58" s="526"/>
      <c r="AF58" s="526"/>
      <c r="AG58" s="526"/>
    </row>
    <row r="59" spans="1:39" s="528" customFormat="1" ht="16.5" customHeight="1" x14ac:dyDescent="0.2">
      <c r="A59" s="78"/>
      <c r="B59" s="1162"/>
      <c r="C59" s="135"/>
      <c r="D59" s="151" t="s">
        <v>304</v>
      </c>
      <c r="E59" s="350"/>
      <c r="F59" s="350"/>
      <c r="G59" s="947" t="s">
        <v>247</v>
      </c>
      <c r="H59" s="687">
        <f>'Preise-Stammdaten'!$N$10</f>
        <v>19</v>
      </c>
      <c r="I59" s="350"/>
      <c r="J59" s="368" t="s">
        <v>266</v>
      </c>
      <c r="K59" s="1658"/>
      <c r="L59" s="1659">
        <f>SUM(L61:L63)</f>
        <v>0</v>
      </c>
      <c r="M59" s="1094">
        <f>SUM(T61:T63)</f>
        <v>0</v>
      </c>
      <c r="N59" s="1078">
        <f>SUM(U61:U63)</f>
        <v>0</v>
      </c>
      <c r="O59" s="1078">
        <f>SUM(V61:V63)</f>
        <v>0</v>
      </c>
      <c r="P59" s="1078">
        <f>SUM(W61:W63)</f>
        <v>0</v>
      </c>
      <c r="Q59" s="1079">
        <f>SUM(X61:X63)</f>
        <v>0</v>
      </c>
      <c r="R59" s="542"/>
      <c r="S59" s="542"/>
      <c r="Y59" s="526"/>
      <c r="AE59" s="526"/>
      <c r="AF59" s="526"/>
      <c r="AG59" s="526"/>
    </row>
    <row r="60" spans="1:39" s="528" customFormat="1" ht="16.5" customHeight="1" x14ac:dyDescent="0.2">
      <c r="A60" s="78"/>
      <c r="B60" s="1162"/>
      <c r="C60" s="132"/>
      <c r="D60" s="133" t="s">
        <v>305</v>
      </c>
      <c r="E60" s="134"/>
      <c r="F60" s="2606" t="s">
        <v>306</v>
      </c>
      <c r="G60" s="3064" t="s">
        <v>259</v>
      </c>
      <c r="H60" s="3061" t="s">
        <v>802</v>
      </c>
      <c r="I60" s="2609"/>
      <c r="J60" s="3062" t="s">
        <v>307</v>
      </c>
      <c r="K60" s="3065"/>
      <c r="L60" s="3066"/>
      <c r="M60" s="1143" t="s">
        <v>308</v>
      </c>
      <c r="N60" s="1144"/>
      <c r="O60" s="1144"/>
      <c r="P60" s="1144"/>
      <c r="Q60" s="1145"/>
      <c r="R60" s="542"/>
      <c r="S60" s="542"/>
      <c r="Y60" s="526"/>
      <c r="AE60" s="526"/>
      <c r="AF60" s="526"/>
      <c r="AG60" s="526"/>
    </row>
    <row r="61" spans="1:39" s="528" customFormat="1" ht="15" customHeight="1" x14ac:dyDescent="0.2">
      <c r="A61" s="78"/>
      <c r="B61" s="1162"/>
      <c r="C61" s="2613"/>
      <c r="D61" s="2614"/>
      <c r="E61" s="3098"/>
      <c r="F61" s="3098"/>
      <c r="G61" s="3060"/>
      <c r="H61" s="3063">
        <f>G61*(100+$H$59)/100</f>
        <v>0</v>
      </c>
      <c r="I61" s="2616"/>
      <c r="J61" s="2617">
        <f>SUM(M61:Q61)</f>
        <v>0</v>
      </c>
      <c r="K61" s="3100"/>
      <c r="L61" s="2619">
        <f>J61*H61</f>
        <v>0</v>
      </c>
      <c r="M61" s="3111"/>
      <c r="N61" s="3088"/>
      <c r="O61" s="3088"/>
      <c r="P61" s="3088"/>
      <c r="Q61" s="2620"/>
      <c r="R61" s="542"/>
      <c r="S61" s="542"/>
      <c r="T61" s="594">
        <f>IF(M61&lt;&gt;0,M61*$H61,0)</f>
        <v>0</v>
      </c>
      <c r="U61" s="594">
        <f t="shared" ref="U61:X63" si="17">IF(N61&lt;&gt;0,N61*$H61,0)</f>
        <v>0</v>
      </c>
      <c r="V61" s="594">
        <f t="shared" si="17"/>
        <v>0</v>
      </c>
      <c r="W61" s="594">
        <f t="shared" si="17"/>
        <v>0</v>
      </c>
      <c r="X61" s="594">
        <f t="shared" si="17"/>
        <v>0</v>
      </c>
      <c r="Y61" s="526"/>
      <c r="Z61" s="266"/>
      <c r="AA61" s="266"/>
      <c r="AB61" s="266"/>
      <c r="AC61" s="266"/>
      <c r="AD61" s="267"/>
      <c r="AE61" s="526"/>
      <c r="AF61" s="526"/>
      <c r="AG61" s="526"/>
      <c r="AI61" s="266"/>
      <c r="AJ61" s="266"/>
      <c r="AK61" s="266"/>
      <c r="AL61" s="267"/>
    </row>
    <row r="62" spans="1:39" s="528" customFormat="1" ht="15" customHeight="1" x14ac:dyDescent="0.2">
      <c r="A62" s="79"/>
      <c r="B62" s="1162"/>
      <c r="C62" s="354"/>
      <c r="D62" s="3314"/>
      <c r="E62" s="3101"/>
      <c r="F62" s="3101"/>
      <c r="G62" s="3316"/>
      <c r="H62" s="932"/>
      <c r="I62" s="933"/>
      <c r="J62" s="3068"/>
      <c r="K62" s="2305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7"/>
        <v>0</v>
      </c>
      <c r="V62" s="594">
        <f t="shared" si="17"/>
        <v>0</v>
      </c>
      <c r="W62" s="594">
        <f t="shared" si="17"/>
        <v>0</v>
      </c>
      <c r="X62" s="594">
        <f t="shared" si="17"/>
        <v>0</v>
      </c>
      <c r="Y62" s="526"/>
      <c r="Z62" s="3058"/>
      <c r="AA62" s="3058"/>
      <c r="AB62" s="3058"/>
      <c r="AC62" s="3058"/>
      <c r="AD62" s="3059"/>
      <c r="AE62" s="526"/>
      <c r="AF62" s="526"/>
      <c r="AG62" s="526"/>
      <c r="AI62" s="3058"/>
      <c r="AJ62" s="3058"/>
      <c r="AK62" s="3058"/>
      <c r="AL62" s="3059"/>
    </row>
    <row r="63" spans="1:39" s="528" customFormat="1" ht="15" hidden="1" customHeight="1" x14ac:dyDescent="0.2">
      <c r="A63" s="82"/>
      <c r="B63" s="941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7">
        <f>IF(K24=0,0,K36/Z67)*K24</f>
        <v>0</v>
      </c>
      <c r="L63" s="3119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7"/>
        <v>0</v>
      </c>
      <c r="V63" s="594">
        <f t="shared" si="17"/>
        <v>0</v>
      </c>
      <c r="W63" s="594">
        <f t="shared" si="17"/>
        <v>0</v>
      </c>
      <c r="X63" s="594">
        <f t="shared" si="17"/>
        <v>0</v>
      </c>
      <c r="Y63" s="526"/>
      <c r="Z63" s="268"/>
      <c r="AA63" s="268"/>
      <c r="AB63" s="268"/>
      <c r="AC63" s="268"/>
      <c r="AD63" s="269"/>
      <c r="AE63" s="526"/>
      <c r="AF63" s="526"/>
      <c r="AG63" s="526"/>
      <c r="AI63" s="268"/>
      <c r="AJ63" s="268"/>
      <c r="AK63" s="268"/>
      <c r="AL63" s="269"/>
    </row>
    <row r="64" spans="1:39" s="529" customFormat="1" ht="16.5" customHeight="1" x14ac:dyDescent="0.2">
      <c r="A64" s="1109"/>
      <c r="B64" s="1110"/>
      <c r="C64" s="353"/>
      <c r="D64" s="151" t="s">
        <v>384</v>
      </c>
      <c r="E64" s="151"/>
      <c r="F64" s="151"/>
      <c r="G64" s="151"/>
      <c r="H64" s="1069"/>
      <c r="I64" s="1069"/>
      <c r="J64" s="368" t="s">
        <v>266</v>
      </c>
      <c r="K64" s="1662"/>
      <c r="L64" s="1634">
        <f>K66*$G66</f>
        <v>0</v>
      </c>
      <c r="M64" s="1078">
        <f>IF(M66&lt;&gt;0,M66*$G66,0)</f>
        <v>0</v>
      </c>
      <c r="N64" s="1078">
        <f>IF(N66&lt;&gt;0,N66*$G66,0)</f>
        <v>0</v>
      </c>
      <c r="O64" s="1078">
        <f>IF(O66&lt;&gt;0,O66*$G66,0)</f>
        <v>0</v>
      </c>
      <c r="P64" s="1078">
        <f>IF(P66&lt;&gt;0,P66*$G66,0)</f>
        <v>0</v>
      </c>
      <c r="Q64" s="1079">
        <f>IF(Q66&lt;&gt;0,Q66*$G66,0)</f>
        <v>0</v>
      </c>
      <c r="R64" s="542"/>
      <c r="S64" s="542"/>
      <c r="Y64" s="526"/>
      <c r="AE64" s="526"/>
      <c r="AF64" s="526"/>
      <c r="AG64" s="526"/>
    </row>
    <row r="65" spans="1:38" s="529" customFormat="1" ht="16.5" customHeight="1" x14ac:dyDescent="0.2">
      <c r="A65" s="1109"/>
      <c r="B65" s="1110"/>
      <c r="C65" s="121"/>
      <c r="D65" s="122"/>
      <c r="E65" s="122"/>
      <c r="F65" s="122"/>
      <c r="G65" s="526"/>
      <c r="H65" s="530"/>
      <c r="I65" s="530"/>
      <c r="J65" s="25"/>
      <c r="K65" s="1663"/>
      <c r="L65" s="1664"/>
      <c r="M65" s="1163" t="s">
        <v>385</v>
      </c>
      <c r="N65" s="1164"/>
      <c r="O65" s="1164"/>
      <c r="P65" s="1164"/>
      <c r="Q65" s="1165"/>
      <c r="R65" s="542"/>
      <c r="S65" s="542"/>
      <c r="W65" s="529" t="s">
        <v>542</v>
      </c>
      <c r="Y65" s="526"/>
      <c r="Z65" s="529" t="s">
        <v>1159</v>
      </c>
      <c r="AE65" s="526"/>
      <c r="AF65" s="526"/>
      <c r="AG65" s="526"/>
    </row>
    <row r="66" spans="1:38" s="529" customFormat="1" ht="15" customHeight="1" x14ac:dyDescent="0.2">
      <c r="A66" s="1167"/>
      <c r="B66" s="1168"/>
      <c r="C66" s="171"/>
      <c r="D66" s="147"/>
      <c r="E66" s="143"/>
      <c r="F66" s="1169" t="s">
        <v>386</v>
      </c>
      <c r="G66" s="208">
        <v>10</v>
      </c>
      <c r="H66" s="1169"/>
      <c r="I66" s="1169"/>
      <c r="J66" s="549" t="s">
        <v>274</v>
      </c>
      <c r="K66" s="1665">
        <f>SUM(M66:Q66)</f>
        <v>0</v>
      </c>
      <c r="L66" s="1666"/>
      <c r="M66" s="595"/>
      <c r="N66" s="596"/>
      <c r="O66" s="596"/>
      <c r="P66" s="596"/>
      <c r="Q66" s="597"/>
      <c r="R66" s="542"/>
      <c r="S66" s="542"/>
      <c r="T66" s="526"/>
      <c r="U66" s="526"/>
      <c r="V66" s="526"/>
      <c r="W66" s="3041">
        <f>K10/100</f>
        <v>0.18</v>
      </c>
      <c r="X66" s="526"/>
      <c r="Y66" s="526"/>
      <c r="Z66" s="274" t="s">
        <v>356</v>
      </c>
      <c r="AA66" s="274" t="s">
        <v>563</v>
      </c>
      <c r="AB66" s="274" t="s">
        <v>564</v>
      </c>
      <c r="AC66" s="275"/>
      <c r="AE66" s="526"/>
      <c r="AF66" s="526"/>
      <c r="AG66" s="526"/>
      <c r="AI66" s="274"/>
      <c r="AJ66" s="274"/>
      <c r="AK66" s="274"/>
      <c r="AL66" s="275"/>
    </row>
    <row r="67" spans="1:38" ht="16.5" customHeight="1" x14ac:dyDescent="0.2">
      <c r="A67" s="1599" t="s">
        <v>387</v>
      </c>
      <c r="B67" s="1098"/>
      <c r="C67" s="1071"/>
      <c r="D67" s="1263" t="s">
        <v>388</v>
      </c>
      <c r="E67" s="1262"/>
      <c r="F67" s="1383"/>
      <c r="G67" s="1157"/>
      <c r="H67" s="1382"/>
      <c r="I67" s="1471"/>
      <c r="K67" s="1667"/>
      <c r="L67" s="1629">
        <f t="shared" ref="L67:Q67" si="18">SUM(L69:L70)</f>
        <v>0</v>
      </c>
      <c r="M67" s="1094">
        <f t="shared" si="18"/>
        <v>0</v>
      </c>
      <c r="N67" s="1078">
        <f t="shared" si="18"/>
        <v>0</v>
      </c>
      <c r="O67" s="1078">
        <f t="shared" si="18"/>
        <v>0</v>
      </c>
      <c r="P67" s="1078">
        <f t="shared" si="18"/>
        <v>0</v>
      </c>
      <c r="Q67" s="1079">
        <f t="shared" si="18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38" ht="16.5" customHeight="1" x14ac:dyDescent="0.2">
      <c r="A68" s="1097" t="s">
        <v>389</v>
      </c>
      <c r="B68" s="1098"/>
      <c r="C68" s="1043"/>
      <c r="D68" s="1460" t="s">
        <v>390</v>
      </c>
      <c r="E68" s="1444"/>
      <c r="F68" s="1468"/>
      <c r="G68" s="1470"/>
      <c r="H68" s="1455" t="s">
        <v>4</v>
      </c>
      <c r="I68" s="1456" t="s">
        <v>961</v>
      </c>
      <c r="K68" s="1668"/>
      <c r="L68" s="1669"/>
      <c r="M68" s="1163" t="s">
        <v>962</v>
      </c>
      <c r="N68" s="1164"/>
      <c r="O68" s="1164"/>
      <c r="P68" s="1164"/>
      <c r="Q68" s="1165"/>
      <c r="W68" s="3123">
        <v>0.74</v>
      </c>
      <c r="Z68" s="530" t="s">
        <v>599</v>
      </c>
    </row>
    <row r="69" spans="1:38" s="528" customFormat="1" ht="15" customHeight="1" x14ac:dyDescent="0.2">
      <c r="A69" s="78"/>
      <c r="B69" s="937"/>
      <c r="C69" s="1378"/>
      <c r="D69" s="939">
        <f>IF($B69=0,0,VLOOKUP($B69,'Preise-Stammdaten'!$B$61:'Preise-Stammdaten'!$N$66,2))</f>
        <v>0</v>
      </c>
      <c r="E69" s="931"/>
      <c r="F69" s="939"/>
      <c r="G69" s="1473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670"/>
      <c r="L69" s="1671">
        <f>SUM(M69:Q69)</f>
        <v>0</v>
      </c>
      <c r="M69" s="1386">
        <f>IF(AND($B69&lt;3,V$5=1),M$7*$I69/100,IF(AND($B69=3,V$5=3),M$7*$I69/100,0))</f>
        <v>0</v>
      </c>
      <c r="N69" s="933">
        <f t="shared" ref="N69:P70" si="19">IF(AND($B69&lt;3,W$5=1),N$7*$I69/100,IF(AND($B69=3,W$5=3),N$7*$I69/100,0))</f>
        <v>0</v>
      </c>
      <c r="O69" s="933">
        <f t="shared" si="19"/>
        <v>0</v>
      </c>
      <c r="P69" s="933">
        <f t="shared" si="19"/>
        <v>0</v>
      </c>
      <c r="Q69" s="934">
        <f>IF(AND($B69&lt;3,Z$5=1),Q7*$I69/100,IF(AND($B69=3,Z$5=3),Q7*$I69/100,0))</f>
        <v>0</v>
      </c>
      <c r="R69" s="542"/>
      <c r="S69" s="542"/>
      <c r="Y69" s="526"/>
      <c r="AE69" s="526"/>
      <c r="AF69" s="526"/>
      <c r="AG69" s="526"/>
    </row>
    <row r="70" spans="1:38" s="528" customFormat="1" ht="15" customHeight="1" x14ac:dyDescent="0.2">
      <c r="A70" s="78"/>
      <c r="B70" s="937"/>
      <c r="C70" s="1378"/>
      <c r="D70" s="939">
        <f>IF($B70=0,0,VLOOKUP($B70,'Preise-Stammdaten'!$B$61:'Preise-Stammdaten'!$N$66,2))</f>
        <v>0</v>
      </c>
      <c r="E70" s="931"/>
      <c r="F70" s="939"/>
      <c r="G70" s="1473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672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9"/>
        <v>0</v>
      </c>
      <c r="O70" s="933">
        <f t="shared" si="19"/>
        <v>0</v>
      </c>
      <c r="P70" s="933">
        <f t="shared" si="19"/>
        <v>0</v>
      </c>
      <c r="Q70" s="934">
        <f>IF(AND($B70&lt;3,Z$5=1),Q$7*$I70/100,IF(AND($B70=3,Z$5=3),Q$7*$I70/100,0))</f>
        <v>0</v>
      </c>
      <c r="R70" s="542"/>
      <c r="S70" s="542"/>
      <c r="Y70" s="526"/>
      <c r="AE70" s="526"/>
      <c r="AF70" s="526"/>
      <c r="AG70" s="526"/>
    </row>
    <row r="71" spans="1:38" s="528" customFormat="1" ht="15" customHeight="1" x14ac:dyDescent="0.2">
      <c r="A71" s="81"/>
      <c r="B71" s="1392"/>
      <c r="C71" s="1463"/>
      <c r="D71" s="1464"/>
      <c r="E71" s="1465"/>
      <c r="F71" s="1464"/>
      <c r="G71" s="1467"/>
      <c r="H71" s="1448"/>
      <c r="I71" s="1449"/>
      <c r="J71" s="1387"/>
      <c r="K71" s="1672"/>
      <c r="L71" s="1661"/>
      <c r="M71" s="1475"/>
      <c r="N71" s="1476"/>
      <c r="O71" s="1476"/>
      <c r="P71" s="1476"/>
      <c r="Q71" s="1451"/>
      <c r="R71" s="542"/>
      <c r="S71" s="542"/>
      <c r="Y71" s="526"/>
      <c r="AE71" s="526"/>
      <c r="AF71" s="526"/>
      <c r="AG71" s="526"/>
    </row>
    <row r="72" spans="1:38" s="529" customFormat="1" ht="16.5" customHeight="1" x14ac:dyDescent="0.2">
      <c r="A72" s="1167"/>
      <c r="B72" s="1168"/>
      <c r="C72" s="171"/>
      <c r="D72" s="143" t="s">
        <v>573</v>
      </c>
      <c r="E72" s="143"/>
      <c r="F72" s="989"/>
      <c r="G72" s="989"/>
      <c r="H72" s="989"/>
      <c r="I72" s="989"/>
      <c r="J72" s="157"/>
      <c r="K72" s="1171" t="s">
        <v>796</v>
      </c>
      <c r="L72" s="724">
        <f>'Preise-Stammdaten'!N26</f>
        <v>1.5</v>
      </c>
      <c r="M72" s="1128"/>
      <c r="N72" s="1026"/>
      <c r="O72" s="1026"/>
      <c r="P72" s="1157" t="s">
        <v>963</v>
      </c>
      <c r="Q72" s="772">
        <v>5</v>
      </c>
      <c r="R72" s="542"/>
      <c r="S72" s="542"/>
      <c r="Y72" s="526"/>
      <c r="AE72" s="526"/>
      <c r="AF72" s="526"/>
      <c r="AG72" s="526"/>
    </row>
    <row r="75" spans="1:38" x14ac:dyDescent="0.2">
      <c r="D75" s="542" t="s">
        <v>1202</v>
      </c>
    </row>
    <row r="77" spans="1:38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0">K16</f>
        <v>0</v>
      </c>
      <c r="L77" s="3321">
        <f t="shared" si="20"/>
        <v>0</v>
      </c>
      <c r="M77" s="3321">
        <f t="shared" si="20"/>
        <v>0</v>
      </c>
      <c r="N77" s="3321">
        <f t="shared" si="20"/>
        <v>0</v>
      </c>
      <c r="O77" s="3321">
        <f t="shared" si="20"/>
        <v>0</v>
      </c>
      <c r="P77" s="3321">
        <f t="shared" si="20"/>
        <v>0</v>
      </c>
      <c r="Q77" s="3321">
        <f t="shared" si="20"/>
        <v>0</v>
      </c>
    </row>
    <row r="78" spans="1:38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38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38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</sheetData>
  <sheetProtection sheet="1" objects="1" scenarios="1"/>
  <mergeCells count="4">
    <mergeCell ref="B1:D1"/>
    <mergeCell ref="K2:Q2"/>
    <mergeCell ref="H3:Q3"/>
    <mergeCell ref="K16:L16"/>
  </mergeCells>
  <phoneticPr fontId="0" type="noConversion"/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15" orientation="portrait" useFirstPageNumber="1" horizontalDpi="300" verticalDpi="300" r:id="rId1"/>
  <headerFooter alignWithMargins="0">
    <oddFooter>&amp;L&amp;12LEL Schwäbisch Gmünd (Abtlg. II)
LAZBW Aulendorf&amp;C&amp;12 20&amp;9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9525</xdr:rowOff>
                  </from>
                  <to>
                    <xdr:col>6</xdr:col>
                    <xdr:colOff>0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19050</xdr:rowOff>
                  </from>
                  <to>
                    <xdr:col>6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19050</xdr:rowOff>
                  </from>
                  <to>
                    <xdr:col>6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28575</xdr:rowOff>
                  </from>
                  <to>
                    <xdr:col>6</xdr:col>
                    <xdr:colOff>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38100</xdr:rowOff>
                  </from>
                  <to>
                    <xdr:col>6</xdr:col>
                    <xdr:colOff>0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38100</xdr:rowOff>
                  </from>
                  <to>
                    <xdr:col>6</xdr:col>
                    <xdr:colOff>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28575</xdr:rowOff>
                  </from>
                  <to>
                    <xdr:col>6</xdr:col>
                    <xdr:colOff>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28575</xdr:rowOff>
                  </from>
                  <to>
                    <xdr:col>6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8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28575</xdr:rowOff>
                  </from>
                  <to>
                    <xdr:col>6</xdr:col>
                    <xdr:colOff>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9" name="Drop Down 17">
              <controlPr defaultSize="0" autoLine="0" autoPict="0">
                <anchor moveWithCells="1">
                  <from>
                    <xdr:col>2</xdr:col>
                    <xdr:colOff>47625</xdr:colOff>
                    <xdr:row>55</xdr:row>
                    <xdr:rowOff>9525</xdr:rowOff>
                  </from>
                  <to>
                    <xdr:col>6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00B0F0"/>
  </sheetPr>
  <dimension ref="A1:AS98"/>
  <sheetViews>
    <sheetView showGridLines="0" showZeros="0" zoomScaleNormal="100" workbookViewId="0">
      <pane xSplit="13" ySplit="5" topLeftCell="N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1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'1)Grünf. 3Nutz.(a)'!H2</f>
        <v>2021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'1)Grünf. 3Nutz.(a)'!K2</f>
        <v>Wiese; 3 Nutzungen (3 x Grünfutter)</v>
      </c>
      <c r="S2"/>
      <c r="T2" s="30">
        <v>20</v>
      </c>
      <c r="U2" s="30"/>
      <c r="V2" s="3662">
        <f>T2*U2</f>
        <v>0</v>
      </c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1:45" s="29" customFormat="1" ht="28.5" customHeight="1" thickBot="1" x14ac:dyDescent="0.25">
      <c r="B3" s="4297"/>
      <c r="C3" s="2509"/>
      <c r="D3" s="2497"/>
      <c r="E3" s="2499" t="s">
        <v>493</v>
      </c>
      <c r="F3" s="4303">
        <f>Deckbl!$D$27</f>
        <v>44635</v>
      </c>
      <c r="G3" s="4303"/>
      <c r="H3" s="1779"/>
      <c r="I3" s="4280" t="str">
        <f>'1)Grünf. 3Nutz.(a)'!H3</f>
        <v>3 Nutzungen, ungünstiger Standort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1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1:45" s="1" customFormat="1" ht="20.45" customHeight="1" x14ac:dyDescent="0.2">
      <c r="A5" s="177"/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'1)Grünf. 3Nutz.(a)'!M5</f>
        <v>Grün</v>
      </c>
      <c r="O5" s="1568" t="str">
        <f>'1)Grünf. 3Nutz.(a)'!N5</f>
        <v>Grün</v>
      </c>
      <c r="P5" s="1568" t="str">
        <f>'1)Grünf. 3Nutz.(a)'!O5</f>
        <v>Grün</v>
      </c>
      <c r="Q5" s="1568" t="str">
        <f>'1)Grünf. 3Nutz.(a)'!P5</f>
        <v>Grün</v>
      </c>
      <c r="R5" s="1573" t="str">
        <f>'1)Grünf. 3Nutz.(a)'!Q5</f>
        <v>Grün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1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'1)Grünf. 3Nutz.(a)'!K6</f>
        <v>75</v>
      </c>
      <c r="N6" s="1821">
        <f>'1)Grünf. 3Nutz.(a)'!M6</f>
        <v>33.75</v>
      </c>
      <c r="O6" s="1821">
        <f>'1)Grünf. 3Nutz.(a)'!N6</f>
        <v>26.25</v>
      </c>
      <c r="P6" s="1821">
        <f>'1)Grünf. 3Nutz.(a)'!O6</f>
        <v>15</v>
      </c>
      <c r="Q6" s="1821">
        <f>'1)Grünf. 3Nutz.(a)'!P6</f>
        <v>0</v>
      </c>
      <c r="R6" s="1822">
        <f>'1)Grünf. 3Nutz.(a)'!Q6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1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'1)Grünf. 3Nutz.(a)'!K14</f>
        <v>71.25</v>
      </c>
      <c r="N7" s="452">
        <f>'1)Grünf. 3Nutz.(a)'!M14</f>
        <v>32.0625</v>
      </c>
      <c r="O7" s="452">
        <f>'1)Grünf. 3Nutz.(a)'!N14</f>
        <v>24.9375</v>
      </c>
      <c r="P7" s="452">
        <f>'1)Grünf. 3Nutz.(a)'!O14</f>
        <v>14.25</v>
      </c>
      <c r="Q7" s="452">
        <f>'1)Grünf. 3Nutz.(a)'!P14</f>
        <v>0</v>
      </c>
      <c r="R7" s="1744">
        <f>'1)Grünf. 3Nutz.(a)'!Q14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1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'1)Grünf. 3Nutz.(a)'!K15</f>
        <v>395.83333333333337</v>
      </c>
      <c r="N8" s="473">
        <f>'1)Grünf. 3Nutz.(a)'!M15</f>
        <v>178.125</v>
      </c>
      <c r="O8" s="473">
        <f>'1)Grünf. 3Nutz.(a)'!N15</f>
        <v>138.54166666666669</v>
      </c>
      <c r="P8" s="473">
        <f>'1)Grünf. 3Nutz.(a)'!O15</f>
        <v>79.166666666666657</v>
      </c>
      <c r="Q8" s="473">
        <f>'1)Grünf. 3Nutz.(a)'!P15</f>
        <v>0</v>
      </c>
      <c r="R8" s="1583">
        <f>'1)Grünf. 3Nutz.(a)'!Q15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1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'1)Grünf. 3Nutz.(a)'!K17</f>
        <v>71.25</v>
      </c>
      <c r="N9" s="452">
        <f>'1)Grünf. 3Nutz.(a)'!M17</f>
        <v>32.0625</v>
      </c>
      <c r="O9" s="452">
        <f>'1)Grünf. 3Nutz.(a)'!N17</f>
        <v>24.9375</v>
      </c>
      <c r="P9" s="452">
        <f>'1)Grünf. 3Nutz.(a)'!O17</f>
        <v>14.25</v>
      </c>
      <c r="Q9" s="452">
        <f>'1)Grünf. 3Nutz.(a)'!P17</f>
        <v>0</v>
      </c>
      <c r="R9" s="1744">
        <f>'1)Grünf. 3Nutz.(a)'!Q17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1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'1)Grünf. 3Nutz.(a)'!K18</f>
        <v>395.83333333333337</v>
      </c>
      <c r="N10" s="1748">
        <f>'1)Grünf. 3Nutz.(a)'!M18</f>
        <v>178.125</v>
      </c>
      <c r="O10" s="1748">
        <f>'1)Grünf. 3Nutz.(a)'!N18</f>
        <v>138.54166666666669</v>
      </c>
      <c r="P10" s="1748">
        <f>'1)Grünf. 3Nutz.(a)'!O18</f>
        <v>79.166666666666657</v>
      </c>
      <c r="Q10" s="1748">
        <f>'1)Grünf. 3Nutz.(a)'!P18</f>
        <v>0</v>
      </c>
      <c r="R10" s="1745">
        <f>'1)Grünf. 3Nutz.(a)'!Q18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1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'1)Grünf. 3Nutz.(a)'!K19</f>
        <v>0</v>
      </c>
      <c r="N11" s="2095">
        <f>'1)Grünf. 3Nutz.(a)'!L19</f>
        <v>0</v>
      </c>
      <c r="O11" s="2095">
        <f>'1)Grünf. 3Nutz.(a)'!M19</f>
        <v>0</v>
      </c>
      <c r="P11" s="2095">
        <f>'1)Grünf. 3Nutz.(a)'!N19</f>
        <v>0</v>
      </c>
      <c r="Q11" s="2095">
        <f>'1)Grünf. 3Nutz.(a)'!O19</f>
        <v>0</v>
      </c>
      <c r="R11" s="2096">
        <f>'1)Grünf. 3Nutz.(a)'!P19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1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'1)Grünf. 3Nutz.(a)'!K22</f>
        <v>4310.625</v>
      </c>
      <c r="N12" s="1176">
        <f>'1)Grünf. 3Nutz.(a)'!M22</f>
        <v>1987.875</v>
      </c>
      <c r="O12" s="1176">
        <f>'1)Grünf. 3Nutz.(a)'!N22</f>
        <v>1496.25</v>
      </c>
      <c r="P12" s="1176">
        <f>'1)Grünf. 3Nutz.(a)'!O22</f>
        <v>826.49999999999989</v>
      </c>
      <c r="Q12" s="1176">
        <f>'1)Grünf. 3Nutz.(a)'!P22</f>
        <v>0</v>
      </c>
      <c r="R12" s="1747">
        <f>'1)Grünf. 3Nutz.(a)'!Q22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1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'1)Grünf. 3Nutz.(a)'!K23</f>
        <v>7184.375</v>
      </c>
      <c r="N13" s="2065">
        <f>'1)Grünf. 3Nutz.(a)'!M23</f>
        <v>3313.125</v>
      </c>
      <c r="O13" s="2065">
        <f>'1)Grünf. 3Nutz.(a)'!N23</f>
        <v>2493.75</v>
      </c>
      <c r="P13" s="2065">
        <f>'1)Grünf. 3Nutz.(a)'!O23</f>
        <v>1377.5</v>
      </c>
      <c r="Q13" s="2065">
        <f>'1)Grünf. 3Nutz.(a)'!P23</f>
        <v>0</v>
      </c>
      <c r="R13" s="2067">
        <f>'1)Grünf. 3Nutz.(a)'!Q23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1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1:45" s="1" customFormat="1" ht="16.5" customHeight="1" x14ac:dyDescent="0.2">
      <c r="B15" s="1783"/>
      <c r="C15" s="3327">
        <v>11</v>
      </c>
      <c r="D15" s="3328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1:45" s="1" customFormat="1" ht="16.5" customHeight="1" x14ac:dyDescent="0.2">
      <c r="B16" s="1783"/>
      <c r="C16" s="3332">
        <f>C15+1</f>
        <v>12</v>
      </c>
      <c r="D16" s="288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'1)Grünf. 3Nutz.(a)'!L32</f>
        <v>23.54</v>
      </c>
      <c r="N19" s="2071">
        <f>'1)Grünf. 3Nutz.(a)'!M32</f>
        <v>10.593</v>
      </c>
      <c r="O19" s="2071">
        <f>'1)Grünf. 3Nutz.(a)'!N32</f>
        <v>8.238999999999999</v>
      </c>
      <c r="P19" s="2071">
        <f>'1)Grünf. 3Nutz.(a)'!O32</f>
        <v>4.7079999999999993</v>
      </c>
      <c r="Q19" s="2071">
        <f>'1)Grünf. 3Nutz.(a)'!P32</f>
        <v>0</v>
      </c>
      <c r="R19" s="2073">
        <f>'1)Grünf. 3Nutz.(a)'!Q32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'1)Grünf. 3Nutz.(a)'!L34</f>
        <v>510.35356458333325</v>
      </c>
      <c r="N20" s="285">
        <f>'1)Grünf. 3Nutz.(a)'!M34</f>
        <v>229.65910406249998</v>
      </c>
      <c r="O20" s="285">
        <f>'1)Grünf. 3Nutz.(a)'!N34</f>
        <v>178.62374760416662</v>
      </c>
      <c r="P20" s="285">
        <f>'1)Grünf. 3Nutz.(a)'!O34</f>
        <v>102.07071291666665</v>
      </c>
      <c r="Q20" s="285">
        <f>'1)Grünf. 3Nutz.(a)'!P34</f>
        <v>0</v>
      </c>
      <c r="R20" s="1574">
        <f>'1)Grünf. 3Nutz.(a)'!Q34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'1)Grünf. 3Nutz.(a)'!L40</f>
        <v>0</v>
      </c>
      <c r="N21" s="285">
        <f>'1)Grünf. 3Nutz.(a)'!M40</f>
        <v>0</v>
      </c>
      <c r="O21" s="285">
        <f>'1)Grünf. 3Nutz.(a)'!N40</f>
        <v>0</v>
      </c>
      <c r="P21" s="285">
        <f>'1)Grünf. 3Nutz.(a)'!O40</f>
        <v>0</v>
      </c>
      <c r="Q21" s="285">
        <f>'1)Grünf. 3Nutz.(a)'!P40</f>
        <v>0</v>
      </c>
      <c r="R21" s="1574">
        <f>'1)Grünf. 3Nutz.(a)'!Q40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'1)Grünf. 3Nutz.(a)'!L67</f>
        <v>0</v>
      </c>
      <c r="N23" s="285">
        <f>'1)Grünf. 3Nutz.(a)'!M67</f>
        <v>0</v>
      </c>
      <c r="O23" s="285">
        <f>'1)Grünf. 3Nutz.(a)'!N67</f>
        <v>0</v>
      </c>
      <c r="P23" s="285">
        <f>'1)Grünf. 3Nutz.(a)'!O67</f>
        <v>0</v>
      </c>
      <c r="Q23" s="285">
        <f>'1)Grünf. 3Nutz.(a)'!P67</f>
        <v>0</v>
      </c>
      <c r="R23" s="1574">
        <f>'1)Grünf. 3Nutz.(a)'!Q67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'1)Grünf. 3Nutz.(a)'!L43</f>
        <v>256.80413404996</v>
      </c>
      <c r="N24" s="285">
        <f>'1)Grünf. 3Nutz.(a)'!M43</f>
        <v>115.17303099092001</v>
      </c>
      <c r="O24" s="285">
        <f>'1)Grünf. 3Nutz.(a)'!N43</f>
        <v>86.718245154520019</v>
      </c>
      <c r="P24" s="285">
        <f>'1)Grünf. 3Nutz.(a)'!O43</f>
        <v>54.912857904519996</v>
      </c>
      <c r="Q24" s="285">
        <f>'1)Grünf. 3Nutz.(a)'!P43</f>
        <v>0</v>
      </c>
      <c r="R24" s="1574">
        <f>'1)Grünf. 3Nutz.(a)'!Q43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'1)Grünf. 3Nutz.(a)'!L59</f>
        <v>0</v>
      </c>
      <c r="N25" s="285">
        <f>'1)Grünf. 3Nutz.(a)'!M59</f>
        <v>0</v>
      </c>
      <c r="O25" s="285">
        <f>'1)Grünf. 3Nutz.(a)'!N59</f>
        <v>0</v>
      </c>
      <c r="P25" s="285">
        <f>'1)Grünf. 3Nutz.(a)'!O59</f>
        <v>0</v>
      </c>
      <c r="Q25" s="285">
        <f>'1)Grünf. 3Nutz.(a)'!P59</f>
        <v>0</v>
      </c>
      <c r="R25" s="1574">
        <f>'1)Grünf. 3Nutz.(a)'!Q59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'1)Grünf. 3Nutz.(a)'!L64</f>
        <v>0</v>
      </c>
      <c r="N26" s="1979">
        <f>'1)Grünf. 3Nutz.(a)'!M64</f>
        <v>0</v>
      </c>
      <c r="O26" s="1979">
        <f>'1)Grünf. 3Nutz.(a)'!N64</f>
        <v>0</v>
      </c>
      <c r="P26" s="1979">
        <f>'1)Grünf. 3Nutz.(a)'!O64</f>
        <v>0</v>
      </c>
      <c r="Q26" s="1979">
        <f>'1)Grünf. 3Nutz.(a)'!P64</f>
        <v>0</v>
      </c>
      <c r="R26" s="1981">
        <f>'1)Grünf. 3Nutz.(a)'!Q64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790.69769863329327</v>
      </c>
      <c r="N27" s="2407">
        <f t="shared" si="4"/>
        <v>355.42513505341998</v>
      </c>
      <c r="O27" s="2407">
        <f t="shared" si="4"/>
        <v>273.58099275868665</v>
      </c>
      <c r="P27" s="2407">
        <f t="shared" si="4"/>
        <v>161.69157082118664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-790.69769863329327</v>
      </c>
      <c r="N28" s="1777">
        <f t="shared" si="5"/>
        <v>-355.42513505341998</v>
      </c>
      <c r="O28" s="1777">
        <f t="shared" si="5"/>
        <v>-273.58099275868665</v>
      </c>
      <c r="P28" s="1777">
        <f t="shared" si="5"/>
        <v>-161.69157082118664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-0.18342994313662017</v>
      </c>
      <c r="N29" s="1874">
        <f t="shared" si="7"/>
        <v>-0.17879652143792743</v>
      </c>
      <c r="O29" s="1874">
        <f t="shared" si="7"/>
        <v>-0.18284443960480309</v>
      </c>
      <c r="P29" s="1874">
        <f t="shared" si="7"/>
        <v>-0.19563408447814479</v>
      </c>
      <c r="Q29" s="1874">
        <f t="shared" si="7"/>
        <v>0</v>
      </c>
      <c r="R29" s="2410">
        <f t="shared" si="7"/>
        <v>0</v>
      </c>
      <c r="U29" s="3297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121.5</v>
      </c>
      <c r="O30" s="2097">
        <f t="shared" si="8"/>
        <v>94.5</v>
      </c>
      <c r="P30" s="2097">
        <f t="shared" si="8"/>
        <v>54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'1)Grünf. 3Nutz.(a)'!L25</f>
        <v>0</v>
      </c>
      <c r="V30" s="3308">
        <f>'1)Grünf. 3Nutz.(a)'!M25</f>
        <v>0</v>
      </c>
      <c r="W30" s="3308">
        <f>'1)Grünf. 3Nutz.(a)'!N25</f>
        <v>0</v>
      </c>
      <c r="X30" s="3308">
        <f>'1)Grünf. 3Nutz.(a)'!O25</f>
        <v>0</v>
      </c>
      <c r="Y30" s="3308">
        <f>'1)Grünf. 3Nutz.(a)'!P25</f>
        <v>0</v>
      </c>
      <c r="Z30" s="3308">
        <f>'1)Grünf. 3Nutz.(a)'!Q25</f>
        <v>0</v>
      </c>
      <c r="AA30">
        <f>'1)Grünf. 3Nutz.(a)'!R25+'1)Grünf. 3Nutz.(a)'!R30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M27*'1)Grünf. 3Nutz.(a)'!$L$72*'1)Grünf. 3Nutz.(a)'!$Q$72/12/100</f>
        <v>4.9418606164580829</v>
      </c>
      <c r="N31" s="1979">
        <f>N27*'1)Grünf. 3Nutz.(a)'!$L$72*'1)Grünf. 3Nutz.(a)'!$Q$72/12/100</f>
        <v>2.2214070940838746</v>
      </c>
      <c r="O31" s="1979">
        <f>O27*'1)Grünf. 3Nutz.(a)'!$L$72*'1)Grünf. 3Nutz.(a)'!$Q$72/12/100</f>
        <v>1.7098812047417915</v>
      </c>
      <c r="P31" s="1979">
        <f>P27*'1)Grünf. 3Nutz.(a)'!$L$72*'1)Grünf. 3Nutz.(a)'!$Q$72/12/100</f>
        <v>1.0105723176324164</v>
      </c>
      <c r="Q31" s="1979">
        <f>Q27*'1)Grünf. 3Nutz.(a)'!$L$72*'1)Grünf. 3Nutz.(a)'!$Q$72/12/100</f>
        <v>0</v>
      </c>
      <c r="R31" s="1981">
        <f>R27*'1)Grünf. 3Nutz.(a)'!$L$72*'1)Grünf. 3Nutz.(a)'!$Q$72/12/100</f>
        <v>0</v>
      </c>
      <c r="T31" s="3297" t="s">
        <v>1215</v>
      </c>
      <c r="U31" s="3308">
        <f>'1)Grünf. 3Nutz.(a)'!L30</f>
        <v>270</v>
      </c>
      <c r="V31" s="3308">
        <f>'1)Grünf. 3Nutz.(a)'!M30</f>
        <v>121.5</v>
      </c>
      <c r="W31" s="3308">
        <f>'1)Grünf. 3Nutz.(a)'!N30</f>
        <v>94.5</v>
      </c>
      <c r="X31" s="3308">
        <f>'1)Grünf. 3Nutz.(a)'!O30</f>
        <v>54</v>
      </c>
      <c r="Y31" s="3308">
        <f>'1)Grünf. 3Nutz.(a)'!P30</f>
        <v>0</v>
      </c>
      <c r="Z31" s="3308">
        <f>'1)Grünf. 3Nutz.(a)'!Q30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-525.6395592497513</v>
      </c>
      <c r="N32" s="1769">
        <f t="shared" si="9"/>
        <v>-236.14654214750385</v>
      </c>
      <c r="O32" s="1769">
        <f t="shared" si="9"/>
        <v>-180.79087396342845</v>
      </c>
      <c r="P32" s="1769">
        <f t="shared" si="9"/>
        <v>-108.70214313881907</v>
      </c>
      <c r="Q32" s="1769">
        <f t="shared" si="9"/>
        <v>0</v>
      </c>
      <c r="R32" s="1776">
        <f t="shared" si="9"/>
        <v>0</v>
      </c>
      <c r="S32" s="304"/>
      <c r="U32" s="429">
        <f t="shared" ref="U32:Z32" si="10">U30+U31</f>
        <v>270</v>
      </c>
      <c r="V32" s="429">
        <f t="shared" si="10"/>
        <v>121.5</v>
      </c>
      <c r="W32" s="429">
        <f t="shared" si="10"/>
        <v>94.5</v>
      </c>
      <c r="X32" s="429">
        <f t="shared" si="10"/>
        <v>54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-0.12194045161658722</v>
      </c>
      <c r="N33" s="1581">
        <f t="shared" si="11"/>
        <v>-0.1187934564031963</v>
      </c>
      <c r="O33" s="1581">
        <f t="shared" si="11"/>
        <v>-0.12082932261549104</v>
      </c>
      <c r="P33" s="1581">
        <f t="shared" si="11"/>
        <v>-0.13152104433008963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-7.316427096995233E-2</v>
      </c>
      <c r="N34" s="2149">
        <f t="shared" si="12"/>
        <v>-7.1276073841917781E-2</v>
      </c>
      <c r="O34" s="2149">
        <f t="shared" si="12"/>
        <v>-7.2497593569294624E-2</v>
      </c>
      <c r="P34" s="2149">
        <f t="shared" si="12"/>
        <v>-7.8912626598053773E-2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'1)Grünf. 3Nutz.(a)'!K58</f>
        <v>12.58235</v>
      </c>
      <c r="N36" s="2397">
        <f>'1)Grünf. 3Nutz.(a)'!M58</f>
        <v>5.4606374999999998</v>
      </c>
      <c r="O36" s="2397">
        <f>'1)Grünf. 3Nutz.(a)'!N58</f>
        <v>4.1397625000000007</v>
      </c>
      <c r="P36" s="2397">
        <f>'1)Grünf. 3Nutz.(a)'!O58</f>
        <v>2.9819499999999999</v>
      </c>
      <c r="Q36" s="2397">
        <f>'1)Grünf. 3Nutz.(a)'!P58</f>
        <v>0</v>
      </c>
      <c r="R36" s="2398">
        <f>'1)Grünf. 3Nutz.(a)'!Q58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'1)Grünf. 3Nutz.(a)'!K16</f>
        <v>0</v>
      </c>
      <c r="N37" s="2400">
        <f>'1)Grünf. 3Nutz.(a)'!M16</f>
        <v>0</v>
      </c>
      <c r="O37" s="2400">
        <f>'1)Grünf. 3Nutz.(a)'!N16</f>
        <v>0</v>
      </c>
      <c r="P37" s="2400">
        <f>'1)Grünf. 3Nutz.(a)'!O16</f>
        <v>0</v>
      </c>
      <c r="Q37" s="2400">
        <f>'1)Grünf. 3Nutz.(a)'!P16</f>
        <v>0</v>
      </c>
      <c r="R37" s="2401">
        <f>'1)Grünf. 3Nutz.(a)'!Q16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2112">
        <f>'1)Grünf. 3Nutz.(a)'!M78</f>
        <v>0</v>
      </c>
      <c r="O38" s="2112">
        <f>'1)Grünf. 3Nutz.(a)'!N78</f>
        <v>0</v>
      </c>
      <c r="P38" s="2112">
        <f>'1)Grünf. 3Nutz.(a)'!O78</f>
        <v>0</v>
      </c>
      <c r="Q38" s="2112">
        <f>'1)Grünf. 3Nutz.(a)'!P78</f>
        <v>0</v>
      </c>
      <c r="R38" s="2113">
        <f>'1)Grünf. 3Nutz.(a)'!Q78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220.191125</v>
      </c>
      <c r="N39" s="285">
        <f t="shared" si="14"/>
        <v>95.561156249999996</v>
      </c>
      <c r="O39" s="285">
        <f t="shared" si="14"/>
        <v>72.445843750000009</v>
      </c>
      <c r="P39" s="285">
        <f t="shared" si="14"/>
        <v>52.184124999999995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'Festk-Masch-Geb'!T44-'Festk-Masch-Geb'!T36-'Festk-Masch-Geb'!T30-'Festk-Masch-Geb'!T32-'Festk-Masch-Geb'!T33-'Festk-Masch-Geb'!T38</f>
        <v>363.47481170033677</v>
      </c>
      <c r="N41" s="285">
        <f>N$6/$M$6*$M$41</f>
        <v>163.56366526515154</v>
      </c>
      <c r="O41" s="285">
        <f>O$6/$M$6*$M$41</f>
        <v>127.21618409511787</v>
      </c>
      <c r="P41" s="285">
        <f>P$6/$M$6*$M$41</f>
        <v>72.694962340067363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40.5</v>
      </c>
      <c r="O43" s="285">
        <f>O$6/$M$6*$M$43</f>
        <v>31.499999999999996</v>
      </c>
      <c r="P43" s="285">
        <f>P$6/$M$6*$M$43</f>
        <v>18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871.48593670033665</v>
      </c>
      <c r="N45" s="1991">
        <f t="shared" si="15"/>
        <v>388.64382151515156</v>
      </c>
      <c r="O45" s="1991">
        <f t="shared" si="15"/>
        <v>300.39902784511787</v>
      </c>
      <c r="P45" s="1991">
        <f t="shared" si="15"/>
        <v>182.44308734006734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1667.125495950088</v>
      </c>
      <c r="N48" s="2127">
        <f t="shared" si="17"/>
        <v>746.29036366265541</v>
      </c>
      <c r="O48" s="2041">
        <f t="shared" si="17"/>
        <v>575.68990180854632</v>
      </c>
      <c r="P48" s="2041">
        <f t="shared" si="17"/>
        <v>345.14523047888639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-1667.125495950088</v>
      </c>
      <c r="N49" s="2125">
        <f t="shared" si="18"/>
        <v>-746.29036366265541</v>
      </c>
      <c r="O49" s="1772">
        <f t="shared" si="18"/>
        <v>-575.68990180854632</v>
      </c>
      <c r="P49" s="1772">
        <f t="shared" si="18"/>
        <v>-345.14523047888639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-0.38674797644195169</v>
      </c>
      <c r="N50" s="2511">
        <f t="shared" si="19"/>
        <v>-0.37542117269076547</v>
      </c>
      <c r="O50" s="2168">
        <f t="shared" si="19"/>
        <v>-0.38475515576176866</v>
      </c>
      <c r="P50" s="2168">
        <f t="shared" si="19"/>
        <v>-0.41759858497142943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121.5</v>
      </c>
      <c r="O51" s="2185">
        <f t="shared" si="20"/>
        <v>94.5</v>
      </c>
      <c r="P51" s="2185">
        <f t="shared" si="20"/>
        <v>54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-1397.125495950088</v>
      </c>
      <c r="N52" s="2178">
        <f t="shared" si="21"/>
        <v>-624.79036366265541</v>
      </c>
      <c r="O52" s="2081">
        <f t="shared" si="21"/>
        <v>-481.18990180854632</v>
      </c>
      <c r="P52" s="2081">
        <f t="shared" si="21"/>
        <v>-291.14523047888639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-0.32411204777731489</v>
      </c>
      <c r="N53" s="2511">
        <f t="shared" si="22"/>
        <v>-0.31430062939704728</v>
      </c>
      <c r="O53" s="2168">
        <f t="shared" si="22"/>
        <v>-0.32159726102492653</v>
      </c>
      <c r="P53" s="2168">
        <f t="shared" si="22"/>
        <v>-0.35226283179538587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1397.125495950088</v>
      </c>
      <c r="N55" s="2038">
        <f t="shared" si="23"/>
        <v>624.79036366265541</v>
      </c>
      <c r="O55" s="2038">
        <f t="shared" si="23"/>
        <v>481.18990180854632</v>
      </c>
      <c r="P55" s="2038">
        <f t="shared" si="23"/>
        <v>291.14523047888639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3.5295802002949586</v>
      </c>
      <c r="N56" s="2103">
        <f t="shared" si="25"/>
        <v>3.5075950240710481</v>
      </c>
      <c r="O56" s="2103">
        <f t="shared" si="25"/>
        <v>3.4732504190692062</v>
      </c>
      <c r="P56" s="2103">
        <f t="shared" si="25"/>
        <v>3.6776239639438284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19.60877889052755</v>
      </c>
      <c r="N57" s="3427">
        <f>IF($N$7=0,0,N$55/$N$9)</f>
        <v>19.486639022616934</v>
      </c>
      <c r="O57" s="3427">
        <f>IF($O$7=0,0,O$55/$O$9)</f>
        <v>19.295835661495591</v>
      </c>
      <c r="P57" s="3427">
        <f>IF($P$7=0,0,P$55/$P$9)</f>
        <v>20.43124424413238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0.32411204777731489</v>
      </c>
      <c r="N59" s="2136">
        <f t="shared" si="26"/>
        <v>0.31430062939704728</v>
      </c>
      <c r="O59" s="2136">
        <f t="shared" si="26"/>
        <v>0.32159726102492653</v>
      </c>
      <c r="P59" s="2136">
        <f t="shared" si="26"/>
        <v>0.35226283179538587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9.003112438258748E-2</v>
      </c>
      <c r="N60" s="2136">
        <f t="shared" si="27"/>
        <v>8.7305730388068686E-2</v>
      </c>
      <c r="O60" s="2136">
        <f t="shared" si="27"/>
        <v>8.9332572506924043E-2</v>
      </c>
      <c r="P60" s="2136">
        <f t="shared" si="27"/>
        <v>9.7850786609829404E-2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0.32411204777731489</v>
      </c>
      <c r="N61" s="2136">
        <f t="shared" si="28"/>
        <v>0.31430062939704728</v>
      </c>
      <c r="O61" s="2136">
        <f t="shared" si="28"/>
        <v>0.32159726102492653</v>
      </c>
      <c r="P61" s="2136">
        <f t="shared" si="28"/>
        <v>0.35226283179538587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0.19446722866638894</v>
      </c>
      <c r="N62" s="2513">
        <f t="shared" si="29"/>
        <v>0.18858037763822838</v>
      </c>
      <c r="O62" s="2513">
        <f t="shared" si="29"/>
        <v>0.19295835661495592</v>
      </c>
      <c r="P62" s="2513">
        <f t="shared" si="29"/>
        <v>0.21135769907723151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1397.125495950088</v>
      </c>
      <c r="N63" s="1769">
        <f t="shared" si="30"/>
        <v>624.79036366265541</v>
      </c>
      <c r="O63" s="1769">
        <f t="shared" si="30"/>
        <v>481.18990180854632</v>
      </c>
      <c r="P63" s="1769">
        <f t="shared" si="30"/>
        <v>291.14523047888639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19.60877889052755</v>
      </c>
      <c r="N64" s="3427">
        <f>IF($N$7=0,0,N$63/$N$9)</f>
        <v>19.486639022616934</v>
      </c>
      <c r="O64" s="3427">
        <f>IF($O$7=0,0,O$63/$O$9)</f>
        <v>19.295835661495591</v>
      </c>
      <c r="P64" s="3427">
        <f>IF($P$7=0,0,P$63/$P$9)</f>
        <v>20.43124424413238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0.32411204777731489</v>
      </c>
      <c r="N65" s="2169">
        <f t="shared" si="31"/>
        <v>0.31430062939704728</v>
      </c>
      <c r="O65" s="2169">
        <f t="shared" si="31"/>
        <v>0.32159726102492653</v>
      </c>
      <c r="P65" s="2169">
        <f t="shared" si="31"/>
        <v>0.35226283179538587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0.19446722866638894</v>
      </c>
      <c r="N66" s="2171">
        <f t="shared" si="31"/>
        <v>0.18858037763822838</v>
      </c>
      <c r="O66" s="2171">
        <f t="shared" si="31"/>
        <v>0.19295835661495592</v>
      </c>
      <c r="P66" s="2171">
        <f t="shared" si="31"/>
        <v>0.21135769907723151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538.8354251997913</v>
      </c>
      <c r="N68" s="1772">
        <f t="shared" si="32"/>
        <v>242.47351115658384</v>
      </c>
      <c r="O68" s="1772">
        <f t="shared" si="32"/>
        <v>188.57262880890843</v>
      </c>
      <c r="P68" s="1772">
        <f t="shared" si="32"/>
        <v>107.78928523429907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0.12500169353627172</v>
      </c>
      <c r="N69" s="2031">
        <f t="shared" si="33"/>
        <v>0.12197623651214681</v>
      </c>
      <c r="O69" s="2031">
        <f t="shared" si="33"/>
        <v>0.12603016127579511</v>
      </c>
      <c r="P69" s="2031">
        <f t="shared" si="33"/>
        <v>0.13041655805722818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840.47007075029683</v>
      </c>
      <c r="N70" s="1769">
        <f t="shared" si="34"/>
        <v>374.29785250607159</v>
      </c>
      <c r="O70" s="1769">
        <f t="shared" si="34"/>
        <v>286.3802729996379</v>
      </c>
      <c r="P70" s="1769">
        <f t="shared" si="34"/>
        <v>179.79194524458734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3467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0.19497638294917716</v>
      </c>
      <c r="N71" s="2168">
        <f t="shared" si="35"/>
        <v>0.18829043702751511</v>
      </c>
      <c r="O71" s="2168">
        <f t="shared" si="35"/>
        <v>0.19139867869649985</v>
      </c>
      <c r="P71" s="2168">
        <f t="shared" si="35"/>
        <v>0.21753411402853887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3293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I3:M3"/>
    <mergeCell ref="L1:N1"/>
    <mergeCell ref="O1:R1"/>
    <mergeCell ref="B1:H1"/>
    <mergeCell ref="B55:B71"/>
    <mergeCell ref="B47:B53"/>
    <mergeCell ref="B28:B34"/>
    <mergeCell ref="B36:B45"/>
    <mergeCell ref="D28:K28"/>
    <mergeCell ref="D32:K32"/>
    <mergeCell ref="B6:B13"/>
    <mergeCell ref="B3:B5"/>
    <mergeCell ref="B19:B27"/>
    <mergeCell ref="D19:D23"/>
    <mergeCell ref="D24:D26"/>
    <mergeCell ref="F3:G3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verticalDpi="300" r:id="rId1"/>
  <headerFooter alignWithMargins="0">
    <oddFooter>&amp;L&amp;12LEL Schwäbisch Gmünd (Abtlg. II)
LAZBW Aulendorf&amp;C&amp;12 21&amp;9
&amp;R&amp;12&amp;F
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">
    <tabColor rgb="FF00B050"/>
    <pageSetUpPr fitToPage="1"/>
  </sheetPr>
  <dimension ref="A1:AS83"/>
  <sheetViews>
    <sheetView showGridLines="0" showZeros="0" zoomScaleNormal="100" workbookViewId="0">
      <pane xSplit="12" ySplit="5" topLeftCell="M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2.75" x14ac:dyDescent="0.2"/>
  <cols>
    <col min="1" max="1" width="6" style="530" customWidth="1"/>
    <col min="2" max="2" width="8.85546875" style="530" customWidth="1"/>
    <col min="3" max="3" width="1" style="542" customWidth="1"/>
    <col min="4" max="4" width="10.140625" style="542" customWidth="1"/>
    <col min="5" max="5" width="9.5703125" style="542" customWidth="1"/>
    <col min="6" max="8" width="9.28515625" style="542" customWidth="1"/>
    <col min="9" max="9" width="10.140625" style="542" customWidth="1"/>
    <col min="10" max="10" width="8.42578125" style="951" customWidth="1"/>
    <col min="11" max="11" width="7.140625" style="542" customWidth="1"/>
    <col min="12" max="12" width="7.5703125" style="542" customWidth="1"/>
    <col min="13" max="17" width="8.85546875" style="542" customWidth="1"/>
    <col min="18" max="18" width="8.42578125" style="542" customWidth="1"/>
    <col min="19" max="19" width="6" style="542" customWidth="1"/>
    <col min="20" max="24" width="9.42578125" style="530" customWidth="1"/>
    <col min="25" max="25" width="11.42578125" style="526"/>
    <col min="26" max="26" width="11.140625" style="530" customWidth="1"/>
    <col min="27" max="30" width="8.85546875" style="530" customWidth="1"/>
    <col min="31" max="33" width="11.42578125" style="526"/>
    <col min="34" max="34" width="3.5703125" style="530" customWidth="1"/>
    <col min="35" max="35" width="8.28515625" style="530" customWidth="1"/>
    <col min="36" max="39" width="8.85546875" style="530" customWidth="1"/>
    <col min="40" max="16384" width="11.42578125" style="530"/>
  </cols>
  <sheetData>
    <row r="1" spans="1:45" ht="42.75" customHeight="1" x14ac:dyDescent="0.2">
      <c r="A1" s="989"/>
      <c r="B1" s="4272"/>
      <c r="C1" s="4272"/>
      <c r="D1" s="4272"/>
      <c r="E1" s="3715"/>
      <c r="F1" s="951"/>
      <c r="H1" s="951"/>
      <c r="K1" s="3445">
        <f>'1)Grünf. 3Nutz.(b)'!M55</f>
        <v>1397.125495950088</v>
      </c>
      <c r="L1" s="3715"/>
      <c r="M1" s="951"/>
      <c r="O1" s="951"/>
      <c r="Q1" s="951"/>
      <c r="R1" s="3445"/>
    </row>
    <row r="2" spans="1:45" s="523" customFormat="1" ht="20.25" customHeight="1" x14ac:dyDescent="0.2">
      <c r="A2" s="1032" t="s">
        <v>856</v>
      </c>
      <c r="B2" s="1033"/>
      <c r="C2" s="2478" t="s">
        <v>857</v>
      </c>
      <c r="D2" s="2479"/>
      <c r="E2" s="2479"/>
      <c r="F2" s="2479"/>
      <c r="G2" s="2480"/>
      <c r="H2" s="2481">
        <f>Ausglleist!AA3</f>
        <v>2022</v>
      </c>
      <c r="I2" s="2482" t="s">
        <v>858</v>
      </c>
      <c r="J2" s="2480"/>
      <c r="K2" s="4304" t="s">
        <v>1611</v>
      </c>
      <c r="L2" s="4304"/>
      <c r="M2" s="4304"/>
      <c r="N2" s="4304"/>
      <c r="O2" s="4304"/>
      <c r="P2" s="4304"/>
      <c r="Q2" s="4305"/>
      <c r="R2" s="538"/>
      <c r="S2" s="526"/>
      <c r="T2" s="526"/>
      <c r="Y2" s="526"/>
      <c r="AE2" s="526"/>
      <c r="AF2" s="526"/>
      <c r="AG2" s="526"/>
    </row>
    <row r="3" spans="1:45" s="523" customFormat="1" ht="25.5" customHeight="1" x14ac:dyDescent="0.2">
      <c r="A3" s="1034" t="s">
        <v>175</v>
      </c>
      <c r="B3" s="1035"/>
      <c r="C3" s="2483"/>
      <c r="D3" s="2426" t="s">
        <v>846</v>
      </c>
      <c r="E3" s="2417"/>
      <c r="F3" s="2417"/>
      <c r="G3" s="1026"/>
      <c r="H3" s="4306" t="s">
        <v>1882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526"/>
      <c r="U3" s="526"/>
      <c r="V3" s="604" t="s">
        <v>1067</v>
      </c>
      <c r="W3" s="567"/>
      <c r="X3" s="567"/>
      <c r="Y3" s="567"/>
      <c r="Z3" s="1036"/>
      <c r="AA3" s="524"/>
      <c r="AB3" s="524"/>
      <c r="AC3" s="524"/>
      <c r="AD3" s="524"/>
      <c r="AE3" s="526"/>
      <c r="AF3" s="526"/>
      <c r="AG3" s="526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</row>
    <row r="4" spans="1:45" s="525" customFormat="1" ht="18.75" customHeight="1" x14ac:dyDescent="0.2">
      <c r="A4" s="1034" t="s">
        <v>177</v>
      </c>
      <c r="B4" s="1037"/>
      <c r="C4" s="1038"/>
      <c r="D4" s="958" t="s">
        <v>178</v>
      </c>
      <c r="E4" s="958"/>
      <c r="F4" s="958"/>
      <c r="G4" s="958"/>
      <c r="H4" s="958"/>
      <c r="I4" s="958"/>
      <c r="J4" s="1039"/>
      <c r="K4" s="1601" t="s">
        <v>25</v>
      </c>
      <c r="L4" s="1602"/>
      <c r="M4" s="1040" t="s">
        <v>179</v>
      </c>
      <c r="N4" s="1041" t="s">
        <v>180</v>
      </c>
      <c r="O4" s="1041" t="s">
        <v>181</v>
      </c>
      <c r="P4" s="1041" t="s">
        <v>183</v>
      </c>
      <c r="Q4" s="1042" t="s">
        <v>184</v>
      </c>
      <c r="R4" s="539"/>
      <c r="S4" s="598">
        <v>1</v>
      </c>
      <c r="T4" s="1334" t="s">
        <v>462</v>
      </c>
      <c r="U4" s="526"/>
      <c r="V4" s="605" t="s">
        <v>179</v>
      </c>
      <c r="W4" s="569" t="s">
        <v>180</v>
      </c>
      <c r="X4" s="569" t="s">
        <v>181</v>
      </c>
      <c r="Y4" s="569" t="s">
        <v>183</v>
      </c>
      <c r="Z4" s="1045" t="s">
        <v>184</v>
      </c>
      <c r="AE4" s="526"/>
      <c r="AF4" s="526"/>
      <c r="AG4" s="526"/>
    </row>
    <row r="5" spans="1:45" s="525" customFormat="1" ht="18.75" customHeight="1" x14ac:dyDescent="0.2">
      <c r="A5" s="1046" t="s">
        <v>185</v>
      </c>
      <c r="B5" s="1047"/>
      <c r="C5" s="1048"/>
      <c r="D5" s="1049" t="s">
        <v>225</v>
      </c>
      <c r="E5" s="1049"/>
      <c r="F5" s="1049"/>
      <c r="G5" s="1049"/>
      <c r="H5" s="1049"/>
      <c r="I5" s="1049"/>
      <c r="J5" s="1050"/>
      <c r="K5" s="1603"/>
      <c r="L5" s="1604"/>
      <c r="M5" s="1073"/>
      <c r="N5" s="1074"/>
      <c r="O5" s="1074"/>
      <c r="P5" s="1074"/>
      <c r="Q5" s="1075"/>
      <c r="R5" s="565"/>
      <c r="S5" s="599">
        <v>2</v>
      </c>
      <c r="T5" s="602" t="s">
        <v>1120</v>
      </c>
      <c r="U5" s="526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E5" s="526"/>
      <c r="AF5" s="526"/>
      <c r="AG5" s="526"/>
    </row>
    <row r="6" spans="1:45" s="525" customFormat="1" ht="18.75" customHeight="1" x14ac:dyDescent="0.2">
      <c r="A6" s="1173"/>
      <c r="B6" s="1056"/>
      <c r="C6" s="1057"/>
      <c r="D6" s="1059" t="s">
        <v>198</v>
      </c>
      <c r="E6" s="1059"/>
      <c r="F6" s="1059"/>
      <c r="G6" s="1059"/>
      <c r="H6" s="1059"/>
      <c r="I6" s="1060" t="s">
        <v>139</v>
      </c>
      <c r="J6" s="540"/>
      <c r="K6" s="805">
        <v>90</v>
      </c>
      <c r="L6" s="1605"/>
      <c r="M6" s="1061">
        <f>$K$6*M7/100</f>
        <v>31.5</v>
      </c>
      <c r="N6" s="1062">
        <f>$K$6*N7/100</f>
        <v>22.5</v>
      </c>
      <c r="O6" s="1062">
        <f>$K$6*O7/100</f>
        <v>18</v>
      </c>
      <c r="P6" s="1062">
        <f>$K$6*P7/100</f>
        <v>18</v>
      </c>
      <c r="Q6" s="1063">
        <f>$K$6*Q7/100</f>
        <v>0</v>
      </c>
      <c r="R6" s="539"/>
      <c r="S6" s="599">
        <v>3</v>
      </c>
      <c r="T6" s="602" t="s">
        <v>432</v>
      </c>
      <c r="U6" s="526"/>
      <c r="V6" s="526"/>
      <c r="W6" s="526"/>
      <c r="Y6" s="526"/>
      <c r="AE6" s="526"/>
      <c r="AF6" s="526"/>
      <c r="AG6" s="526"/>
    </row>
    <row r="7" spans="1:45" s="525" customFormat="1" ht="18.75" customHeight="1" x14ac:dyDescent="0.2">
      <c r="A7" s="1174"/>
      <c r="B7" s="1064"/>
      <c r="C7" s="1048"/>
      <c r="D7" s="1026"/>
      <c r="E7" s="1049"/>
      <c r="F7" s="1049"/>
      <c r="G7" s="1049"/>
      <c r="H7" s="1049"/>
      <c r="I7" s="1065" t="str">
        <f>IF(R7&lt;&gt;100,"Summe nicht 100%","")</f>
        <v/>
      </c>
      <c r="J7" s="1050"/>
      <c r="K7" s="1606"/>
      <c r="L7" s="1607" t="s">
        <v>227</v>
      </c>
      <c r="M7" s="518">
        <v>35</v>
      </c>
      <c r="N7" s="466">
        <v>25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26"/>
      <c r="V7" s="526"/>
      <c r="W7" s="526"/>
      <c r="Y7" s="526"/>
      <c r="AE7" s="526"/>
      <c r="AF7" s="526"/>
      <c r="AG7" s="526"/>
    </row>
    <row r="8" spans="1:45" s="526" customFormat="1" ht="15" x14ac:dyDescent="0.2">
      <c r="A8" s="554"/>
      <c r="B8" s="1056"/>
      <c r="C8" s="1028"/>
      <c r="D8" s="79" t="s">
        <v>228</v>
      </c>
      <c r="F8" s="530" t="s">
        <v>229</v>
      </c>
      <c r="J8" s="606" t="s">
        <v>1047</v>
      </c>
      <c r="K8" s="1608">
        <f>(M$6*M8+N$6*N8+O$6*O8+P$6*P8+Q$6*Q8)/K$6</f>
        <v>5</v>
      </c>
      <c r="L8" s="160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S8" s="599">
        <v>5</v>
      </c>
      <c r="T8" s="602" t="s">
        <v>67</v>
      </c>
    </row>
    <row r="9" spans="1:45" s="540" customFormat="1" ht="14.25" customHeight="1" x14ac:dyDescent="0.2">
      <c r="A9" s="1027"/>
      <c r="B9" s="1056"/>
      <c r="C9" s="1066"/>
      <c r="D9" s="1067"/>
      <c r="E9" s="1068"/>
      <c r="F9" s="1069" t="s">
        <v>1018</v>
      </c>
      <c r="G9" s="1068"/>
      <c r="H9" s="1068"/>
      <c r="I9" s="1068"/>
      <c r="J9" s="1101"/>
      <c r="K9" s="1610">
        <f>(M$6*M9+N$6*N9+O$6*O9+P$6*P9+Q$6*Q9)/K$6</f>
        <v>0</v>
      </c>
      <c r="L9" s="1611"/>
      <c r="M9" s="488">
        <v>0</v>
      </c>
      <c r="N9" s="489">
        <v>0</v>
      </c>
      <c r="O9" s="489"/>
      <c r="P9" s="489"/>
      <c r="Q9" s="490">
        <v>0</v>
      </c>
      <c r="S9" s="571">
        <v>6</v>
      </c>
      <c r="T9" s="603"/>
      <c r="Y9" s="526"/>
      <c r="AE9" s="526"/>
      <c r="AF9" s="526"/>
      <c r="AG9" s="526"/>
    </row>
    <row r="10" spans="1:45" s="526" customFormat="1" ht="14.25" customHeight="1" x14ac:dyDescent="0.2">
      <c r="A10" s="554"/>
      <c r="B10" s="1056"/>
      <c r="C10" s="1028"/>
      <c r="D10" s="79" t="s">
        <v>230</v>
      </c>
      <c r="F10" s="530" t="s">
        <v>231</v>
      </c>
      <c r="J10" s="606" t="s">
        <v>232</v>
      </c>
      <c r="K10" s="1608">
        <f>(M$14*M10+N$14*N10+O$14*O10+P$14*P10+Q$14*Q10)/K$14</f>
        <v>18</v>
      </c>
      <c r="L10" s="1609"/>
      <c r="M10" s="443">
        <v>18</v>
      </c>
      <c r="N10" s="444">
        <v>18</v>
      </c>
      <c r="O10" s="444">
        <v>18</v>
      </c>
      <c r="P10" s="444">
        <v>18</v>
      </c>
      <c r="Q10" s="445">
        <v>0</v>
      </c>
    </row>
    <row r="11" spans="1:45" s="526" customFormat="1" ht="14.25" customHeight="1" x14ac:dyDescent="0.2">
      <c r="A11" s="554"/>
      <c r="B11" s="1056"/>
      <c r="C11" s="1066"/>
      <c r="D11" s="1067"/>
      <c r="E11" s="1068"/>
      <c r="F11" s="1069" t="s">
        <v>233</v>
      </c>
      <c r="G11" s="1068"/>
      <c r="H11" s="1068"/>
      <c r="I11" s="1068"/>
      <c r="J11" s="2384"/>
      <c r="K11" s="1612">
        <f>(M$14*M11+N$14*N11+O$14*O11+P$14*P11+Q$14*Q11)/K$14</f>
        <v>18</v>
      </c>
      <c r="L11" s="1613"/>
      <c r="M11" s="488">
        <v>18</v>
      </c>
      <c r="N11" s="489">
        <v>18</v>
      </c>
      <c r="O11" s="489">
        <v>18</v>
      </c>
      <c r="P11" s="489">
        <v>18</v>
      </c>
      <c r="Q11" s="490">
        <v>0</v>
      </c>
      <c r="U11" s="606"/>
    </row>
    <row r="12" spans="1:45" s="526" customFormat="1" ht="14.25" customHeight="1" x14ac:dyDescent="0.2">
      <c r="A12" s="554"/>
      <c r="B12" s="1056"/>
      <c r="C12" s="1028"/>
      <c r="D12" s="79" t="s">
        <v>234</v>
      </c>
      <c r="F12" s="530" t="s">
        <v>1016</v>
      </c>
      <c r="J12" s="1085" t="s">
        <v>235</v>
      </c>
      <c r="K12" s="1614">
        <f>IF(M15=0,0,(M$15*M12+N$15*N12+O$15*O12+P$15*P12+Q$15*Q12)/K$15)</f>
        <v>3.2</v>
      </c>
      <c r="L12" s="1609"/>
      <c r="M12" s="644">
        <v>3.2</v>
      </c>
      <c r="N12" s="645">
        <v>3.2</v>
      </c>
      <c r="O12" s="645">
        <v>3.2</v>
      </c>
      <c r="P12" s="645">
        <v>3.2</v>
      </c>
      <c r="Q12" s="646">
        <v>0</v>
      </c>
      <c r="U12" s="606"/>
    </row>
    <row r="13" spans="1:45" s="526" customFormat="1" ht="14.25" customHeight="1" x14ac:dyDescent="0.2">
      <c r="A13" s="1174"/>
      <c r="B13" s="1072"/>
      <c r="C13" s="1030"/>
      <c r="D13" s="82"/>
      <c r="E13" s="1026"/>
      <c r="F13" s="989" t="s">
        <v>1016</v>
      </c>
      <c r="G13" s="1026"/>
      <c r="H13" s="1026"/>
      <c r="I13" s="1026"/>
      <c r="J13" s="2385" t="s">
        <v>236</v>
      </c>
      <c r="K13" s="1615">
        <f>IF(M15=0,0,(M$15*M13+N$15*N13+O$15*O13+P$15*P13+Q$15*Q13)/K$15)</f>
        <v>0.57600000000000007</v>
      </c>
      <c r="L13" s="1616"/>
      <c r="M13" s="641">
        <f>M12*M11/100</f>
        <v>0.57600000000000007</v>
      </c>
      <c r="N13" s="642">
        <f>N12*N11/100</f>
        <v>0.57600000000000007</v>
      </c>
      <c r="O13" s="642">
        <f>O12*O11/100</f>
        <v>0.57600000000000007</v>
      </c>
      <c r="P13" s="642">
        <f>P12*P11/100</f>
        <v>0.57600000000000007</v>
      </c>
      <c r="Q13" s="643">
        <f>Q12*Q11/100</f>
        <v>0</v>
      </c>
      <c r="AC13" s="526" t="s">
        <v>434</v>
      </c>
    </row>
    <row r="14" spans="1:45" s="526" customFormat="1" ht="15.75" x14ac:dyDescent="0.2">
      <c r="C14" s="1028"/>
      <c r="D14" s="1059" t="s">
        <v>237</v>
      </c>
      <c r="F14" s="530"/>
      <c r="J14" s="606" t="s">
        <v>139</v>
      </c>
      <c r="K14" s="1617">
        <f>SUM(M14:Q14)</f>
        <v>85.5</v>
      </c>
      <c r="L14" s="1618"/>
      <c r="M14" s="1073">
        <f>M6*(100-M8)/100</f>
        <v>29.925000000000001</v>
      </c>
      <c r="N14" s="1074">
        <f>N6*(100-N8)/100</f>
        <v>21.375</v>
      </c>
      <c r="O14" s="1074">
        <f>O6*(100-O8)/100</f>
        <v>17.100000000000001</v>
      </c>
      <c r="P14" s="1074">
        <f>P6*(100-P8)/100</f>
        <v>17.100000000000001</v>
      </c>
      <c r="Q14" s="1075">
        <f>Q6*(100-Q8)/100</f>
        <v>0</v>
      </c>
      <c r="AA14" s="2731" t="s">
        <v>435</v>
      </c>
      <c r="AC14" s="3041">
        <v>0.3</v>
      </c>
    </row>
    <row r="15" spans="1:45" s="526" customFormat="1" ht="15.75" customHeight="1" x14ac:dyDescent="0.2">
      <c r="C15" s="1028"/>
      <c r="D15" s="540"/>
      <c r="E15" s="540"/>
      <c r="F15" s="542"/>
      <c r="G15" s="540"/>
      <c r="H15" s="540"/>
      <c r="I15" s="540"/>
      <c r="J15" s="2386" t="s">
        <v>830</v>
      </c>
      <c r="K15" s="1617">
        <f>SUM(M15:Q15)</f>
        <v>475</v>
      </c>
      <c r="L15" s="1618"/>
      <c r="M15" s="1073">
        <f>IF(M10=0,0,M14/M10*100)</f>
        <v>166.25</v>
      </c>
      <c r="N15" s="1074">
        <f>IF(N10=0,0,N14/N10*100)</f>
        <v>118.75</v>
      </c>
      <c r="O15" s="1074">
        <f>IF(O10=0,0,O14/O10*100)</f>
        <v>95</v>
      </c>
      <c r="P15" s="1074">
        <f>IF(P10=0,0,P14/P10*100)</f>
        <v>95</v>
      </c>
      <c r="Q15" s="1075">
        <f>IF(Q10=0,0,Q14/Q10*100)</f>
        <v>0</v>
      </c>
      <c r="AA15" s="2731" t="s">
        <v>563</v>
      </c>
      <c r="AC15" s="3041">
        <v>0</v>
      </c>
    </row>
    <row r="16" spans="1:45" s="608" customFormat="1" ht="15.75" customHeight="1" x14ac:dyDescent="0.2">
      <c r="A16" s="1076"/>
      <c r="B16" s="1076"/>
      <c r="C16" s="1077"/>
      <c r="D16" s="989" t="s">
        <v>275</v>
      </c>
      <c r="E16" s="1076"/>
      <c r="F16" s="1026"/>
      <c r="G16" s="1076"/>
      <c r="H16" s="1076"/>
      <c r="I16" s="1076"/>
      <c r="J16" s="1105" t="s">
        <v>832</v>
      </c>
      <c r="K16" s="4278">
        <f>SUM(M16:Q16)</f>
        <v>0</v>
      </c>
      <c r="L16" s="4279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Y16" s="526"/>
      <c r="AA16" s="2731" t="s">
        <v>564</v>
      </c>
      <c r="AC16" s="3042">
        <v>0</v>
      </c>
      <c r="AE16" s="526"/>
      <c r="AF16" s="526"/>
      <c r="AG16" s="526"/>
    </row>
    <row r="17" spans="1:34" s="525" customFormat="1" ht="15" customHeight="1" x14ac:dyDescent="0.2">
      <c r="A17" s="1034"/>
      <c r="B17" s="1037"/>
      <c r="C17" s="1057"/>
      <c r="D17" s="1059" t="s">
        <v>238</v>
      </c>
      <c r="E17" s="1059"/>
      <c r="F17" s="1059"/>
      <c r="G17" s="1059"/>
      <c r="H17" s="1060"/>
      <c r="I17" s="1060"/>
      <c r="J17" s="1085" t="s">
        <v>139</v>
      </c>
      <c r="K17" s="1619">
        <f>SUM(M17:Q17)</f>
        <v>85.5</v>
      </c>
      <c r="L17" s="1620"/>
      <c r="M17" s="1073">
        <f>M14*(100-M9)/100</f>
        <v>29.925000000000001</v>
      </c>
      <c r="N17" s="1078">
        <f>N14*(100-N9)/100</f>
        <v>21.375</v>
      </c>
      <c r="O17" s="1078">
        <f>O14*(100-O9)/100</f>
        <v>17.100000000000001</v>
      </c>
      <c r="P17" s="1078">
        <f>P14*(100-P9)/100</f>
        <v>17.100000000000001</v>
      </c>
      <c r="Q17" s="1079">
        <f>Q14*(100-Q9)/100</f>
        <v>0</v>
      </c>
      <c r="R17" s="539"/>
      <c r="S17" s="539"/>
      <c r="Y17" s="526"/>
      <c r="AA17" s="3045" t="s">
        <v>361</v>
      </c>
      <c r="AC17" s="3044">
        <v>0</v>
      </c>
      <c r="AE17" s="526"/>
      <c r="AF17" s="526"/>
      <c r="AG17" s="526"/>
    </row>
    <row r="18" spans="1:34" s="525" customFormat="1" ht="15" customHeight="1" x14ac:dyDescent="0.2">
      <c r="A18" s="1055"/>
      <c r="B18" s="1037"/>
      <c r="C18" s="1057"/>
      <c r="D18" s="1059"/>
      <c r="E18" s="1059"/>
      <c r="F18" s="1059"/>
      <c r="G18" s="1059"/>
      <c r="H18" s="1060"/>
      <c r="I18" s="1060"/>
      <c r="J18" s="1085" t="s">
        <v>830</v>
      </c>
      <c r="K18" s="1619">
        <f>SUM(M18:Q18)</f>
        <v>475</v>
      </c>
      <c r="L18" s="1620"/>
      <c r="M18" s="1073">
        <f>IF(M11=0,0,M17/M11*100)</f>
        <v>166.25</v>
      </c>
      <c r="N18" s="1078">
        <f>IF(N11=0,0,N17/N11*100)</f>
        <v>118.75</v>
      </c>
      <c r="O18" s="1078">
        <f>IF(O11=0,0,O17/O11*100)</f>
        <v>95</v>
      </c>
      <c r="P18" s="1078">
        <f>IF(P11=0,0,P17/P11*100)</f>
        <v>95</v>
      </c>
      <c r="Q18" s="1079">
        <f>IF(Q11=0,0,Q17/Q11*100)</f>
        <v>0</v>
      </c>
      <c r="R18" s="539"/>
      <c r="S18" s="539"/>
      <c r="Y18" s="526"/>
      <c r="AE18" s="526"/>
      <c r="AF18" s="526"/>
      <c r="AG18" s="526"/>
    </row>
    <row r="19" spans="1:34" s="525" customFormat="1" ht="15" customHeight="1" x14ac:dyDescent="0.2">
      <c r="A19" s="1055"/>
      <c r="B19" s="1037"/>
      <c r="C19" s="1080"/>
      <c r="D19" s="1081"/>
      <c r="E19" s="1081"/>
      <c r="F19" s="1081"/>
      <c r="G19" s="1081"/>
      <c r="H19" s="1070"/>
      <c r="I19" s="1070"/>
      <c r="J19" s="2387"/>
      <c r="K19" s="1621"/>
      <c r="L19" s="1622"/>
      <c r="M19" s="504"/>
      <c r="N19" s="1082"/>
      <c r="O19" s="1082"/>
      <c r="P19" s="1082"/>
      <c r="Q19" s="1083"/>
      <c r="R19" s="539"/>
      <c r="S19" s="539"/>
      <c r="Y19" s="526"/>
      <c r="AE19" s="526"/>
      <c r="AF19" s="526"/>
      <c r="AG19" s="526"/>
    </row>
    <row r="20" spans="1:34" s="526" customFormat="1" ht="15" customHeight="1" x14ac:dyDescent="0.2">
      <c r="C20" s="1028"/>
      <c r="D20" s="1059" t="s">
        <v>239</v>
      </c>
      <c r="E20" s="540"/>
      <c r="F20" s="540"/>
      <c r="G20" s="540"/>
      <c r="H20" s="1060"/>
      <c r="J20" s="1085" t="s">
        <v>240</v>
      </c>
      <c r="K20" s="1614">
        <f>(M$17*M20+N$17*N20+O$17*O20+P$17*P20+Q$17*Q20)/K$17</f>
        <v>6.1150000000000002</v>
      </c>
      <c r="L20" s="1623"/>
      <c r="M20" s="312">
        <v>6.3</v>
      </c>
      <c r="N20" s="313">
        <v>6.2</v>
      </c>
      <c r="O20" s="313">
        <v>6</v>
      </c>
      <c r="P20" s="313">
        <v>5.8</v>
      </c>
      <c r="Q20" s="314"/>
    </row>
    <row r="21" spans="1:34" s="525" customFormat="1" ht="15" customHeight="1" x14ac:dyDescent="0.2">
      <c r="A21" s="1034"/>
      <c r="B21" s="1084"/>
      <c r="C21" s="1057"/>
      <c r="D21" s="79"/>
      <c r="E21" s="526"/>
      <c r="F21" s="1085" t="s">
        <v>241</v>
      </c>
      <c r="G21" s="514">
        <v>0.6</v>
      </c>
      <c r="H21" s="1060"/>
      <c r="J21" s="1085" t="s">
        <v>242</v>
      </c>
      <c r="K21" s="1614">
        <f>(M$17*M21+N$17*N21+O$17*O21+P$17*P21+Q$17*Q21)/K$17</f>
        <v>10.191666666666666</v>
      </c>
      <c r="L21" s="1623"/>
      <c r="M21" s="515">
        <f>IF($G21=0,0,M20/$G21)</f>
        <v>10.5</v>
      </c>
      <c r="N21" s="516">
        <f>IF($G21=0,0,N20/$G21)</f>
        <v>10.333333333333334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Y21" s="526"/>
      <c r="AE21" s="526"/>
      <c r="AF21" s="526"/>
      <c r="AG21" s="526"/>
    </row>
    <row r="22" spans="1:34" s="525" customFormat="1" ht="18.75" customHeight="1" x14ac:dyDescent="0.2">
      <c r="A22" s="1034"/>
      <c r="B22" s="1084"/>
      <c r="C22" s="1057"/>
      <c r="D22" s="1086"/>
      <c r="E22" s="1059"/>
      <c r="F22" s="1059"/>
      <c r="G22" s="1059"/>
      <c r="H22" s="1060"/>
      <c r="J22" s="1085" t="s">
        <v>243</v>
      </c>
      <c r="K22" s="1624">
        <f>SUM(M22:Q22)</f>
        <v>5228.3249999999998</v>
      </c>
      <c r="L22" s="1625"/>
      <c r="M22" s="446">
        <f t="shared" ref="M22:Q23" si="0">M$17*M20*10</f>
        <v>1885.2750000000001</v>
      </c>
      <c r="N22" s="448">
        <f t="shared" si="0"/>
        <v>1325.25</v>
      </c>
      <c r="O22" s="448">
        <f t="shared" si="0"/>
        <v>1026</v>
      </c>
      <c r="P22" s="448">
        <f t="shared" si="0"/>
        <v>991.80000000000007</v>
      </c>
      <c r="Q22" s="450">
        <f t="shared" si="0"/>
        <v>0</v>
      </c>
      <c r="R22" s="539"/>
      <c r="S22" s="539"/>
      <c r="Y22" s="526"/>
      <c r="AE22" s="526"/>
      <c r="AF22" s="526"/>
      <c r="AG22" s="526"/>
    </row>
    <row r="23" spans="1:34" s="525" customFormat="1" ht="15" customHeight="1" x14ac:dyDescent="0.2">
      <c r="A23" s="1046"/>
      <c r="B23" s="1087"/>
      <c r="C23" s="1048"/>
      <c r="D23" s="1088"/>
      <c r="E23" s="1089"/>
      <c r="F23" s="1089"/>
      <c r="G23" s="1026"/>
      <c r="H23" s="363"/>
      <c r="I23" s="2389"/>
      <c r="J23" s="1547" t="s">
        <v>244</v>
      </c>
      <c r="K23" s="1626">
        <f>SUM(M23:Q23)</f>
        <v>8713.875</v>
      </c>
      <c r="L23" s="1627"/>
      <c r="M23" s="447">
        <f t="shared" si="0"/>
        <v>3142.1250000000005</v>
      </c>
      <c r="N23" s="449">
        <f t="shared" si="0"/>
        <v>2208.75</v>
      </c>
      <c r="O23" s="449">
        <f t="shared" si="0"/>
        <v>1710</v>
      </c>
      <c r="P23" s="449">
        <f t="shared" si="0"/>
        <v>1653</v>
      </c>
      <c r="Q23" s="451">
        <f t="shared" si="0"/>
        <v>0</v>
      </c>
      <c r="R23" s="539"/>
      <c r="S23" s="539"/>
      <c r="Y23" s="526"/>
      <c r="AE23" s="526"/>
      <c r="AF23" s="526"/>
      <c r="AG23" s="526"/>
    </row>
    <row r="24" spans="1:34" s="525" customFormat="1" ht="15" customHeight="1" x14ac:dyDescent="0.2">
      <c r="A24" s="3118"/>
      <c r="B24" s="3035"/>
      <c r="C24" s="3036"/>
      <c r="D24" s="3037"/>
      <c r="E24" s="3038"/>
      <c r="F24" s="3038"/>
      <c r="G24" s="3039"/>
      <c r="H24" s="2997"/>
      <c r="I24" s="3040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49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Y24" s="526"/>
      <c r="AE24" s="526"/>
      <c r="AF24" s="526"/>
      <c r="AG24" s="526"/>
    </row>
    <row r="25" spans="1:34" s="527" customFormat="1" ht="16.5" customHeight="1" x14ac:dyDescent="0.2">
      <c r="A25" s="1090"/>
      <c r="B25" s="1091" t="s">
        <v>245</v>
      </c>
      <c r="C25" s="1092"/>
      <c r="D25" s="1093" t="s">
        <v>1100</v>
      </c>
      <c r="E25" s="1058"/>
      <c r="F25" s="1058"/>
      <c r="G25" s="1058"/>
      <c r="H25" s="1058"/>
      <c r="I25" s="1058"/>
      <c r="J25" s="2391" t="s">
        <v>266</v>
      </c>
      <c r="K25" s="1628"/>
      <c r="L25" s="1664">
        <f>SUM(L26:L29)</f>
        <v>0</v>
      </c>
      <c r="M25" s="1094">
        <f>$L25*$M$7/100</f>
        <v>0</v>
      </c>
      <c r="N25" s="1078">
        <f>$L25*$N$7/100</f>
        <v>0</v>
      </c>
      <c r="O25" s="1078">
        <f>$L25*$O$7/100</f>
        <v>0</v>
      </c>
      <c r="P25" s="1078">
        <f>$L25*$P$7/100</f>
        <v>0</v>
      </c>
      <c r="Q25" s="1079">
        <f>$L25*Q7/100</f>
        <v>0</v>
      </c>
      <c r="R25"/>
      <c r="S25" s="542"/>
      <c r="Y25" s="526"/>
      <c r="AE25" s="526"/>
      <c r="AF25" s="526"/>
      <c r="AG25" s="526"/>
      <c r="AH25" s="526"/>
    </row>
    <row r="26" spans="1:34" s="528" customFormat="1" ht="15" customHeight="1" x14ac:dyDescent="0.2">
      <c r="A26" s="1095" t="s">
        <v>552</v>
      </c>
      <c r="B26" s="183"/>
      <c r="C26" s="78"/>
      <c r="D26" s="80">
        <f>IF(B26=0,0,VLOOKUP(B26,Ausglleist!$C$8:$O$44,2))</f>
        <v>0</v>
      </c>
      <c r="E26" s="79"/>
      <c r="F26" s="79"/>
      <c r="G26" s="79"/>
      <c r="H26" s="561"/>
      <c r="I26" s="526"/>
      <c r="J26" s="526"/>
      <c r="K26" s="1630"/>
      <c r="L26" s="1631">
        <f>IF(B26=0,0,VLOOKUP(B26,Ausglleist!$C$8:$O$44,13))</f>
        <v>0</v>
      </c>
      <c r="M26" s="1094">
        <f t="shared" ref="M26:M29" si="1">$L26*$M$7/100</f>
        <v>0</v>
      </c>
      <c r="N26" s="1078">
        <f t="shared" ref="N26:N29" si="2">$L26*$N$7/100</f>
        <v>0</v>
      </c>
      <c r="O26" s="1078">
        <f t="shared" ref="O26:O29" si="3">$L26*$O$7/100</f>
        <v>0</v>
      </c>
      <c r="P26" s="1078">
        <f t="shared" ref="P26:P29" si="4">$L26*$P$7/100</f>
        <v>0</v>
      </c>
      <c r="Q26" s="258"/>
      <c r="R26" s="542"/>
      <c r="S26" s="542"/>
      <c r="Y26" s="526"/>
      <c r="AE26" s="526"/>
      <c r="AF26" s="526"/>
      <c r="AG26" s="526"/>
    </row>
    <row r="27" spans="1:34" s="528" customFormat="1" ht="15" customHeight="1" x14ac:dyDescent="0.2">
      <c r="A27" s="1095" t="s">
        <v>552</v>
      </c>
      <c r="B27" s="183"/>
      <c r="C27" s="78"/>
      <c r="D27" s="80">
        <f>IF(B27=0,0,VLOOKUP(B27,Ausglleist!$C$8:$O$44,2))</f>
        <v>0</v>
      </c>
      <c r="E27" s="79"/>
      <c r="F27" s="79"/>
      <c r="G27" s="79"/>
      <c r="H27" s="561"/>
      <c r="I27" s="526"/>
      <c r="J27" s="526"/>
      <c r="K27" s="1630"/>
      <c r="L27" s="1631">
        <f>IF(B27=0,0,VLOOKUP(B27,Ausglleist!$C$8:$O$44,13))</f>
        <v>0</v>
      </c>
      <c r="M27" s="1094">
        <f t="shared" si="1"/>
        <v>0</v>
      </c>
      <c r="N27" s="1078">
        <f t="shared" si="2"/>
        <v>0</v>
      </c>
      <c r="O27" s="1078">
        <f t="shared" si="3"/>
        <v>0</v>
      </c>
      <c r="P27" s="1078">
        <f t="shared" si="4"/>
        <v>0</v>
      </c>
      <c r="Q27" s="258"/>
      <c r="R27" s="542"/>
      <c r="S27" s="542"/>
      <c r="Y27" s="526"/>
      <c r="AE27" s="526"/>
      <c r="AF27" s="526"/>
      <c r="AG27" s="526"/>
    </row>
    <row r="28" spans="1:34" s="528" customFormat="1" ht="15" customHeight="1" x14ac:dyDescent="0.2">
      <c r="A28" s="1095" t="s">
        <v>552</v>
      </c>
      <c r="B28" s="183"/>
      <c r="C28" s="78"/>
      <c r="D28" s="80">
        <f>IF(B28=0,0,VLOOKUP(B28,Ausglleist!$C$8:$O$44,2))</f>
        <v>0</v>
      </c>
      <c r="E28" s="79"/>
      <c r="F28" s="79"/>
      <c r="G28" s="79"/>
      <c r="H28" s="561"/>
      <c r="I28" s="526"/>
      <c r="J28" s="526"/>
      <c r="K28" s="1630"/>
      <c r="L28" s="1631">
        <f>IF(B28=0,0,VLOOKUP(B28,Ausglleist!$C$8:$O$44,13))</f>
        <v>0</v>
      </c>
      <c r="M28" s="1094">
        <f t="shared" si="1"/>
        <v>0</v>
      </c>
      <c r="N28" s="1078">
        <f t="shared" si="2"/>
        <v>0</v>
      </c>
      <c r="O28" s="1078">
        <f t="shared" si="3"/>
        <v>0</v>
      </c>
      <c r="P28" s="1078">
        <f t="shared" si="4"/>
        <v>0</v>
      </c>
      <c r="Q28" s="258"/>
      <c r="R28" s="542"/>
      <c r="S28" s="542"/>
      <c r="Y28" s="526"/>
      <c r="AE28" s="526"/>
      <c r="AF28" s="526"/>
      <c r="AG28" s="526"/>
    </row>
    <row r="29" spans="1:34" s="528" customFormat="1" ht="15" customHeight="1" x14ac:dyDescent="0.2">
      <c r="A29" s="1096" t="s">
        <v>552</v>
      </c>
      <c r="B29" s="199"/>
      <c r="C29" s="81"/>
      <c r="D29" s="200">
        <f>IF(B29=0,0,VLOOKUP(B29,Ausglleist!$C$8:$O$44,2))</f>
        <v>0</v>
      </c>
      <c r="E29" s="82"/>
      <c r="F29" s="82"/>
      <c r="G29" s="82"/>
      <c r="H29" s="82"/>
      <c r="I29" s="82"/>
      <c r="J29" s="309"/>
      <c r="K29" s="1632"/>
      <c r="L29" s="1893">
        <f>IF(B29=0,0,VLOOKUP(B29,Ausglleist!$C$8:$O$44,13))</f>
        <v>0</v>
      </c>
      <c r="M29" s="1106">
        <f t="shared" si="1"/>
        <v>0</v>
      </c>
      <c r="N29" s="1107">
        <f t="shared" si="2"/>
        <v>0</v>
      </c>
      <c r="O29" s="1107">
        <f t="shared" si="3"/>
        <v>0</v>
      </c>
      <c r="P29" s="1107">
        <f t="shared" si="4"/>
        <v>0</v>
      </c>
      <c r="Q29" s="259"/>
      <c r="R29" s="542"/>
      <c r="S29" s="542"/>
      <c r="Y29" s="526"/>
      <c r="AE29" s="526"/>
      <c r="AF29" s="526"/>
      <c r="AG29" s="526"/>
    </row>
    <row r="30" spans="1:34" s="528" customFormat="1" ht="15" customHeight="1" x14ac:dyDescent="0.2">
      <c r="A30" s="1090"/>
      <c r="B30" s="1091" t="s">
        <v>245</v>
      </c>
      <c r="C30" s="78"/>
      <c r="D30" s="1093" t="s">
        <v>1101</v>
      </c>
      <c r="E30" s="79"/>
      <c r="F30" s="79"/>
      <c r="G30" s="79"/>
      <c r="H30" s="79"/>
      <c r="I30" s="79"/>
      <c r="J30" s="2392" t="s">
        <v>266</v>
      </c>
      <c r="K30" s="2120"/>
      <c r="L30" s="2119">
        <f>L31</f>
        <v>270</v>
      </c>
      <c r="M30" s="1094">
        <f>$L30*M7/100</f>
        <v>94.5</v>
      </c>
      <c r="N30" s="1078">
        <f>$L30*N7/100</f>
        <v>67.5</v>
      </c>
      <c r="O30" s="1078">
        <f>$L30*O7/100</f>
        <v>54</v>
      </c>
      <c r="P30" s="1078">
        <f>$L30*P7/100</f>
        <v>54</v>
      </c>
      <c r="Q30" s="1079">
        <f>$L30*Q7/100</f>
        <v>0</v>
      </c>
      <c r="R30" s="542"/>
      <c r="S30" s="542"/>
      <c r="Y30" s="526"/>
      <c r="AE30" s="526"/>
      <c r="AF30" s="526"/>
      <c r="AG30" s="526"/>
    </row>
    <row r="31" spans="1:34" s="528" customFormat="1" ht="15" customHeight="1" x14ac:dyDescent="0.2">
      <c r="A31" s="1096" t="s">
        <v>552</v>
      </c>
      <c r="B31" s="199">
        <v>1</v>
      </c>
      <c r="C31" s="81"/>
      <c r="D31" s="200" t="str">
        <f>IF(B31=0,0,VLOOKUP(B31,Ausglleist!$R$8:$S$10,2))</f>
        <v>Zahlungsanspruch Ø</v>
      </c>
      <c r="E31" s="82"/>
      <c r="F31" s="82"/>
      <c r="G31" s="82"/>
      <c r="H31" s="82"/>
      <c r="I31" s="82"/>
      <c r="J31" s="309"/>
      <c r="K31" s="1632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Y31" s="526"/>
      <c r="AE31" s="526"/>
      <c r="AF31" s="526"/>
      <c r="AG31" s="526"/>
    </row>
    <row r="32" spans="1:34" ht="16.5" customHeight="1" x14ac:dyDescent="0.2">
      <c r="A32" s="1097"/>
      <c r="B32" s="1098"/>
      <c r="C32" s="1054"/>
      <c r="D32" s="1099" t="s">
        <v>246</v>
      </c>
      <c r="E32" s="1100"/>
      <c r="F32" s="1068"/>
      <c r="G32" s="1101" t="s">
        <v>247</v>
      </c>
      <c r="H32" s="1553">
        <f>'Preise-Stammdaten'!$N$9</f>
        <v>7</v>
      </c>
      <c r="I32" s="1068"/>
      <c r="J32" s="1070" t="s">
        <v>266</v>
      </c>
      <c r="K32" s="1633"/>
      <c r="L32" s="1659">
        <f>J33*$H33</f>
        <v>23.54</v>
      </c>
      <c r="M32" s="1102">
        <f>$L32*M$7/100</f>
        <v>8.238999999999999</v>
      </c>
      <c r="N32" s="1103">
        <f>$L32*N$7/100</f>
        <v>5.8849999999999998</v>
      </c>
      <c r="O32" s="1103">
        <f>$L32*O$7/100</f>
        <v>4.7079999999999993</v>
      </c>
      <c r="P32" s="1103">
        <f>$L32*P$7/100</f>
        <v>4.7079999999999993</v>
      </c>
      <c r="Q32" s="1104">
        <f>$L32*Q$7/100</f>
        <v>0</v>
      </c>
    </row>
    <row r="33" spans="1:39" ht="16.5" customHeight="1" x14ac:dyDescent="0.2">
      <c r="A33" s="1097"/>
      <c r="B33" s="1098"/>
      <c r="C33" s="1071"/>
      <c r="D33" s="3931" t="s">
        <v>1834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3932" t="s">
        <v>1835</v>
      </c>
      <c r="J33" s="455">
        <v>5</v>
      </c>
      <c r="K33" s="1635"/>
      <c r="L33" s="1636"/>
      <c r="M33" s="1106"/>
      <c r="N33" s="1107"/>
      <c r="O33" s="1107"/>
      <c r="P33" s="1107"/>
      <c r="Q33" s="1108"/>
    </row>
    <row r="34" spans="1:39" s="529" customFormat="1" ht="16.5" customHeight="1" x14ac:dyDescent="0.2">
      <c r="A34" s="1109"/>
      <c r="B34" s="1110"/>
      <c r="C34" s="353"/>
      <c r="D34" s="3110" t="s">
        <v>1408</v>
      </c>
      <c r="E34" s="151"/>
      <c r="F34" s="1111"/>
      <c r="G34" s="1069"/>
      <c r="H34" s="1069"/>
      <c r="I34" s="1069"/>
      <c r="J34" s="459" t="s">
        <v>266</v>
      </c>
      <c r="K34" s="1637"/>
      <c r="L34" s="1634">
        <f>SUM(L36:L39)-L24</f>
        <v>666.87242999999989</v>
      </c>
      <c r="M34" s="1102">
        <f>$L34*M$7/100</f>
        <v>233.40535049999994</v>
      </c>
      <c r="N34" s="1103">
        <f>$L34*N$7/100</f>
        <v>166.71810749999997</v>
      </c>
      <c r="O34" s="1103">
        <f>$L34*O$7/100</f>
        <v>133.37448599999999</v>
      </c>
      <c r="P34" s="1103">
        <f>$L34*P$7/100</f>
        <v>133.37448599999999</v>
      </c>
      <c r="Q34" s="1104">
        <f>$L34*Q$7/100</f>
        <v>0</v>
      </c>
      <c r="R34" s="542"/>
      <c r="S34" s="542"/>
      <c r="Y34" s="526"/>
      <c r="AE34" s="526"/>
      <c r="AF34" s="526"/>
      <c r="AG34" s="526"/>
    </row>
    <row r="35" spans="1:39" s="529" customFormat="1" ht="15" customHeight="1" x14ac:dyDescent="0.2">
      <c r="A35" s="1109"/>
      <c r="B35" s="1110"/>
      <c r="C35" s="353"/>
      <c r="D35" s="352" t="s">
        <v>250</v>
      </c>
      <c r="E35" s="151"/>
      <c r="F35" s="1112" t="s">
        <v>251</v>
      </c>
      <c r="G35" s="1068"/>
      <c r="H35" s="1113" t="s">
        <v>252</v>
      </c>
      <c r="I35" s="1114" t="s">
        <v>253</v>
      </c>
      <c r="J35" s="1115"/>
      <c r="K35" s="1638" t="s">
        <v>254</v>
      </c>
      <c r="L35" s="1639" t="s">
        <v>266</v>
      </c>
      <c r="M35" s="1117"/>
      <c r="N35" s="1118"/>
      <c r="O35" s="1118"/>
      <c r="P35" s="1118"/>
      <c r="Q35" s="1119"/>
      <c r="R35" s="542"/>
      <c r="S35" s="542"/>
      <c r="Y35" s="526"/>
      <c r="AE35" s="526"/>
      <c r="AF35" s="526"/>
      <c r="AG35" s="526"/>
    </row>
    <row r="36" spans="1:39" s="528" customFormat="1" ht="15" customHeight="1" x14ac:dyDescent="0.2">
      <c r="A36" s="1120"/>
      <c r="B36" s="1056"/>
      <c r="C36" s="104"/>
      <c r="D36" s="105" t="s">
        <v>356</v>
      </c>
      <c r="E36" s="105"/>
      <c r="F36" s="464">
        <f>'Preise-Stammdaten'!N17</f>
        <v>1.7175666666666667</v>
      </c>
      <c r="G36" s="526"/>
      <c r="H36" s="116">
        <v>2.4</v>
      </c>
      <c r="I36" s="117">
        <v>-45</v>
      </c>
      <c r="J36" s="1121"/>
      <c r="K36" s="1640">
        <f>H36*$K$14+I36</f>
        <v>160.19999999999999</v>
      </c>
      <c r="L36" s="1641">
        <f>K36*$F36</f>
        <v>275.15418</v>
      </c>
      <c r="M36" s="1122"/>
      <c r="N36" s="1123"/>
      <c r="O36" s="1123"/>
      <c r="P36" s="1123"/>
      <c r="Q36" s="1124"/>
      <c r="R36" s="542"/>
      <c r="S36" s="542"/>
      <c r="Y36" s="526"/>
      <c r="AE36" s="526"/>
      <c r="AF36" s="526"/>
      <c r="AG36" s="526"/>
    </row>
    <row r="37" spans="1:39" s="528" customFormat="1" ht="15" customHeight="1" x14ac:dyDescent="0.2">
      <c r="A37" s="1120"/>
      <c r="B37" s="1125"/>
      <c r="C37" s="104"/>
      <c r="D37" s="105" t="s">
        <v>255</v>
      </c>
      <c r="E37" s="105"/>
      <c r="F37" s="464">
        <f>'Preise-Stammdaten'!N18</f>
        <v>1.1304999999999998</v>
      </c>
      <c r="G37" s="526"/>
      <c r="H37" s="116">
        <v>1</v>
      </c>
      <c r="I37" s="117"/>
      <c r="J37" s="1121"/>
      <c r="K37" s="1640">
        <f>H37*$K$14+I37</f>
        <v>85.5</v>
      </c>
      <c r="L37" s="1641">
        <f>K37*$F37</f>
        <v>96.657749999999993</v>
      </c>
      <c r="M37" s="1122"/>
      <c r="N37" s="1123"/>
      <c r="O37" s="1123"/>
      <c r="P37" s="1123"/>
      <c r="Q37" s="1124"/>
      <c r="R37" s="542"/>
      <c r="S37" s="542"/>
      <c r="Y37" s="526"/>
      <c r="AE37" s="526"/>
      <c r="AF37" s="526"/>
      <c r="AG37" s="526"/>
    </row>
    <row r="38" spans="1:39" s="528" customFormat="1" ht="15" customHeight="1" x14ac:dyDescent="0.2">
      <c r="A38" s="1120"/>
      <c r="B38" s="1126"/>
      <c r="C38" s="104"/>
      <c r="D38" s="105" t="s">
        <v>256</v>
      </c>
      <c r="E38" s="105"/>
      <c r="F38" s="464">
        <f>'Preise-Stammdaten'!N19</f>
        <v>1.0511666666666666</v>
      </c>
      <c r="G38" s="526"/>
      <c r="H38" s="116">
        <v>3</v>
      </c>
      <c r="I38" s="117"/>
      <c r="J38" s="1121"/>
      <c r="K38" s="1640">
        <f>H38*$K$14+I38</f>
        <v>256.5</v>
      </c>
      <c r="L38" s="1641">
        <f>K38*$F38</f>
        <v>269.62424999999996</v>
      </c>
      <c r="M38" s="1122"/>
      <c r="N38" s="1123"/>
      <c r="O38" s="1123"/>
      <c r="P38" s="1123"/>
      <c r="Q38" s="1124"/>
      <c r="R38" s="542"/>
      <c r="S38" s="542"/>
      <c r="Y38" s="526"/>
      <c r="AE38" s="526"/>
      <c r="AF38" s="526"/>
      <c r="AG38" s="526"/>
    </row>
    <row r="39" spans="1:39" s="528" customFormat="1" ht="15" customHeight="1" x14ac:dyDescent="0.2">
      <c r="A39" s="551"/>
      <c r="B39" s="1127"/>
      <c r="C39" s="107"/>
      <c r="D39" s="108" t="s">
        <v>361</v>
      </c>
      <c r="E39" s="108"/>
      <c r="F39" s="465">
        <f>'Preise-Stammdaten'!N20</f>
        <v>0.59499999999999997</v>
      </c>
      <c r="G39" s="1026"/>
      <c r="H39" s="119">
        <v>0.5</v>
      </c>
      <c r="I39" s="120"/>
      <c r="J39" s="1128"/>
      <c r="K39" s="1642">
        <f>H39*$K$14+I39</f>
        <v>42.75</v>
      </c>
      <c r="L39" s="1643">
        <f>K39*$F39</f>
        <v>25.436249999999998</v>
      </c>
      <c r="M39" s="1129"/>
      <c r="N39" s="1130"/>
      <c r="O39" s="1130"/>
      <c r="P39" s="1130"/>
      <c r="Q39" s="1131"/>
      <c r="R39" s="542"/>
      <c r="S39" s="542"/>
      <c r="Y39" s="526"/>
      <c r="AE39" s="526"/>
      <c r="AF39" s="526"/>
      <c r="AG39" s="526"/>
    </row>
    <row r="40" spans="1:39" s="529" customFormat="1" ht="16.5" customHeight="1" x14ac:dyDescent="0.2">
      <c r="A40" s="1109"/>
      <c r="B40" s="1110"/>
      <c r="C40" s="121"/>
      <c r="D40" s="122" t="s">
        <v>257</v>
      </c>
      <c r="E40" s="122"/>
      <c r="F40" s="123"/>
      <c r="G40" s="947" t="s">
        <v>247</v>
      </c>
      <c r="H40" s="687">
        <f>'Preise-Stammdaten'!$N$10</f>
        <v>19</v>
      </c>
      <c r="I40" s="1021"/>
      <c r="J40" s="359" t="s">
        <v>266</v>
      </c>
      <c r="K40" s="1644"/>
      <c r="L40" s="1629">
        <f>SUM(L42:L42)</f>
        <v>0</v>
      </c>
      <c r="M40" s="1094">
        <f>$L40*M$7/100</f>
        <v>0</v>
      </c>
      <c r="N40" s="1078">
        <f>$L40*N$7/100</f>
        <v>0</v>
      </c>
      <c r="O40" s="1078">
        <f>$L40*O$7/100</f>
        <v>0</v>
      </c>
      <c r="P40" s="1078">
        <f>$L40*P$7/100</f>
        <v>0</v>
      </c>
      <c r="Q40" s="1079">
        <f>$L40*Q$7/100</f>
        <v>0</v>
      </c>
      <c r="R40" s="542"/>
      <c r="S40" s="542"/>
      <c r="Y40" s="526"/>
      <c r="AE40" s="526"/>
      <c r="AF40" s="526"/>
      <c r="AG40" s="526"/>
    </row>
    <row r="41" spans="1:39" s="529" customFormat="1" ht="15" customHeight="1" x14ac:dyDescent="0.2">
      <c r="A41" s="1109"/>
      <c r="B41" s="1110"/>
      <c r="C41" s="124"/>
      <c r="D41" s="352" t="s">
        <v>258</v>
      </c>
      <c r="E41" s="125"/>
      <c r="F41" s="126"/>
      <c r="G41" s="1132" t="s">
        <v>773</v>
      </c>
      <c r="H41" s="1132" t="s">
        <v>259</v>
      </c>
      <c r="I41" s="1133" t="s">
        <v>802</v>
      </c>
      <c r="J41" s="127"/>
      <c r="K41" s="1645" t="s">
        <v>260</v>
      </c>
      <c r="L41" s="1646" t="s">
        <v>266</v>
      </c>
      <c r="M41" s="1134"/>
      <c r="N41" s="1135"/>
      <c r="O41" s="1135"/>
      <c r="P41" s="1135"/>
      <c r="Q41" s="1136"/>
      <c r="R41" s="542"/>
      <c r="S41" s="542"/>
      <c r="Y41" s="526"/>
      <c r="AE41" s="526"/>
      <c r="AF41" s="526"/>
      <c r="AG41" s="526"/>
    </row>
    <row r="42" spans="1:39" s="528" customFormat="1" ht="15" customHeight="1" x14ac:dyDescent="0.2">
      <c r="A42" s="81"/>
      <c r="B42" s="941"/>
      <c r="C42" s="107"/>
      <c r="D42" s="130"/>
      <c r="E42" s="131"/>
      <c r="F42" s="131"/>
      <c r="G42" s="109"/>
      <c r="H42" s="163"/>
      <c r="I42" s="689">
        <f>H42*($H$40+100)/100</f>
        <v>0</v>
      </c>
      <c r="J42" s="1137"/>
      <c r="K42" s="806">
        <v>1</v>
      </c>
      <c r="L42" s="1643">
        <f>$I42*K42</f>
        <v>0</v>
      </c>
      <c r="M42" s="1129"/>
      <c r="N42" s="1130"/>
      <c r="O42" s="1130"/>
      <c r="P42" s="1130"/>
      <c r="Q42" s="1131"/>
      <c r="R42" s="542"/>
      <c r="S42" s="542"/>
      <c r="Y42" s="526"/>
      <c r="AE42" s="526"/>
      <c r="AF42" s="526"/>
      <c r="AG42" s="526"/>
    </row>
    <row r="43" spans="1:39" s="529" customFormat="1" ht="16.5" customHeight="1" x14ac:dyDescent="0.2">
      <c r="A43" s="1109"/>
      <c r="B43" s="1138"/>
      <c r="C43" s="121"/>
      <c r="D43" s="122" t="s">
        <v>872</v>
      </c>
      <c r="E43" s="122"/>
      <c r="F43" s="122"/>
      <c r="G43" s="122"/>
      <c r="H43" s="122"/>
      <c r="I43" s="526"/>
      <c r="J43" s="359" t="s">
        <v>266</v>
      </c>
      <c r="K43" s="1647"/>
      <c r="L43" s="1629">
        <f>SUM(M43:Q43)</f>
        <v>297.62442695440001</v>
      </c>
      <c r="M43" s="1139">
        <f>SUM(Z46:Z56)</f>
        <v>99.850416538600015</v>
      </c>
      <c r="N43" s="1139">
        <f>SUM(AA46:AA56)</f>
        <v>74.406106738600002</v>
      </c>
      <c r="O43" s="1139">
        <f>SUM(AB46:AB56)</f>
        <v>61.683951838600002</v>
      </c>
      <c r="P43" s="1139">
        <f>SUM(AC46:AC56)</f>
        <v>61.683951838600002</v>
      </c>
      <c r="Q43" s="1482">
        <f>SUM(AD46:AD56)</f>
        <v>0</v>
      </c>
      <c r="R43" s="542"/>
      <c r="S43" s="542"/>
      <c r="T43" s="526" t="s">
        <v>873</v>
      </c>
      <c r="Y43" s="526"/>
      <c r="Z43" s="526" t="s">
        <v>874</v>
      </c>
      <c r="AE43" s="526"/>
      <c r="AF43" s="526"/>
      <c r="AG43" s="526"/>
      <c r="AH43" s="526"/>
      <c r="AI43" s="526"/>
    </row>
    <row r="44" spans="1:39" s="528" customFormat="1" ht="15" customHeight="1" x14ac:dyDescent="0.2">
      <c r="A44" s="78"/>
      <c r="B44" s="1091"/>
      <c r="C44" s="132"/>
      <c r="D44" s="133" t="s">
        <v>875</v>
      </c>
      <c r="E44" s="134"/>
      <c r="F44" s="133"/>
      <c r="G44" s="364" t="s">
        <v>82</v>
      </c>
      <c r="H44" s="1140" t="s">
        <v>876</v>
      </c>
      <c r="I44" s="1141"/>
      <c r="J44" s="1142" t="s">
        <v>877</v>
      </c>
      <c r="K44" s="1648" t="s">
        <v>274</v>
      </c>
      <c r="L44" s="1649" t="s">
        <v>266</v>
      </c>
      <c r="M44" s="1143" t="s">
        <v>878</v>
      </c>
      <c r="N44" s="1144"/>
      <c r="O44" s="1144"/>
      <c r="P44" s="1144"/>
      <c r="Q44" s="1145"/>
      <c r="R44" s="542"/>
      <c r="S44" s="542"/>
      <c r="T44" s="543" t="s">
        <v>328</v>
      </c>
      <c r="U44" s="544"/>
      <c r="V44" s="544"/>
      <c r="W44" s="544"/>
      <c r="X44" s="545"/>
      <c r="Y44" s="526"/>
      <c r="Z44" s="543" t="s">
        <v>328</v>
      </c>
      <c r="AA44" s="544"/>
      <c r="AB44" s="544"/>
      <c r="AC44" s="544"/>
      <c r="AD44" s="545"/>
      <c r="AE44" s="526"/>
      <c r="AF44" s="526"/>
      <c r="AG44" s="526"/>
      <c r="AH44" s="526"/>
      <c r="AI44" s="526"/>
      <c r="AJ44" s="526"/>
      <c r="AK44" s="526"/>
      <c r="AL44" s="526"/>
      <c r="AM44" s="526"/>
    </row>
    <row r="45" spans="1:39" s="528" customFormat="1" ht="15" customHeight="1" x14ac:dyDescent="0.2">
      <c r="A45" s="78"/>
      <c r="B45" s="1091" t="s">
        <v>329</v>
      </c>
      <c r="C45" s="135"/>
      <c r="D45" s="1069"/>
      <c r="E45" s="1069"/>
      <c r="F45" s="136"/>
      <c r="G45" s="164" t="s">
        <v>752</v>
      </c>
      <c r="H45" s="164" t="s">
        <v>274</v>
      </c>
      <c r="I45" s="164" t="s">
        <v>266</v>
      </c>
      <c r="J45" s="1146" t="s">
        <v>330</v>
      </c>
      <c r="K45" s="1650"/>
      <c r="L45" s="1639"/>
      <c r="M45" s="1147" t="s">
        <v>331</v>
      </c>
      <c r="N45" s="1148"/>
      <c r="O45" s="1148"/>
      <c r="P45" s="1148"/>
      <c r="Q45" s="1149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526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526"/>
      <c r="AF45" s="526"/>
      <c r="AG45" s="526"/>
      <c r="AH45" s="526"/>
      <c r="AI45" s="526"/>
      <c r="AJ45" s="526"/>
      <c r="AK45" s="526"/>
      <c r="AL45" s="526"/>
      <c r="AM45" s="526"/>
    </row>
    <row r="46" spans="1:39" s="528" customFormat="1" ht="15" customHeight="1" x14ac:dyDescent="0.2">
      <c r="A46" s="1095" t="s">
        <v>552</v>
      </c>
      <c r="B46" s="1912">
        <v>25</v>
      </c>
      <c r="C46" s="1909"/>
      <c r="D46" s="1910"/>
      <c r="E46" s="1911"/>
      <c r="F46" s="1911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1</v>
      </c>
      <c r="K46" s="1651">
        <f t="shared" ref="K46:K56" si="6">J46*H46</f>
        <v>0.82</v>
      </c>
      <c r="L46" s="1641">
        <f t="shared" ref="L46:L56" si="7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8">IF(M46&lt;&gt;0,M46*$H46,0)</f>
        <v>0.20499999999999999</v>
      </c>
      <c r="U46" s="479">
        <f t="shared" ref="U46:U56" si="9">IF(N46&lt;&gt;0,N46*$H46,0)</f>
        <v>0.20499999999999999</v>
      </c>
      <c r="V46" s="479">
        <f t="shared" ref="V46:V56" si="10">IF(O46&lt;&gt;0,O46*$H46,0)</f>
        <v>0.20499999999999999</v>
      </c>
      <c r="W46" s="479">
        <f t="shared" ref="W46:W56" si="11">IF(P46&lt;&gt;0,P46*$H46,0)</f>
        <v>0.20499999999999999</v>
      </c>
      <c r="X46" s="480">
        <f t="shared" ref="X46:X56" si="12">IF(Q46&lt;&gt;0,Q46*$H46,0)</f>
        <v>0</v>
      </c>
      <c r="Y46" s="526"/>
      <c r="Z46" s="478">
        <f t="shared" ref="Z46:Z56" si="13">IF(M46&lt;&gt;0,M46*$I46,0)</f>
        <v>2.9804792933999988</v>
      </c>
      <c r="AA46" s="479">
        <f t="shared" ref="AA46:AA56" si="14">IF(N46&lt;&gt;0,N46*$I46,0)</f>
        <v>2.9804792933999988</v>
      </c>
      <c r="AB46" s="479">
        <f t="shared" ref="AB46:AB56" si="15">IF(O46&lt;&gt;0,O46*$I46,0)</f>
        <v>2.9804792933999988</v>
      </c>
      <c r="AC46" s="479">
        <f t="shared" ref="AC46:AC56" si="16">IF(P46&lt;&gt;0,P46*$I46,0)</f>
        <v>2.9804792933999988</v>
      </c>
      <c r="AD46" s="480">
        <f t="shared" ref="AD46:AD56" si="17">IF(Q46&lt;&gt;0,Q46*$I46,0)</f>
        <v>0</v>
      </c>
      <c r="AE46" s="526"/>
      <c r="AF46" s="526"/>
      <c r="AG46" s="526"/>
      <c r="AH46" s="526"/>
      <c r="AI46" s="526"/>
      <c r="AJ46" s="526"/>
      <c r="AK46" s="526"/>
      <c r="AL46" s="526"/>
      <c r="AM46" s="526"/>
    </row>
    <row r="47" spans="1:39" s="528" customFormat="1" ht="15" customHeight="1" x14ac:dyDescent="0.2">
      <c r="A47" s="1095" t="s">
        <v>552</v>
      </c>
      <c r="B47" s="1912">
        <v>26</v>
      </c>
      <c r="C47" s="104"/>
      <c r="D47" s="137"/>
      <c r="E47" s="530"/>
      <c r="F47" s="530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1</v>
      </c>
      <c r="K47" s="1651">
        <f t="shared" si="6"/>
        <v>0.48</v>
      </c>
      <c r="L47" s="1641">
        <f t="shared" si="7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8"/>
        <v>0.12</v>
      </c>
      <c r="U47" s="479">
        <f t="shared" si="9"/>
        <v>0.12</v>
      </c>
      <c r="V47" s="479">
        <f t="shared" si="10"/>
        <v>0.12</v>
      </c>
      <c r="W47" s="479">
        <f t="shared" si="11"/>
        <v>0.12</v>
      </c>
      <c r="X47" s="480">
        <f t="shared" si="12"/>
        <v>0</v>
      </c>
      <c r="Y47" s="526"/>
      <c r="Z47" s="478">
        <f t="shared" si="13"/>
        <v>2.3643415375999997</v>
      </c>
      <c r="AA47" s="479">
        <f t="shared" si="14"/>
        <v>2.3643415375999997</v>
      </c>
      <c r="AB47" s="479">
        <f t="shared" si="15"/>
        <v>2.3643415375999997</v>
      </c>
      <c r="AC47" s="479">
        <f t="shared" si="16"/>
        <v>2.3643415375999997</v>
      </c>
      <c r="AD47" s="480">
        <f t="shared" si="17"/>
        <v>0</v>
      </c>
      <c r="AE47" s="526"/>
      <c r="AF47" s="526"/>
      <c r="AG47" s="526"/>
      <c r="AH47" s="526"/>
      <c r="AI47" s="526"/>
      <c r="AJ47" s="526"/>
      <c r="AK47" s="526"/>
      <c r="AL47" s="526"/>
      <c r="AM47" s="526"/>
    </row>
    <row r="48" spans="1:39" s="528" customFormat="1" ht="15" customHeight="1" x14ac:dyDescent="0.2">
      <c r="A48" s="1095" t="s">
        <v>552</v>
      </c>
      <c r="B48" s="1912">
        <v>15</v>
      </c>
      <c r="C48" s="104"/>
      <c r="D48" s="137"/>
      <c r="E48" s="530"/>
      <c r="F48" s="530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4</v>
      </c>
      <c r="K48" s="1651">
        <f t="shared" si="6"/>
        <v>1.48</v>
      </c>
      <c r="L48" s="1641">
        <f t="shared" si="7"/>
        <v>21.802045630399999</v>
      </c>
      <c r="M48" s="317">
        <v>1</v>
      </c>
      <c r="N48" s="318">
        <v>1</v>
      </c>
      <c r="O48" s="318">
        <v>1</v>
      </c>
      <c r="P48" s="318">
        <v>1</v>
      </c>
      <c r="Q48" s="319"/>
      <c r="R48" s="542"/>
      <c r="S48" s="542"/>
      <c r="T48" s="478">
        <f t="shared" si="8"/>
        <v>0.37</v>
      </c>
      <c r="U48" s="479">
        <f t="shared" si="9"/>
        <v>0.37</v>
      </c>
      <c r="V48" s="479">
        <f t="shared" si="10"/>
        <v>0.37</v>
      </c>
      <c r="W48" s="479">
        <f t="shared" si="11"/>
        <v>0.37</v>
      </c>
      <c r="X48" s="480">
        <f t="shared" si="12"/>
        <v>0</v>
      </c>
      <c r="Y48" s="526"/>
      <c r="Z48" s="478">
        <f t="shared" si="13"/>
        <v>5.4505114075999996</v>
      </c>
      <c r="AA48" s="479">
        <f t="shared" si="14"/>
        <v>5.4505114075999996</v>
      </c>
      <c r="AB48" s="479">
        <f t="shared" si="15"/>
        <v>5.4505114075999996</v>
      </c>
      <c r="AC48" s="479">
        <f t="shared" si="16"/>
        <v>5.4505114075999996</v>
      </c>
      <c r="AD48" s="480">
        <f t="shared" si="17"/>
        <v>0</v>
      </c>
      <c r="AE48" s="526"/>
      <c r="AF48" s="526"/>
      <c r="AG48" s="526"/>
      <c r="AH48" s="526"/>
      <c r="AI48" s="526"/>
      <c r="AJ48" s="526"/>
      <c r="AK48" s="526"/>
      <c r="AL48" s="526"/>
      <c r="AM48" s="526"/>
    </row>
    <row r="49" spans="1:39" s="528" customFormat="1" ht="15" customHeight="1" x14ac:dyDescent="0.2">
      <c r="A49" s="1095" t="s">
        <v>552</v>
      </c>
      <c r="B49" s="1912">
        <v>34</v>
      </c>
      <c r="C49" s="104"/>
      <c r="D49" s="137"/>
      <c r="E49" s="530"/>
      <c r="F49" s="530"/>
      <c r="G49" s="468" t="str">
        <f>IF($B49=0,0,VLOOKUP($B49,Arbeitsgänge!$B$27:$T$80,7))</f>
        <v>120 Kw</v>
      </c>
      <c r="H49" s="507">
        <f>IF($B49=0,0,VLOOKUP($B49,Arbeitsgänge!$B$27:$O$79,12))</f>
        <v>1.3</v>
      </c>
      <c r="I49" s="469">
        <f>IF($B49=0,0,VLOOKUP($B49,Arbeitsgänge!$B$27:$T$80,14))</f>
        <v>64.280361600000006</v>
      </c>
      <c r="J49" s="593">
        <f t="shared" si="5"/>
        <v>3.958333333333333</v>
      </c>
      <c r="K49" s="1651">
        <f t="shared" si="6"/>
        <v>5.145833333333333</v>
      </c>
      <c r="L49" s="1641">
        <f t="shared" si="7"/>
        <v>254.44309799999999</v>
      </c>
      <c r="M49" s="317">
        <f>M18/120</f>
        <v>1.3854166666666667</v>
      </c>
      <c r="N49" s="317">
        <f t="shared" ref="N49:P49" si="18">N18/120</f>
        <v>0.98958333333333337</v>
      </c>
      <c r="O49" s="317">
        <f t="shared" si="18"/>
        <v>0.79166666666666663</v>
      </c>
      <c r="P49" s="317">
        <f t="shared" si="18"/>
        <v>0.79166666666666663</v>
      </c>
      <c r="Q49" s="319"/>
      <c r="R49" s="542"/>
      <c r="S49" s="542"/>
      <c r="T49" s="478">
        <f t="shared" si="8"/>
        <v>1.8010416666666669</v>
      </c>
      <c r="U49" s="479">
        <f t="shared" si="9"/>
        <v>1.2864583333333335</v>
      </c>
      <c r="V49" s="479">
        <f t="shared" si="10"/>
        <v>1.0291666666666666</v>
      </c>
      <c r="W49" s="479">
        <f t="shared" si="11"/>
        <v>1.0291666666666666</v>
      </c>
      <c r="X49" s="480">
        <f t="shared" si="12"/>
        <v>0</v>
      </c>
      <c r="Y49" s="526"/>
      <c r="Z49" s="478">
        <f t="shared" si="13"/>
        <v>89.055084300000019</v>
      </c>
      <c r="AA49" s="479">
        <f t="shared" si="14"/>
        <v>63.610774500000005</v>
      </c>
      <c r="AB49" s="479">
        <f t="shared" si="15"/>
        <v>50.888619600000006</v>
      </c>
      <c r="AC49" s="479">
        <f t="shared" si="16"/>
        <v>50.888619600000006</v>
      </c>
      <c r="AD49" s="480">
        <f t="shared" si="17"/>
        <v>0</v>
      </c>
      <c r="AE49" s="526"/>
      <c r="AF49" s="526"/>
      <c r="AG49" s="526"/>
      <c r="AH49" s="526"/>
      <c r="AI49" s="526"/>
      <c r="AJ49" s="526"/>
      <c r="AK49" s="526"/>
      <c r="AL49" s="526"/>
      <c r="AM49" s="526"/>
    </row>
    <row r="50" spans="1:39" s="528" customFormat="1" ht="15" customHeight="1" x14ac:dyDescent="0.2">
      <c r="A50" s="1095" t="s">
        <v>552</v>
      </c>
      <c r="B50" s="1912">
        <v>42</v>
      </c>
      <c r="C50" s="104"/>
      <c r="D50" s="137"/>
      <c r="E50" s="530"/>
      <c r="F50" s="530"/>
      <c r="G50" s="468">
        <f>IF($B50=0,0,VLOOKUP($B50,Arbeitsgänge!$B$27:$T$80,7))</f>
        <v>0</v>
      </c>
      <c r="H50" s="507">
        <f>IF($B50=0,0,VLOOKUP($B50,Arbeitsgänge!$B$27:$O$79,12))</f>
        <v>0</v>
      </c>
      <c r="I50" s="469">
        <f>IF($B50=0,0,VLOOKUP($B50,Arbeitsgänge!$B$27:$T$80,14))</f>
        <v>0</v>
      </c>
      <c r="J50" s="593">
        <f t="shared" si="5"/>
        <v>0</v>
      </c>
      <c r="K50" s="1651">
        <f t="shared" si="6"/>
        <v>0</v>
      </c>
      <c r="L50" s="1641">
        <f t="shared" si="7"/>
        <v>0</v>
      </c>
      <c r="M50" s="317"/>
      <c r="N50" s="318"/>
      <c r="O50" s="318"/>
      <c r="P50" s="318"/>
      <c r="Q50" s="319"/>
      <c r="R50" s="542"/>
      <c r="S50" s="542"/>
      <c r="T50" s="478">
        <f t="shared" si="8"/>
        <v>0</v>
      </c>
      <c r="U50" s="479">
        <f t="shared" si="9"/>
        <v>0</v>
      </c>
      <c r="V50" s="479">
        <f t="shared" si="10"/>
        <v>0</v>
      </c>
      <c r="W50" s="479">
        <f t="shared" si="11"/>
        <v>0</v>
      </c>
      <c r="X50" s="480">
        <f t="shared" si="12"/>
        <v>0</v>
      </c>
      <c r="Y50" s="526"/>
      <c r="Z50" s="478">
        <f t="shared" si="13"/>
        <v>0</v>
      </c>
      <c r="AA50" s="479">
        <f t="shared" si="14"/>
        <v>0</v>
      </c>
      <c r="AB50" s="479">
        <f t="shared" si="15"/>
        <v>0</v>
      </c>
      <c r="AC50" s="479">
        <f t="shared" si="16"/>
        <v>0</v>
      </c>
      <c r="AD50" s="480">
        <f t="shared" si="17"/>
        <v>0</v>
      </c>
      <c r="AE50" s="526"/>
      <c r="AF50" s="526"/>
      <c r="AG50" s="526"/>
      <c r="AH50" s="526"/>
      <c r="AI50" s="526"/>
      <c r="AJ50" s="526"/>
      <c r="AK50" s="526"/>
      <c r="AL50" s="526"/>
      <c r="AM50" s="526"/>
    </row>
    <row r="51" spans="1:39" s="528" customFormat="1" ht="15" customHeight="1" x14ac:dyDescent="0.2">
      <c r="A51" s="1095" t="s">
        <v>552</v>
      </c>
      <c r="B51" s="1912">
        <v>52</v>
      </c>
      <c r="C51" s="104"/>
      <c r="D51" s="137"/>
      <c r="E51" s="530"/>
      <c r="F51" s="530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5"/>
        <v>0</v>
      </c>
      <c r="K51" s="1651">
        <f t="shared" si="6"/>
        <v>0</v>
      </c>
      <c r="L51" s="1641">
        <f t="shared" si="7"/>
        <v>0</v>
      </c>
      <c r="M51" s="317"/>
      <c r="N51" s="318"/>
      <c r="O51" s="318"/>
      <c r="P51" s="318"/>
      <c r="Q51" s="319"/>
      <c r="R51" s="542"/>
      <c r="S51" s="542"/>
      <c r="T51" s="478">
        <f t="shared" si="8"/>
        <v>0</v>
      </c>
      <c r="U51" s="479">
        <f t="shared" si="9"/>
        <v>0</v>
      </c>
      <c r="V51" s="479">
        <f t="shared" si="10"/>
        <v>0</v>
      </c>
      <c r="W51" s="479">
        <f t="shared" si="11"/>
        <v>0</v>
      </c>
      <c r="X51" s="480">
        <f t="shared" si="12"/>
        <v>0</v>
      </c>
      <c r="Y51" s="526"/>
      <c r="Z51" s="478">
        <f t="shared" si="13"/>
        <v>0</v>
      </c>
      <c r="AA51" s="479">
        <f t="shared" si="14"/>
        <v>0</v>
      </c>
      <c r="AB51" s="479">
        <f t="shared" si="15"/>
        <v>0</v>
      </c>
      <c r="AC51" s="479">
        <f t="shared" si="16"/>
        <v>0</v>
      </c>
      <c r="AD51" s="480">
        <f t="shared" si="17"/>
        <v>0</v>
      </c>
      <c r="AE51" s="526"/>
      <c r="AF51" s="526"/>
      <c r="AG51" s="526"/>
      <c r="AH51" s="526"/>
      <c r="AI51" s="526"/>
      <c r="AJ51" s="526"/>
      <c r="AK51" s="526"/>
      <c r="AL51" s="526"/>
      <c r="AM51" s="526"/>
    </row>
    <row r="52" spans="1:39" s="528" customFormat="1" ht="15" customHeight="1" x14ac:dyDescent="0.2">
      <c r="A52" s="1095" t="s">
        <v>552</v>
      </c>
      <c r="B52" s="1912">
        <v>52</v>
      </c>
      <c r="C52" s="104"/>
      <c r="D52" s="137"/>
      <c r="E52" s="530"/>
      <c r="F52" s="530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5"/>
        <v>0</v>
      </c>
      <c r="K52" s="1651">
        <f t="shared" si="6"/>
        <v>0</v>
      </c>
      <c r="L52" s="1641">
        <f t="shared" si="7"/>
        <v>0</v>
      </c>
      <c r="M52" s="317"/>
      <c r="N52" s="318"/>
      <c r="O52" s="318"/>
      <c r="P52" s="318"/>
      <c r="Q52" s="319"/>
      <c r="R52" s="542"/>
      <c r="S52" s="542"/>
      <c r="T52" s="478">
        <f t="shared" si="8"/>
        <v>0</v>
      </c>
      <c r="U52" s="479">
        <f t="shared" si="9"/>
        <v>0</v>
      </c>
      <c r="V52" s="479">
        <f t="shared" si="10"/>
        <v>0</v>
      </c>
      <c r="W52" s="479">
        <f t="shared" si="11"/>
        <v>0</v>
      </c>
      <c r="X52" s="480">
        <f t="shared" si="12"/>
        <v>0</v>
      </c>
      <c r="Y52" s="526"/>
      <c r="Z52" s="478">
        <f t="shared" si="13"/>
        <v>0</v>
      </c>
      <c r="AA52" s="479">
        <f t="shared" si="14"/>
        <v>0</v>
      </c>
      <c r="AB52" s="479">
        <f t="shared" si="15"/>
        <v>0</v>
      </c>
      <c r="AC52" s="479">
        <f t="shared" si="16"/>
        <v>0</v>
      </c>
      <c r="AD52" s="480">
        <f t="shared" si="17"/>
        <v>0</v>
      </c>
      <c r="AE52" s="526"/>
      <c r="AF52" s="526"/>
      <c r="AG52" s="526"/>
      <c r="AH52" s="526"/>
      <c r="AI52" s="526"/>
      <c r="AJ52" s="526"/>
      <c r="AK52" s="526"/>
      <c r="AL52" s="526"/>
      <c r="AM52" s="526"/>
    </row>
    <row r="53" spans="1:39" s="528" customFormat="1" ht="15" customHeight="1" x14ac:dyDescent="0.2">
      <c r="A53" s="1095" t="s">
        <v>552</v>
      </c>
      <c r="B53" s="1912">
        <v>52</v>
      </c>
      <c r="C53" s="104"/>
      <c r="D53" s="137"/>
      <c r="E53" s="530"/>
      <c r="F53" s="530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641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8"/>
        <v>0</v>
      </c>
      <c r="U53" s="479">
        <f t="shared" si="9"/>
        <v>0</v>
      </c>
      <c r="V53" s="479">
        <f t="shared" si="10"/>
        <v>0</v>
      </c>
      <c r="W53" s="479">
        <f t="shared" si="11"/>
        <v>0</v>
      </c>
      <c r="X53" s="480">
        <f t="shared" si="12"/>
        <v>0</v>
      </c>
      <c r="Y53" s="526"/>
      <c r="Z53" s="478">
        <f t="shared" si="13"/>
        <v>0</v>
      </c>
      <c r="AA53" s="479">
        <f t="shared" si="14"/>
        <v>0</v>
      </c>
      <c r="AB53" s="479">
        <f t="shared" si="15"/>
        <v>0</v>
      </c>
      <c r="AC53" s="479">
        <f t="shared" si="16"/>
        <v>0</v>
      </c>
      <c r="AD53" s="480">
        <f t="shared" si="17"/>
        <v>0</v>
      </c>
      <c r="AE53" s="526"/>
      <c r="AF53" s="526"/>
      <c r="AG53" s="526"/>
      <c r="AH53" s="526"/>
      <c r="AI53" s="526"/>
      <c r="AJ53" s="526"/>
      <c r="AK53" s="526"/>
      <c r="AL53" s="526"/>
      <c r="AM53" s="526"/>
    </row>
    <row r="54" spans="1:39" s="528" customFormat="1" ht="15" customHeight="1" x14ac:dyDescent="0.2">
      <c r="A54" s="1095" t="s">
        <v>552</v>
      </c>
      <c r="B54" s="1912">
        <v>42</v>
      </c>
      <c r="C54" s="104"/>
      <c r="D54" s="137"/>
      <c r="E54" s="530"/>
      <c r="F54" s="530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641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8"/>
        <v>0</v>
      </c>
      <c r="U54" s="479">
        <f t="shared" si="9"/>
        <v>0</v>
      </c>
      <c r="V54" s="479">
        <f t="shared" si="10"/>
        <v>0</v>
      </c>
      <c r="W54" s="479">
        <f t="shared" si="11"/>
        <v>0</v>
      </c>
      <c r="X54" s="480">
        <f t="shared" si="12"/>
        <v>0</v>
      </c>
      <c r="Y54" s="526"/>
      <c r="Z54" s="478">
        <f t="shared" si="13"/>
        <v>0</v>
      </c>
      <c r="AA54" s="479">
        <f t="shared" si="14"/>
        <v>0</v>
      </c>
      <c r="AB54" s="479">
        <f t="shared" si="15"/>
        <v>0</v>
      </c>
      <c r="AC54" s="479">
        <f t="shared" si="16"/>
        <v>0</v>
      </c>
      <c r="AD54" s="480">
        <f t="shared" si="17"/>
        <v>0</v>
      </c>
      <c r="AE54" s="526"/>
      <c r="AF54" s="526"/>
      <c r="AG54" s="526"/>
      <c r="AH54" s="526"/>
      <c r="AI54" s="526"/>
      <c r="AJ54" s="526"/>
      <c r="AK54" s="526"/>
      <c r="AL54" s="526"/>
      <c r="AM54" s="526"/>
    </row>
    <row r="55" spans="1:39" s="528" customFormat="1" ht="15" customHeight="1" x14ac:dyDescent="0.2">
      <c r="A55" s="1095" t="s">
        <v>552</v>
      </c>
      <c r="B55" s="1912">
        <v>52</v>
      </c>
      <c r="C55" s="104"/>
      <c r="D55" s="137"/>
      <c r="E55" s="530"/>
      <c r="F55" s="530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641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8"/>
        <v>0</v>
      </c>
      <c r="U55" s="479">
        <f t="shared" si="9"/>
        <v>0</v>
      </c>
      <c r="V55" s="479">
        <f t="shared" si="10"/>
        <v>0</v>
      </c>
      <c r="W55" s="479">
        <f t="shared" si="11"/>
        <v>0</v>
      </c>
      <c r="X55" s="480">
        <f t="shared" si="12"/>
        <v>0</v>
      </c>
      <c r="Y55" s="526"/>
      <c r="Z55" s="478">
        <f t="shared" si="13"/>
        <v>0</v>
      </c>
      <c r="AA55" s="479">
        <f t="shared" si="14"/>
        <v>0</v>
      </c>
      <c r="AB55" s="479">
        <f t="shared" si="15"/>
        <v>0</v>
      </c>
      <c r="AC55" s="479">
        <f t="shared" si="16"/>
        <v>0</v>
      </c>
      <c r="AD55" s="480">
        <f t="shared" si="17"/>
        <v>0</v>
      </c>
      <c r="AE55" s="526"/>
      <c r="AF55" s="526"/>
      <c r="AG55" s="526"/>
      <c r="AH55" s="526"/>
      <c r="AI55" s="526"/>
      <c r="AJ55" s="526"/>
      <c r="AK55" s="526"/>
      <c r="AL55" s="526"/>
      <c r="AM55" s="526"/>
    </row>
    <row r="56" spans="1:39" s="528" customFormat="1" ht="15" customHeight="1" x14ac:dyDescent="0.2">
      <c r="A56" s="1095" t="s">
        <v>552</v>
      </c>
      <c r="B56" s="1913">
        <v>52</v>
      </c>
      <c r="C56" s="107"/>
      <c r="D56" s="926"/>
      <c r="E56" s="989"/>
      <c r="F56" s="989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593">
        <f t="shared" si="5"/>
        <v>0</v>
      </c>
      <c r="K56" s="1652">
        <f t="shared" si="6"/>
        <v>0</v>
      </c>
      <c r="L56" s="1653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8"/>
        <v>0</v>
      </c>
      <c r="U56" s="482">
        <f t="shared" si="9"/>
        <v>0</v>
      </c>
      <c r="V56" s="482">
        <f t="shared" si="10"/>
        <v>0</v>
      </c>
      <c r="W56" s="482">
        <f t="shared" si="11"/>
        <v>0</v>
      </c>
      <c r="X56" s="483">
        <f t="shared" si="12"/>
        <v>0</v>
      </c>
      <c r="Y56" s="526"/>
      <c r="Z56" s="481">
        <f t="shared" si="13"/>
        <v>0</v>
      </c>
      <c r="AA56" s="482">
        <f t="shared" si="14"/>
        <v>0</v>
      </c>
      <c r="AB56" s="482">
        <f t="shared" si="15"/>
        <v>0</v>
      </c>
      <c r="AC56" s="482">
        <f t="shared" si="16"/>
        <v>0</v>
      </c>
      <c r="AD56" s="483">
        <f t="shared" si="17"/>
        <v>0</v>
      </c>
      <c r="AE56" s="526"/>
      <c r="AF56" s="526"/>
      <c r="AG56" s="526"/>
      <c r="AH56" s="526"/>
      <c r="AI56" s="526"/>
      <c r="AJ56" s="526"/>
      <c r="AK56" s="526"/>
      <c r="AL56" s="526"/>
      <c r="AM56" s="526"/>
    </row>
    <row r="57" spans="1:39" s="537" customFormat="1" ht="16.5" customHeight="1" x14ac:dyDescent="0.2">
      <c r="A57" s="1150"/>
      <c r="B57" s="1151"/>
      <c r="C57" s="1481"/>
      <c r="D57" s="122" t="s">
        <v>302</v>
      </c>
      <c r="E57" s="141"/>
      <c r="F57" s="141"/>
      <c r="G57" s="141"/>
      <c r="H57" s="530"/>
      <c r="I57" s="530"/>
      <c r="J57" s="360" t="s">
        <v>274</v>
      </c>
      <c r="K57" s="1654">
        <f>SUM(M57:Q57)</f>
        <v>7.9258333333333333</v>
      </c>
      <c r="L57" s="1655"/>
      <c r="M57" s="1152">
        <f>SUM(T46:T56)</f>
        <v>2.4960416666666667</v>
      </c>
      <c r="N57" s="1153">
        <f>SUM(U46:U56)</f>
        <v>1.9814583333333333</v>
      </c>
      <c r="O57" s="1153">
        <f>SUM(V46:V56)</f>
        <v>1.7241666666666666</v>
      </c>
      <c r="P57" s="1153">
        <f>SUM(W46:W56)</f>
        <v>1.7241666666666666</v>
      </c>
      <c r="Q57" s="1154">
        <f>SUM(X46:X56)</f>
        <v>0</v>
      </c>
      <c r="R57" s="542"/>
      <c r="S57" s="526"/>
      <c r="Y57" s="526"/>
      <c r="AE57" s="526"/>
      <c r="AF57" s="526"/>
      <c r="AG57" s="526"/>
    </row>
    <row r="58" spans="1:39" s="537" customFormat="1" ht="15" customHeight="1" x14ac:dyDescent="0.2">
      <c r="A58" s="1155"/>
      <c r="B58" s="1156"/>
      <c r="C58" s="142"/>
      <c r="D58" s="143"/>
      <c r="E58" s="989"/>
      <c r="F58" s="1157" t="s">
        <v>303</v>
      </c>
      <c r="G58" s="145">
        <v>80</v>
      </c>
      <c r="H58" s="989" t="s">
        <v>1047</v>
      </c>
      <c r="I58" s="989"/>
      <c r="J58" s="1158"/>
      <c r="K58" s="1656">
        <f>SUM(M58:Q58)</f>
        <v>14.266500000000001</v>
      </c>
      <c r="L58" s="1657"/>
      <c r="M58" s="1159">
        <f>IF(M57+(M57*$G$58/100)&gt;M57+10,M57+10,M57+(M57*$G$58/100))</f>
        <v>4.4928749999999997</v>
      </c>
      <c r="N58" s="1160">
        <f>IF(N57+(N57*$G$58/100)&gt;(N57+10),N57+10,N57+(N57*$G$58/100))</f>
        <v>3.5666250000000002</v>
      </c>
      <c r="O58" s="1160">
        <f>IF(O57+(O57*$G$58/100)&gt;(O57+10),O57+10,O57+(O57*$G$58/100))</f>
        <v>3.1034999999999999</v>
      </c>
      <c r="P58" s="1160">
        <f>P57+P57*$G$58/100</f>
        <v>3.1034999999999999</v>
      </c>
      <c r="Q58" s="1161">
        <f>Q57+Q57*$G$58/100</f>
        <v>0</v>
      </c>
      <c r="R58" s="542"/>
      <c r="S58" s="542"/>
      <c r="Y58" s="526"/>
      <c r="AE58" s="526"/>
      <c r="AF58" s="526"/>
      <c r="AG58" s="526"/>
    </row>
    <row r="59" spans="1:39" s="528" customFormat="1" ht="16.5" customHeight="1" x14ac:dyDescent="0.2">
      <c r="A59" s="78"/>
      <c r="B59" s="1162"/>
      <c r="C59" s="135"/>
      <c r="D59" s="151" t="s">
        <v>304</v>
      </c>
      <c r="E59" s="350"/>
      <c r="F59" s="350"/>
      <c r="G59" s="947" t="s">
        <v>247</v>
      </c>
      <c r="H59" s="687">
        <f>'Preise-Stammdaten'!$N$10</f>
        <v>19</v>
      </c>
      <c r="I59" s="350"/>
      <c r="J59" s="368" t="s">
        <v>266</v>
      </c>
      <c r="K59" s="1658"/>
      <c r="L59" s="1659">
        <f>SUM(L61:L63)</f>
        <v>15.469999999999999</v>
      </c>
      <c r="M59" s="1094">
        <f>SUM(T61:T63)</f>
        <v>3.8674999999999997</v>
      </c>
      <c r="N59" s="1078">
        <f>SUM(U61:U63)</f>
        <v>3.8674999999999997</v>
      </c>
      <c r="O59" s="1078">
        <f>SUM(V61:V63)</f>
        <v>3.8674999999999997</v>
      </c>
      <c r="P59" s="1078">
        <f>SUM(W61:W63)</f>
        <v>3.8674999999999997</v>
      </c>
      <c r="Q59" s="1079">
        <f>SUM(X61:X63)</f>
        <v>0</v>
      </c>
      <c r="R59" s="542"/>
      <c r="S59" s="542"/>
      <c r="Y59" s="526"/>
      <c r="AE59" s="526"/>
      <c r="AF59" s="526"/>
      <c r="AG59" s="526"/>
    </row>
    <row r="60" spans="1:39" s="528" customFormat="1" ht="16.5" customHeight="1" x14ac:dyDescent="0.2">
      <c r="A60" s="78"/>
      <c r="B60" s="1162"/>
      <c r="C60" s="132"/>
      <c r="D60" s="133" t="s">
        <v>305</v>
      </c>
      <c r="E60" s="134"/>
      <c r="F60" s="2606" t="s">
        <v>306</v>
      </c>
      <c r="G60" s="3064" t="s">
        <v>259</v>
      </c>
      <c r="H60" s="3061" t="s">
        <v>802</v>
      </c>
      <c r="I60" s="2609"/>
      <c r="J60" s="3062" t="s">
        <v>307</v>
      </c>
      <c r="K60" s="3065"/>
      <c r="L60" s="3066"/>
      <c r="M60" s="1143" t="s">
        <v>308</v>
      </c>
      <c r="N60" s="1144"/>
      <c r="O60" s="1144"/>
      <c r="P60" s="1144"/>
      <c r="Q60" s="1145"/>
      <c r="R60" s="542"/>
      <c r="S60" s="542"/>
      <c r="Y60" s="526"/>
      <c r="AE60" s="526"/>
      <c r="AF60" s="526"/>
      <c r="AG60" s="526"/>
    </row>
    <row r="61" spans="1:39" s="528" customFormat="1" ht="15" customHeight="1" x14ac:dyDescent="0.2">
      <c r="A61" s="78"/>
      <c r="B61" s="1162"/>
      <c r="C61" s="2613"/>
      <c r="D61" s="4019" t="s">
        <v>309</v>
      </c>
      <c r="E61" s="4035"/>
      <c r="F61" s="4035"/>
      <c r="G61" s="3060">
        <v>65</v>
      </c>
      <c r="H61" s="3063">
        <f>G61*(100+$H$59)/100</f>
        <v>77.349999999999994</v>
      </c>
      <c r="I61" s="2616"/>
      <c r="J61" s="3099">
        <f>SUM(M61:Q61)</f>
        <v>0.2</v>
      </c>
      <c r="K61" s="3100"/>
      <c r="L61" s="2619">
        <f>J61*H61</f>
        <v>15.469999999999999</v>
      </c>
      <c r="M61" s="3111">
        <v>0.05</v>
      </c>
      <c r="N61" s="3088">
        <v>0.05</v>
      </c>
      <c r="O61" s="3088">
        <v>0.05</v>
      </c>
      <c r="P61" s="3088">
        <v>0.05</v>
      </c>
      <c r="Q61" s="2620"/>
      <c r="R61" s="542"/>
      <c r="S61" s="542"/>
      <c r="T61" s="594">
        <f>IF(M61&lt;&gt;0,M61*$H61,0)</f>
        <v>3.8674999999999997</v>
      </c>
      <c r="U61" s="594">
        <f t="shared" ref="U61:X63" si="19">IF(N61&lt;&gt;0,N61*$H61,0)</f>
        <v>3.8674999999999997</v>
      </c>
      <c r="V61" s="594">
        <f t="shared" si="19"/>
        <v>3.8674999999999997</v>
      </c>
      <c r="W61" s="594">
        <f t="shared" si="19"/>
        <v>3.8674999999999997</v>
      </c>
      <c r="X61" s="594">
        <f t="shared" si="19"/>
        <v>0</v>
      </c>
      <c r="Y61" s="526"/>
      <c r="Z61" s="266"/>
      <c r="AA61" s="266"/>
      <c r="AB61" s="266"/>
      <c r="AC61" s="266"/>
      <c r="AD61" s="267"/>
      <c r="AE61" s="526"/>
      <c r="AF61" s="526"/>
      <c r="AG61" s="526"/>
      <c r="AI61" s="266"/>
      <c r="AJ61" s="266"/>
      <c r="AK61" s="266"/>
      <c r="AL61" s="267"/>
    </row>
    <row r="62" spans="1:39" s="528" customFormat="1" ht="15" customHeight="1" x14ac:dyDescent="0.2">
      <c r="A62" s="78"/>
      <c r="B62" s="1162"/>
      <c r="C62" s="354"/>
      <c r="D62" s="3314"/>
      <c r="E62" s="3101"/>
      <c r="F62" s="3101"/>
      <c r="G62" s="3316"/>
      <c r="H62" s="932"/>
      <c r="I62" s="933"/>
      <c r="J62" s="3102"/>
      <c r="K62" s="2305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9"/>
        <v>0</v>
      </c>
      <c r="V62" s="594">
        <f t="shared" si="19"/>
        <v>0</v>
      </c>
      <c r="W62" s="594">
        <f t="shared" si="19"/>
        <v>0</v>
      </c>
      <c r="X62" s="594">
        <f t="shared" si="19"/>
        <v>0</v>
      </c>
      <c r="Y62" s="526"/>
      <c r="Z62" s="3058"/>
      <c r="AA62" s="3058"/>
      <c r="AB62" s="3058"/>
      <c r="AC62" s="3058"/>
      <c r="AD62" s="3059"/>
      <c r="AE62" s="526"/>
      <c r="AF62" s="526"/>
      <c r="AG62" s="526"/>
      <c r="AI62" s="3058"/>
      <c r="AJ62" s="3058"/>
      <c r="AK62" s="3058"/>
      <c r="AL62" s="3059"/>
    </row>
    <row r="63" spans="1:39" s="528" customFormat="1" ht="15" hidden="1" customHeight="1" x14ac:dyDescent="0.2">
      <c r="A63" s="81"/>
      <c r="B63" s="941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7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9"/>
        <v>0</v>
      </c>
      <c r="V63" s="594">
        <f t="shared" si="19"/>
        <v>0</v>
      </c>
      <c r="W63" s="594">
        <f t="shared" si="19"/>
        <v>0</v>
      </c>
      <c r="X63" s="594">
        <f t="shared" si="19"/>
        <v>0</v>
      </c>
      <c r="Y63" s="526"/>
      <c r="Z63" s="268"/>
      <c r="AA63" s="268"/>
      <c r="AB63" s="268"/>
      <c r="AC63" s="268"/>
      <c r="AD63" s="269"/>
      <c r="AE63" s="526"/>
      <c r="AF63" s="526"/>
      <c r="AG63" s="526"/>
      <c r="AI63" s="268"/>
      <c r="AJ63" s="268"/>
      <c r="AK63" s="268"/>
      <c r="AL63" s="269"/>
    </row>
    <row r="64" spans="1:39" s="529" customFormat="1" ht="16.5" customHeight="1" x14ac:dyDescent="0.2">
      <c r="A64" s="1109"/>
      <c r="B64" s="1110"/>
      <c r="C64" s="353"/>
      <c r="D64" s="151" t="s">
        <v>384</v>
      </c>
      <c r="E64" s="151"/>
      <c r="F64" s="151"/>
      <c r="G64" s="151"/>
      <c r="H64" s="1069"/>
      <c r="I64" s="1069"/>
      <c r="J64" s="368" t="s">
        <v>266</v>
      </c>
      <c r="K64" s="1662"/>
      <c r="L64" s="1659">
        <f>K66*$G66</f>
        <v>0</v>
      </c>
      <c r="M64" s="1078">
        <f>IF(M66&lt;&gt;0,M66*$G66,0)</f>
        <v>0</v>
      </c>
      <c r="N64" s="1078">
        <f>IF(N66&lt;&gt;0,N66*$G66,0)</f>
        <v>0</v>
      </c>
      <c r="O64" s="1078">
        <f>IF(O66&lt;&gt;0,O66*$G66,0)</f>
        <v>0</v>
      </c>
      <c r="P64" s="1078">
        <f>IF(P66&lt;&gt;0,P66*$G66,0)</f>
        <v>0</v>
      </c>
      <c r="Q64" s="1079">
        <f>IF(Q66&lt;&gt;0,Q66*$G66,0)</f>
        <v>0</v>
      </c>
      <c r="R64" s="542"/>
      <c r="S64" s="542"/>
      <c r="Y64" s="526"/>
      <c r="AE64" s="526"/>
      <c r="AF64" s="526"/>
      <c r="AG64" s="526"/>
    </row>
    <row r="65" spans="1:38" s="529" customFormat="1" ht="16.5" customHeight="1" x14ac:dyDescent="0.2">
      <c r="A65" s="1109"/>
      <c r="B65" s="1110"/>
      <c r="C65" s="121"/>
      <c r="D65" s="122"/>
      <c r="E65" s="122"/>
      <c r="F65" s="122"/>
      <c r="G65" s="526"/>
      <c r="H65" s="530"/>
      <c r="I65" s="530"/>
      <c r="J65" s="25"/>
      <c r="K65" s="1663"/>
      <c r="L65" s="1664"/>
      <c r="M65" s="1163" t="s">
        <v>385</v>
      </c>
      <c r="N65" s="1164"/>
      <c r="O65" s="1164"/>
      <c r="P65" s="1164"/>
      <c r="Q65" s="1165"/>
      <c r="R65" s="542"/>
      <c r="S65" s="542"/>
      <c r="W65" s="529" t="s">
        <v>542</v>
      </c>
      <c r="Y65" s="526"/>
      <c r="Z65" s="529" t="s">
        <v>1159</v>
      </c>
      <c r="AE65" s="526"/>
      <c r="AF65" s="526"/>
      <c r="AG65" s="526"/>
    </row>
    <row r="66" spans="1:38" s="529" customFormat="1" ht="15" customHeight="1" x14ac:dyDescent="0.2">
      <c r="A66" s="1167"/>
      <c r="B66" s="1168"/>
      <c r="C66" s="171"/>
      <c r="D66" s="147"/>
      <c r="E66" s="143"/>
      <c r="F66" s="1169" t="s">
        <v>386</v>
      </c>
      <c r="G66" s="208">
        <v>10</v>
      </c>
      <c r="H66" s="1169"/>
      <c r="I66" s="1169"/>
      <c r="J66" s="549" t="s">
        <v>274</v>
      </c>
      <c r="K66" s="1665">
        <f>SUM(M66:Q66)</f>
        <v>0</v>
      </c>
      <c r="L66" s="1666"/>
      <c r="M66" s="595"/>
      <c r="N66" s="596"/>
      <c r="O66" s="596"/>
      <c r="P66" s="596"/>
      <c r="Q66" s="597"/>
      <c r="R66" s="542"/>
      <c r="S66" s="542"/>
      <c r="T66" s="526"/>
      <c r="U66" s="526"/>
      <c r="V66" s="526"/>
      <c r="W66" s="3041">
        <f>K10/100</f>
        <v>0.18</v>
      </c>
      <c r="X66" s="526"/>
      <c r="Y66" s="526"/>
      <c r="Z66" s="274" t="s">
        <v>356</v>
      </c>
      <c r="AA66" s="274" t="s">
        <v>563</v>
      </c>
      <c r="AB66" s="274" t="s">
        <v>564</v>
      </c>
      <c r="AC66" s="275"/>
      <c r="AE66" s="526"/>
      <c r="AF66" s="526"/>
      <c r="AG66" s="526"/>
      <c r="AI66" s="274"/>
      <c r="AJ66" s="274"/>
      <c r="AK66" s="274"/>
      <c r="AL66" s="275"/>
    </row>
    <row r="67" spans="1:38" ht="16.5" customHeight="1" x14ac:dyDescent="0.2">
      <c r="A67" s="1599" t="s">
        <v>387</v>
      </c>
      <c r="B67" s="1098"/>
      <c r="C67" s="1071"/>
      <c r="D67" s="1263" t="s">
        <v>388</v>
      </c>
      <c r="E67" s="1262"/>
      <c r="F67" s="1383"/>
      <c r="G67" s="1157"/>
      <c r="H67" s="1382"/>
      <c r="I67" s="1471"/>
      <c r="K67" s="1667"/>
      <c r="L67" s="1629">
        <f t="shared" ref="L67:Q67" si="20">SUM(L69:L70)</f>
        <v>0</v>
      </c>
      <c r="M67" s="1094">
        <f t="shared" si="20"/>
        <v>0</v>
      </c>
      <c r="N67" s="1078">
        <f t="shared" si="20"/>
        <v>0</v>
      </c>
      <c r="O67" s="1078">
        <f t="shared" si="20"/>
        <v>0</v>
      </c>
      <c r="P67" s="1078">
        <f t="shared" si="20"/>
        <v>0</v>
      </c>
      <c r="Q67" s="1079">
        <f t="shared" si="20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38" ht="16.5" customHeight="1" x14ac:dyDescent="0.2">
      <c r="A68" s="1097" t="s">
        <v>389</v>
      </c>
      <c r="B68" s="1098"/>
      <c r="C68" s="1043"/>
      <c r="D68" s="1460" t="s">
        <v>390</v>
      </c>
      <c r="E68" s="1444"/>
      <c r="F68" s="1468"/>
      <c r="G68" s="1470"/>
      <c r="H68" s="1455" t="s">
        <v>4</v>
      </c>
      <c r="I68" s="1456" t="s">
        <v>961</v>
      </c>
      <c r="K68" s="1668"/>
      <c r="L68" s="1669"/>
      <c r="M68" s="1163" t="s">
        <v>962</v>
      </c>
      <c r="N68" s="1164"/>
      <c r="O68" s="1164"/>
      <c r="P68" s="1164"/>
      <c r="Q68" s="1165"/>
      <c r="W68" s="3123">
        <v>0.74</v>
      </c>
      <c r="Z68" s="530" t="s">
        <v>599</v>
      </c>
    </row>
    <row r="69" spans="1:38" s="528" customFormat="1" ht="15" customHeight="1" x14ac:dyDescent="0.2">
      <c r="A69" s="78"/>
      <c r="B69" s="937"/>
      <c r="C69" s="1378"/>
      <c r="D69" s="939">
        <f>IF($B69=0,0,VLOOKUP($B69,'Preise-Stammdaten'!$B$61:'Preise-Stammdaten'!$N$66,2))</f>
        <v>0</v>
      </c>
      <c r="E69" s="931"/>
      <c r="F69" s="939"/>
      <c r="G69" s="1473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670"/>
      <c r="L69" s="1671">
        <f>SUM(M69:Q69)</f>
        <v>0</v>
      </c>
      <c r="M69" s="1386">
        <f t="shared" ref="M69:P70" si="21">IF(AND($B69&lt;3,V$5=1),M$7*$I69/100,IF(AND($B69=3,V$5=3),M$7*$I69/100,0))</f>
        <v>0</v>
      </c>
      <c r="N69" s="933">
        <f t="shared" si="21"/>
        <v>0</v>
      </c>
      <c r="O69" s="933">
        <f t="shared" si="21"/>
        <v>0</v>
      </c>
      <c r="P69" s="933">
        <f t="shared" si="21"/>
        <v>0</v>
      </c>
      <c r="Q69" s="934">
        <f>IF(AND($B69&lt;3,Z$5=1),Q7*$I69/100,IF(AND($B69=3,Z$5=3),Q7*$I69/100,0))</f>
        <v>0</v>
      </c>
      <c r="R69" s="542"/>
      <c r="S69" s="542"/>
      <c r="Y69" s="526"/>
      <c r="AE69" s="526"/>
      <c r="AF69" s="526"/>
      <c r="AG69" s="526"/>
    </row>
    <row r="70" spans="1:38" s="528" customFormat="1" ht="15" customHeight="1" x14ac:dyDescent="0.2">
      <c r="A70" s="81"/>
      <c r="B70" s="1172"/>
      <c r="C70" s="1378"/>
      <c r="D70" s="939">
        <f>IF($B70=0,0,VLOOKUP($B70,'Preise-Stammdaten'!$B$61:'Preise-Stammdaten'!$N$66,2))</f>
        <v>0</v>
      </c>
      <c r="E70" s="931"/>
      <c r="F70" s="939"/>
      <c r="G70" s="1473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672"/>
      <c r="L70" s="1660">
        <f>SUM(M70:Q70)</f>
        <v>0</v>
      </c>
      <c r="M70" s="1385">
        <f t="shared" si="21"/>
        <v>0</v>
      </c>
      <c r="N70" s="935">
        <f t="shared" si="21"/>
        <v>0</v>
      </c>
      <c r="O70" s="935">
        <f t="shared" si="21"/>
        <v>0</v>
      </c>
      <c r="P70" s="935">
        <f t="shared" si="21"/>
        <v>0</v>
      </c>
      <c r="Q70" s="936">
        <f>IF(AND($B70&lt;3,Z$5=1),Q$7*$I70/100,IF(AND($B70=3,Z$5=3),Q$7*$I70/100,0))</f>
        <v>0</v>
      </c>
      <c r="R70" s="542"/>
      <c r="S70" s="542"/>
      <c r="Y70" s="526"/>
      <c r="AE70" s="526"/>
      <c r="AF70" s="526"/>
      <c r="AG70" s="526"/>
    </row>
    <row r="71" spans="1:38" s="528" customFormat="1" ht="15" customHeight="1" x14ac:dyDescent="0.2">
      <c r="A71" s="81"/>
      <c r="B71" s="1384"/>
      <c r="C71" s="1474"/>
      <c r="D71" s="1464"/>
      <c r="E71" s="1465"/>
      <c r="F71" s="1464"/>
      <c r="G71" s="1467"/>
      <c r="H71" s="1448"/>
      <c r="I71" s="1449"/>
      <c r="J71" s="1387"/>
      <c r="K71" s="1672"/>
      <c r="L71" s="1661"/>
      <c r="M71" s="1477"/>
      <c r="N71" s="1477"/>
      <c r="O71" s="1477"/>
      <c r="P71" s="1477"/>
      <c r="Q71" s="1478"/>
      <c r="R71" s="542"/>
      <c r="S71" s="542"/>
      <c r="Y71" s="526"/>
      <c r="AE71" s="526"/>
      <c r="AF71" s="526"/>
      <c r="AG71" s="526"/>
    </row>
    <row r="72" spans="1:38" s="529" customFormat="1" ht="16.5" customHeight="1" x14ac:dyDescent="0.2">
      <c r="A72" s="1167"/>
      <c r="B72" s="1168"/>
      <c r="C72" s="171"/>
      <c r="D72" s="143" t="s">
        <v>573</v>
      </c>
      <c r="E72" s="143"/>
      <c r="F72" s="989"/>
      <c r="G72" s="989"/>
      <c r="H72" s="989"/>
      <c r="I72" s="989"/>
      <c r="J72" s="157"/>
      <c r="K72" s="1171" t="s">
        <v>796</v>
      </c>
      <c r="L72" s="724">
        <f>'Preise-Stammdaten'!N26</f>
        <v>1.5</v>
      </c>
      <c r="M72" s="1128"/>
      <c r="N72" s="1026"/>
      <c r="O72" s="1026"/>
      <c r="P72" s="1157" t="s">
        <v>963</v>
      </c>
      <c r="Q72" s="772">
        <v>5</v>
      </c>
      <c r="R72" s="542"/>
      <c r="S72" s="542"/>
      <c r="Y72" s="526"/>
      <c r="AE72" s="526"/>
      <c r="AF72" s="526"/>
      <c r="AG72" s="526"/>
    </row>
    <row r="75" spans="1:38" x14ac:dyDescent="0.2">
      <c r="D75" s="542" t="s">
        <v>1202</v>
      </c>
    </row>
    <row r="76" spans="1:38" x14ac:dyDescent="0.2">
      <c r="N76" s="1422"/>
    </row>
    <row r="77" spans="1:38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2">K16</f>
        <v>0</v>
      </c>
      <c r="L77" s="3321">
        <f t="shared" si="22"/>
        <v>0</v>
      </c>
      <c r="M77" s="3321">
        <f t="shared" si="22"/>
        <v>0</v>
      </c>
      <c r="N77" s="3321">
        <f t="shared" si="22"/>
        <v>0</v>
      </c>
      <c r="O77" s="3321">
        <f t="shared" si="22"/>
        <v>0</v>
      </c>
      <c r="P77" s="3321">
        <f t="shared" si="22"/>
        <v>0</v>
      </c>
      <c r="Q77" s="3321">
        <f t="shared" si="22"/>
        <v>0</v>
      </c>
    </row>
    <row r="78" spans="1:38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38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38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22" orientation="portrait" useFirstPageNumber="1" verticalDpi="300" r:id="rId1"/>
  <headerFooter alignWithMargins="0">
    <oddFooter>&amp;L&amp;12LEL Schwäbisch Gmünd (Abtlg. II)
LAZBW Aulendorf&amp;C&amp;12&amp;P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4" r:id="rId4" name="Drop Down 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6</xdr:col>
                    <xdr:colOff>19050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5" name="Drop Down 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6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6" name="Drop Down 1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19050</xdr:rowOff>
                  </from>
                  <to>
                    <xdr:col>6</xdr:col>
                    <xdr:colOff>19050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7" name="Drop Down 11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6</xdr:col>
                    <xdr:colOff>19050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8" name="Drop Down 12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6</xdr:col>
                    <xdr:colOff>19050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9" name="Drop Down 13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6</xdr:col>
                    <xdr:colOff>19050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0" name="Drop Down 14">
              <controlPr defaultSize="0" autoLine="0" autoPict="0">
                <anchor moveWithCells="1">
                  <from>
                    <xdr:col>3</xdr:col>
                    <xdr:colOff>0</xdr:colOff>
                    <xdr:row>55</xdr:row>
                    <xdr:rowOff>0</xdr:rowOff>
                  </from>
                  <to>
                    <xdr:col>6</xdr:col>
                    <xdr:colOff>19050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1" name="Drop Down 15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6</xdr:col>
                    <xdr:colOff>19050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2" name="Drop Down 16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6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3" name="Drop Down 17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6</xdr:col>
                    <xdr:colOff>19050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4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6</xdr:col>
                    <xdr:colOff>19050</xdr:colOff>
                    <xdr:row>46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00B0F0"/>
    <pageSetUpPr fitToPage="1"/>
  </sheetPr>
  <dimension ref="B1:AS98"/>
  <sheetViews>
    <sheetView showGridLines="0" showZeros="0" zoomScaleNormal="100" workbookViewId="0">
      <pane xSplit="13" ySplit="5" topLeftCell="N6" activePane="bottomRight" state="frozen"/>
      <selection activeCell="R55" sqref="R55"/>
      <selection pane="topRight" activeCell="R55" sqref="R55"/>
      <selection pane="bottomLeft" activeCell="R55" sqref="R55"/>
      <selection pane="bottomRight" activeCell="S1" sqref="S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'2)Grünf. 4Nutz.(a)'!H2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'2)Grünf. 4Nutz.(a)'!K2</f>
        <v>Wiese; 4 Nutzungen (4 x Grünfutter)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3">
        <f>Deckbl!$D$27</f>
        <v>44635</v>
      </c>
      <c r="G3" s="4303"/>
      <c r="H3" s="1779"/>
      <c r="I3" s="4280" t="str">
        <f>'2)Grünf. 4Nutz.(a)'!H3</f>
        <v>4 Nutzungen;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>
        <f>'2)Grünf. 4Nutz.(a)'!M5</f>
        <v>0</v>
      </c>
      <c r="O5" s="1568">
        <f>'2)Grünf. 4Nutz.(a)'!N5</f>
        <v>0</v>
      </c>
      <c r="P5" s="1568">
        <f>'2)Grünf. 4Nutz.(a)'!O5</f>
        <v>0</v>
      </c>
      <c r="Q5" s="1568">
        <f>'2)Grünf. 4Nutz.(a)'!P5</f>
        <v>0</v>
      </c>
      <c r="R5" s="1573">
        <f>'2)Grünf. 4Nutz.(a)'!Q5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'2)Grünf. 4Nutz.(a)'!K6</f>
        <v>90</v>
      </c>
      <c r="N6" s="1821">
        <f>'2)Grünf. 4Nutz.(a)'!M6</f>
        <v>31.5</v>
      </c>
      <c r="O6" s="1821">
        <f>'2)Grünf. 4Nutz.(a)'!N6</f>
        <v>22.5</v>
      </c>
      <c r="P6" s="1821">
        <f>'2)Grünf. 4Nutz.(a)'!O6</f>
        <v>18</v>
      </c>
      <c r="Q6" s="1821">
        <f>'2)Grünf. 4Nutz.(a)'!P6</f>
        <v>18</v>
      </c>
      <c r="R6" s="1822">
        <f>'2)Grünf. 4Nutz.(a)'!Q6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'2)Grünf. 4Nutz.(a)'!K14</f>
        <v>85.5</v>
      </c>
      <c r="N7" s="452">
        <f>'2)Grünf. 4Nutz.(a)'!M14</f>
        <v>29.925000000000001</v>
      </c>
      <c r="O7" s="452">
        <f>'2)Grünf. 4Nutz.(a)'!N14</f>
        <v>21.375</v>
      </c>
      <c r="P7" s="452">
        <f>'2)Grünf. 4Nutz.(a)'!O14</f>
        <v>17.100000000000001</v>
      </c>
      <c r="Q7" s="452">
        <f>'2)Grünf. 4Nutz.(a)'!P14</f>
        <v>17.100000000000001</v>
      </c>
      <c r="R7" s="1744">
        <f>'2)Grünf. 4Nutz.(a)'!Q14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'2)Grünf. 4Nutz.(a)'!K15</f>
        <v>475</v>
      </c>
      <c r="N8" s="473">
        <f>'2)Grünf. 4Nutz.(a)'!M15</f>
        <v>166.25</v>
      </c>
      <c r="O8" s="473">
        <f>'2)Grünf. 4Nutz.(a)'!N15</f>
        <v>118.75</v>
      </c>
      <c r="P8" s="473">
        <f>'2)Grünf. 4Nutz.(a)'!O15</f>
        <v>95</v>
      </c>
      <c r="Q8" s="473">
        <f>'2)Grünf. 4Nutz.(a)'!P15</f>
        <v>95</v>
      </c>
      <c r="R8" s="1583">
        <f>'2)Grünf. 4Nutz.(a)'!Q15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'2)Grünf. 4Nutz.(a)'!K17</f>
        <v>85.5</v>
      </c>
      <c r="N9" s="452">
        <f>'2)Grünf. 4Nutz.(a)'!M17</f>
        <v>29.925000000000001</v>
      </c>
      <c r="O9" s="452">
        <f>'2)Grünf. 4Nutz.(a)'!N17</f>
        <v>21.375</v>
      </c>
      <c r="P9" s="452">
        <f>'2)Grünf. 4Nutz.(a)'!O17</f>
        <v>17.100000000000001</v>
      </c>
      <c r="Q9" s="452">
        <f>'2)Grünf. 4Nutz.(a)'!P17</f>
        <v>17.100000000000001</v>
      </c>
      <c r="R9" s="1744">
        <f>'2)Grünf. 4Nutz.(a)'!Q17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'2)Grünf. 4Nutz.(a)'!K18</f>
        <v>475</v>
      </c>
      <c r="N10" s="1748">
        <f>'2)Grünf. 4Nutz.(a)'!M18</f>
        <v>166.25</v>
      </c>
      <c r="O10" s="1748">
        <f>'2)Grünf. 4Nutz.(a)'!N18</f>
        <v>118.75</v>
      </c>
      <c r="P10" s="1748">
        <f>'2)Grünf. 4Nutz.(a)'!O18</f>
        <v>95</v>
      </c>
      <c r="Q10" s="1748">
        <f>'2)Grünf. 4Nutz.(a)'!P18</f>
        <v>95</v>
      </c>
      <c r="R10" s="1745">
        <f>'2)Grünf. 4Nutz.(a)'!Q18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'2)Grünf. 4Nutz.(a)'!K19</f>
        <v>0</v>
      </c>
      <c r="N11" s="2095">
        <f>'2)Grünf. 4Nutz.(a)'!L19</f>
        <v>0</v>
      </c>
      <c r="O11" s="2095">
        <f>'2)Grünf. 4Nutz.(a)'!M19</f>
        <v>0</v>
      </c>
      <c r="P11" s="2095">
        <f>'2)Grünf. 4Nutz.(a)'!N19</f>
        <v>0</v>
      </c>
      <c r="Q11" s="2095">
        <f>'2)Grünf. 4Nutz.(a)'!O19</f>
        <v>0</v>
      </c>
      <c r="R11" s="2096">
        <f>'2)Grünf. 4Nutz.(a)'!P19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'2)Grünf. 4Nutz.(a)'!K22</f>
        <v>5228.3249999999998</v>
      </c>
      <c r="N12" s="1176">
        <f>'2)Grünf. 4Nutz.(a)'!M22</f>
        <v>1885.2750000000001</v>
      </c>
      <c r="O12" s="1176">
        <f>'2)Grünf. 4Nutz.(a)'!N22</f>
        <v>1325.25</v>
      </c>
      <c r="P12" s="1176">
        <f>'2)Grünf. 4Nutz.(a)'!O22</f>
        <v>1026</v>
      </c>
      <c r="Q12" s="1176">
        <f>'2)Grünf. 4Nutz.(a)'!P22</f>
        <v>991.80000000000007</v>
      </c>
      <c r="R12" s="1747">
        <f>'2)Grünf. 4Nutz.(a)'!Q22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'2)Grünf. 4Nutz.(a)'!K23</f>
        <v>8713.875</v>
      </c>
      <c r="N13" s="2065">
        <f>'2)Grünf. 4Nutz.(a)'!M23</f>
        <v>3142.1250000000005</v>
      </c>
      <c r="O13" s="2065">
        <f>'2)Grünf. 4Nutz.(a)'!N23</f>
        <v>2208.75</v>
      </c>
      <c r="P13" s="2065">
        <f>'2)Grünf. 4Nutz.(a)'!O23</f>
        <v>1710</v>
      </c>
      <c r="Q13" s="2065">
        <f>'2)Grünf. 4Nutz.(a)'!P23</f>
        <v>1653</v>
      </c>
      <c r="R13" s="2067">
        <f>'2)Grünf. 4Nutz.(a)'!Q23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94.5</v>
      </c>
      <c r="O15" s="3340">
        <f t="shared" si="0"/>
        <v>67.5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94.5</v>
      </c>
      <c r="O17" s="2065">
        <f t="shared" si="2"/>
        <v>67.5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'2)Grünf. 4Nutz.(a)'!L32</f>
        <v>23.54</v>
      </c>
      <c r="N19" s="2071">
        <f>'2)Grünf. 4Nutz.(a)'!M32</f>
        <v>8.238999999999999</v>
      </c>
      <c r="O19" s="2071">
        <f>'2)Grünf. 4Nutz.(a)'!N32</f>
        <v>5.8849999999999998</v>
      </c>
      <c r="P19" s="2071">
        <f>'2)Grünf. 4Nutz.(a)'!O32</f>
        <v>4.7079999999999993</v>
      </c>
      <c r="Q19" s="2071">
        <f>'2)Grünf. 4Nutz.(a)'!P32</f>
        <v>4.7079999999999993</v>
      </c>
      <c r="R19" s="2073">
        <f>'2)Grünf. 4Nutz.(a)'!Q32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'2)Grünf. 4Nutz.(a)'!L34</f>
        <v>666.87242999999989</v>
      </c>
      <c r="N20" s="285">
        <f>'2)Grünf. 4Nutz.(a)'!M34</f>
        <v>233.40535049999994</v>
      </c>
      <c r="O20" s="285">
        <f>'2)Grünf. 4Nutz.(a)'!N34</f>
        <v>166.71810749999997</v>
      </c>
      <c r="P20" s="285">
        <f>'2)Grünf. 4Nutz.(a)'!O34</f>
        <v>133.37448599999999</v>
      </c>
      <c r="Q20" s="285">
        <f>'2)Grünf. 4Nutz.(a)'!P34</f>
        <v>133.37448599999999</v>
      </c>
      <c r="R20" s="1574">
        <f>'2)Grünf. 4Nutz.(a)'!Q34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'2)Grünf. 4Nutz.(a)'!L40</f>
        <v>0</v>
      </c>
      <c r="N21" s="285">
        <f>'2)Grünf. 4Nutz.(a)'!M40</f>
        <v>0</v>
      </c>
      <c r="O21" s="285">
        <f>'2)Grünf. 4Nutz.(a)'!N40</f>
        <v>0</v>
      </c>
      <c r="P21" s="285">
        <f>'2)Grünf. 4Nutz.(a)'!O40</f>
        <v>0</v>
      </c>
      <c r="Q21" s="285">
        <f>'2)Grünf. 4Nutz.(a)'!P40</f>
        <v>0</v>
      </c>
      <c r="R21" s="1574">
        <f>'2)Grünf. 4Nutz.(a)'!Q40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'2)Grünf. 4Nutz.(a)'!L67</f>
        <v>0</v>
      </c>
      <c r="N23" s="285">
        <f>'2)Grünf. 4Nutz.(a)'!M67</f>
        <v>0</v>
      </c>
      <c r="O23" s="285">
        <f>'2)Grünf. 4Nutz.(a)'!N67</f>
        <v>0</v>
      </c>
      <c r="P23" s="285">
        <f>'2)Grünf. 4Nutz.(a)'!O67</f>
        <v>0</v>
      </c>
      <c r="Q23" s="285">
        <f>'2)Grünf. 4Nutz.(a)'!P67</f>
        <v>0</v>
      </c>
      <c r="R23" s="1574">
        <f>'2)Grünf. 4Nutz.(a)'!Q67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'2)Grünf. 4Nutz.(a)'!L43</f>
        <v>297.62442695440001</v>
      </c>
      <c r="N24" s="285">
        <f>'2)Grünf. 4Nutz.(a)'!M43</f>
        <v>99.850416538600015</v>
      </c>
      <c r="O24" s="285">
        <f>'2)Grünf. 4Nutz.(a)'!N43</f>
        <v>74.406106738600002</v>
      </c>
      <c r="P24" s="285">
        <f>'2)Grünf. 4Nutz.(a)'!O43</f>
        <v>61.683951838600002</v>
      </c>
      <c r="Q24" s="285">
        <f>'2)Grünf. 4Nutz.(a)'!P43</f>
        <v>61.683951838600002</v>
      </c>
      <c r="R24" s="1574">
        <f>'2)Grünf. 4Nutz.(a)'!Q43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'2)Grünf. 4Nutz.(a)'!L59</f>
        <v>15.469999999999999</v>
      </c>
      <c r="N25" s="285">
        <f>'2)Grünf. 4Nutz.(a)'!M59</f>
        <v>3.8674999999999997</v>
      </c>
      <c r="O25" s="285">
        <f>'2)Grünf. 4Nutz.(a)'!N59</f>
        <v>3.8674999999999997</v>
      </c>
      <c r="P25" s="285">
        <f>'2)Grünf. 4Nutz.(a)'!O59</f>
        <v>3.8674999999999997</v>
      </c>
      <c r="Q25" s="285">
        <f>'2)Grünf. 4Nutz.(a)'!P59</f>
        <v>3.8674999999999997</v>
      </c>
      <c r="R25" s="1574">
        <f>'2)Grünf. 4Nutz.(a)'!Q59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'2)Grünf. 4Nutz.(a)'!L64</f>
        <v>0</v>
      </c>
      <c r="N26" s="1979">
        <f>'2)Grünf. 4Nutz.(a)'!M64</f>
        <v>0</v>
      </c>
      <c r="O26" s="1979">
        <f>'2)Grünf. 4Nutz.(a)'!N64</f>
        <v>0</v>
      </c>
      <c r="P26" s="1979">
        <f>'2)Grünf. 4Nutz.(a)'!O64</f>
        <v>0</v>
      </c>
      <c r="Q26" s="1979">
        <f>'2)Grünf. 4Nutz.(a)'!P64</f>
        <v>0</v>
      </c>
      <c r="R26" s="1981">
        <f>'2)Grünf. 4Nutz.(a)'!Q64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1003.5068569543998</v>
      </c>
      <c r="N27" s="2407">
        <f t="shared" si="4"/>
        <v>345.36226703859995</v>
      </c>
      <c r="O27" s="2407">
        <f t="shared" si="4"/>
        <v>250.87671423859996</v>
      </c>
      <c r="P27" s="2407">
        <f t="shared" si="4"/>
        <v>203.63393783859999</v>
      </c>
      <c r="Q27" s="2407">
        <f t="shared" si="4"/>
        <v>203.63393783859999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-1003.5068569543998</v>
      </c>
      <c r="N28" s="1777">
        <f t="shared" si="5"/>
        <v>-345.36226703859995</v>
      </c>
      <c r="O28" s="1777">
        <f t="shared" si="5"/>
        <v>-250.87671423859996</v>
      </c>
      <c r="P28" s="1777">
        <f t="shared" si="5"/>
        <v>-203.63393783859999</v>
      </c>
      <c r="Q28" s="1777">
        <f t="shared" si="5"/>
        <v>-203.63393783859999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-0.19193658713916978</v>
      </c>
      <c r="N29" s="1874">
        <f t="shared" si="7"/>
        <v>-0.18318933155035735</v>
      </c>
      <c r="O29" s="1874">
        <f t="shared" si="7"/>
        <v>-0.18930519844451987</v>
      </c>
      <c r="P29" s="1874">
        <f t="shared" si="7"/>
        <v>-0.19847362362436646</v>
      </c>
      <c r="Q29" s="1874">
        <f t="shared" si="7"/>
        <v>-0.20531754168037908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94.5</v>
      </c>
      <c r="O30" s="2097">
        <f t="shared" si="8"/>
        <v>67.5</v>
      </c>
      <c r="P30" s="2097">
        <f t="shared" si="8"/>
        <v>54</v>
      </c>
      <c r="Q30" s="2097">
        <f t="shared" si="8"/>
        <v>54</v>
      </c>
      <c r="R30" s="1744">
        <f t="shared" si="8"/>
        <v>0</v>
      </c>
      <c r="T30" s="3297" t="s">
        <v>1216</v>
      </c>
      <c r="U30" s="3308">
        <f>'2)Grünf. 4Nutz.(a)'!L25</f>
        <v>0</v>
      </c>
      <c r="V30" s="3308">
        <f>'2)Grünf. 4Nutz.(a)'!M25</f>
        <v>0</v>
      </c>
      <c r="W30" s="3308">
        <f>'2)Grünf. 4Nutz.(a)'!N25</f>
        <v>0</v>
      </c>
      <c r="X30" s="3308">
        <f>'2)Grünf. 4Nutz.(a)'!O25</f>
        <v>0</v>
      </c>
      <c r="Y30" s="3308">
        <f>'2)Grünf. 4Nutz.(a)'!P25</f>
        <v>0</v>
      </c>
      <c r="Z30" s="3308">
        <f>'1)Grünf. 3Nutz.(a)'!Q25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M27*'2)Grünf. 4Nutz.(a)'!$L$72*'2)Grünf. 4Nutz.(a)'!$Q$72/12/100</f>
        <v>6.2719178559649977</v>
      </c>
      <c r="N31" s="1979">
        <f>N27*'2)Grünf. 4Nutz.(a)'!$L$72*'2)Grünf. 4Nutz.(a)'!$Q$72/12/100</f>
        <v>2.1585141689912497</v>
      </c>
      <c r="O31" s="1979">
        <f>O27*'2)Grünf. 4Nutz.(a)'!$L$72*'2)Grünf. 4Nutz.(a)'!$Q$72/12/100</f>
        <v>1.5679794639912494</v>
      </c>
      <c r="P31" s="1979">
        <f>P27*'2)Grünf. 4Nutz.(a)'!$L$72*'2)Grünf. 4Nutz.(a)'!$Q$72/12/100</f>
        <v>1.2727121114912499</v>
      </c>
      <c r="Q31" s="1979">
        <f>Q27*'2)Grünf. 4Nutz.(a)'!$L$72*'2)Grünf. 4Nutz.(a)'!$Q$72/12/100</f>
        <v>1.2727121114912499</v>
      </c>
      <c r="R31" s="1981">
        <f>R27*'2)Grünf. 4Nutz.(a)'!$L$72*'2)Grünf. 4Nutz.(a)'!$Q$72/12/100</f>
        <v>0</v>
      </c>
      <c r="T31" s="3297" t="s">
        <v>1215</v>
      </c>
      <c r="U31" s="8">
        <f>'2)Grünf. 4Nutz.(a)'!L30</f>
        <v>270</v>
      </c>
      <c r="V31" s="8">
        <f>'2)Grünf. 4Nutz.(a)'!M30</f>
        <v>94.5</v>
      </c>
      <c r="W31" s="8">
        <f>'2)Grünf. 4Nutz.(a)'!N30</f>
        <v>67.5</v>
      </c>
      <c r="X31" s="8">
        <f>'2)Grünf. 4Nutz.(a)'!O30</f>
        <v>54</v>
      </c>
      <c r="Y31" s="8">
        <f>'2)Grünf. 4Nutz.(a)'!P30</f>
        <v>54</v>
      </c>
      <c r="Z31" s="8">
        <f>'2)Grünf. 4Nutz.(a)'!Q30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-739.77877481036478</v>
      </c>
      <c r="N32" s="1769">
        <f t="shared" si="9"/>
        <v>-253.0207812075912</v>
      </c>
      <c r="O32" s="1769">
        <f t="shared" si="9"/>
        <v>-184.9446937025912</v>
      </c>
      <c r="P32" s="1769">
        <f t="shared" si="9"/>
        <v>-150.90664995009124</v>
      </c>
      <c r="Q32" s="1769">
        <f t="shared" si="9"/>
        <v>-150.90664995009124</v>
      </c>
      <c r="R32" s="1776">
        <f t="shared" si="9"/>
        <v>0</v>
      </c>
      <c r="S32" s="304"/>
      <c r="U32" s="429">
        <f t="shared" ref="U32:Z32" si="10">U30+U31</f>
        <v>270</v>
      </c>
      <c r="V32" s="429">
        <f t="shared" si="10"/>
        <v>94.5</v>
      </c>
      <c r="W32" s="429">
        <f t="shared" si="10"/>
        <v>67.5</v>
      </c>
      <c r="X32" s="429">
        <f t="shared" si="10"/>
        <v>54</v>
      </c>
      <c r="Y32" s="429">
        <f t="shared" si="10"/>
        <v>54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-0.14149441261022694</v>
      </c>
      <c r="N33" s="1581">
        <f t="shared" si="11"/>
        <v>-0.13420895158933904</v>
      </c>
      <c r="O33" s="1581">
        <f t="shared" si="11"/>
        <v>-0.13955456985669965</v>
      </c>
      <c r="P33" s="1581">
        <f t="shared" si="11"/>
        <v>-0.14708250482465032</v>
      </c>
      <c r="Q33" s="1581">
        <f t="shared" si="11"/>
        <v>-0.15215431533584517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-8.4896647566136171E-2</v>
      </c>
      <c r="N34" s="2149">
        <f t="shared" si="12"/>
        <v>-8.0525370953603431E-2</v>
      </c>
      <c r="O34" s="2149">
        <f t="shared" si="12"/>
        <v>-8.3732741914019776E-2</v>
      </c>
      <c r="P34" s="2149">
        <f t="shared" si="12"/>
        <v>-8.8249502894790194E-2</v>
      </c>
      <c r="Q34" s="2149">
        <f t="shared" si="12"/>
        <v>-9.1292589201507096E-2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'2)Grünf. 4Nutz.(a)'!K58</f>
        <v>14.266500000000001</v>
      </c>
      <c r="N36" s="2397">
        <f>'2)Grünf. 4Nutz.(a)'!M58</f>
        <v>4.4928749999999997</v>
      </c>
      <c r="O36" s="2397">
        <f>'2)Grünf. 4Nutz.(a)'!N58</f>
        <v>3.5666250000000002</v>
      </c>
      <c r="P36" s="2397">
        <f>'2)Grünf. 4Nutz.(a)'!O58</f>
        <v>3.1034999999999999</v>
      </c>
      <c r="Q36" s="2397">
        <f>'2)Grünf. 4Nutz.(a)'!P58</f>
        <v>3.1034999999999999</v>
      </c>
      <c r="R36" s="2398">
        <f>'2)Grünf. 4Nutz.(a)'!Q58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'2)Grünf. 4Nutz.(a)'!K16</f>
        <v>0</v>
      </c>
      <c r="N37" s="2400">
        <f>'2)Grünf. 4Nutz.(a)'!M16</f>
        <v>0</v>
      </c>
      <c r="O37" s="2400">
        <f>'2)Grünf. 4Nutz.(a)'!N16</f>
        <v>0</v>
      </c>
      <c r="P37" s="2400">
        <f>'2)Grünf. 4Nutz.(a)'!O16</f>
        <v>0</v>
      </c>
      <c r="Q37" s="2400">
        <f>'2)Grünf. 4Nutz.(a)'!P16</f>
        <v>0</v>
      </c>
      <c r="R37" s="2401">
        <f>'2)Grünf. 4Nutz.(a)'!Q16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2112">
        <f>'2)Grünf. 4Nutz.(a)'!M78</f>
        <v>0</v>
      </c>
      <c r="O38" s="2112">
        <f>'2)Grünf. 4Nutz.(a)'!N78</f>
        <v>0</v>
      </c>
      <c r="P38" s="2112">
        <f>'2)Grünf. 4Nutz.(a)'!O78</f>
        <v>0</v>
      </c>
      <c r="Q38" s="2112">
        <f>'2)Grünf. 4Nutz.(a)'!P78</f>
        <v>0</v>
      </c>
      <c r="R38" s="2113">
        <f>'2)Grünf. 4Nutz.(a)'!Q78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249.66375000000002</v>
      </c>
      <c r="N39" s="285">
        <f t="shared" si="14"/>
        <v>78.625312499999993</v>
      </c>
      <c r="O39" s="285">
        <f t="shared" si="14"/>
        <v>62.415937500000005</v>
      </c>
      <c r="P39" s="285">
        <f t="shared" si="14"/>
        <v>54.311250000000001</v>
      </c>
      <c r="Q39" s="285">
        <f t="shared" si="14"/>
        <v>54.311250000000001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'Festk-Masch-Geb'!T44-'Festk-Masch-Geb'!T36-'Festk-Masch-Geb'!T30-'Festk-Masch-Geb'!T32-'Festk-Masch-Geb'!T33-'Festk-Masch-Geb'!T38</f>
        <v>363.47481170033677</v>
      </c>
      <c r="N41" s="285">
        <f>N$6/$M$6*$M$41</f>
        <v>127.21618409511787</v>
      </c>
      <c r="O41" s="285">
        <f>O$6/$M$6*$M$41</f>
        <v>90.868702925084193</v>
      </c>
      <c r="P41" s="285">
        <f>P$6/$M$6*$M$41</f>
        <v>72.694962340067363</v>
      </c>
      <c r="Q41" s="285">
        <f>Q$6/$M$6*$M$41</f>
        <v>72.694962340067363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24.156999999999996</v>
      </c>
      <c r="O42" s="285">
        <f>O$6/$M$6*$M$42</f>
        <v>17.254999999999999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73.5</v>
      </c>
      <c r="O43" s="285">
        <f>O$6/$M$6*$M$43</f>
        <v>52.5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45.08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1020.9585617003368</v>
      </c>
      <c r="N45" s="1991">
        <f t="shared" si="15"/>
        <v>348.57849659511783</v>
      </c>
      <c r="O45" s="1991">
        <f t="shared" si="15"/>
        <v>255.23964042508419</v>
      </c>
      <c r="P45" s="1991">
        <f t="shared" si="15"/>
        <v>208.57021234006737</v>
      </c>
      <c r="Q45" s="1991">
        <f t="shared" si="15"/>
        <v>208.57021234006737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2030.7373365107014</v>
      </c>
      <c r="N48" s="2127">
        <f t="shared" si="17"/>
        <v>696.09927780270903</v>
      </c>
      <c r="O48" s="2041">
        <f t="shared" si="17"/>
        <v>507.68433412767536</v>
      </c>
      <c r="P48" s="2041">
        <f t="shared" si="17"/>
        <v>413.47686229015858</v>
      </c>
      <c r="Q48" s="2041">
        <f t="shared" si="17"/>
        <v>413.47686229015858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-2030.7373365107014</v>
      </c>
      <c r="N49" s="2125">
        <f t="shared" si="18"/>
        <v>-696.09927780270903</v>
      </c>
      <c r="O49" s="1772">
        <f t="shared" si="18"/>
        <v>-507.68433412767536</v>
      </c>
      <c r="P49" s="1772">
        <f t="shared" si="18"/>
        <v>-413.47686229015858</v>
      </c>
      <c r="Q49" s="1772">
        <f t="shared" si="18"/>
        <v>-413.47686229015858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-0.38841069300602038</v>
      </c>
      <c r="N50" s="2511">
        <f t="shared" si="19"/>
        <v>-0.36922957011720253</v>
      </c>
      <c r="O50" s="2168">
        <f t="shared" si="19"/>
        <v>-0.38308570769867978</v>
      </c>
      <c r="P50" s="2168">
        <f t="shared" si="19"/>
        <v>-0.40299889112101228</v>
      </c>
      <c r="Q50" s="2168">
        <f t="shared" si="19"/>
        <v>-0.41689540460794366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94.5</v>
      </c>
      <c r="O51" s="2185">
        <f t="shared" si="20"/>
        <v>67.5</v>
      </c>
      <c r="P51" s="2185">
        <f t="shared" si="20"/>
        <v>54</v>
      </c>
      <c r="Q51" s="2185">
        <f t="shared" si="20"/>
        <v>54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-1760.7373365107014</v>
      </c>
      <c r="N52" s="2178">
        <f t="shared" si="21"/>
        <v>-601.59927780270903</v>
      </c>
      <c r="O52" s="2081">
        <f t="shared" si="21"/>
        <v>-440.18433412767536</v>
      </c>
      <c r="P52" s="2081">
        <f t="shared" si="21"/>
        <v>-359.47686229015858</v>
      </c>
      <c r="Q52" s="2081">
        <f t="shared" si="21"/>
        <v>-359.47686229015858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-0.33676891480745774</v>
      </c>
      <c r="N53" s="2511">
        <f t="shared" si="22"/>
        <v>-0.31910425683399452</v>
      </c>
      <c r="O53" s="2168">
        <f t="shared" si="22"/>
        <v>-0.33215192162058127</v>
      </c>
      <c r="P53" s="2168">
        <f t="shared" si="22"/>
        <v>-0.35036731217364386</v>
      </c>
      <c r="Q53" s="2168">
        <f t="shared" si="22"/>
        <v>-0.36244894362790742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1760.7373365107014</v>
      </c>
      <c r="N55" s="2038">
        <f t="shared" si="23"/>
        <v>601.59927780270903</v>
      </c>
      <c r="O55" s="2038">
        <f t="shared" si="23"/>
        <v>440.18433412767536</v>
      </c>
      <c r="P55" s="2038">
        <f t="shared" si="23"/>
        <v>359.47686229015858</v>
      </c>
      <c r="Q55" s="2038">
        <f t="shared" si="23"/>
        <v>359.47686229015858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3.7068154452856872</v>
      </c>
      <c r="N56" s="2103">
        <f t="shared" si="25"/>
        <v>3.6186422724974978</v>
      </c>
      <c r="O56" s="2103">
        <f t="shared" si="25"/>
        <v>3.7068154452856872</v>
      </c>
      <c r="P56" s="2103">
        <f t="shared" si="25"/>
        <v>3.7839669714753534</v>
      </c>
      <c r="Q56" s="2103">
        <f t="shared" si="25"/>
        <v>3.7839669714753534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20.59341914047604</v>
      </c>
      <c r="N57" s="3427">
        <f>IF($N$7=0,0,N$55/$N$9)</f>
        <v>20.103568180541654</v>
      </c>
      <c r="O57" s="3427">
        <f>IF($O$7=0,0,O$55/$O$9)</f>
        <v>20.59341914047604</v>
      </c>
      <c r="P57" s="3427">
        <f>IF($P$7=0,0,P$55/$P$9)</f>
        <v>21.022038730418629</v>
      </c>
      <c r="Q57" s="3427">
        <f>IF($Q$7=0,0,Q$55/$Q$9)</f>
        <v>21.022038730418629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0.33676891480745774</v>
      </c>
      <c r="N59" s="2136">
        <f t="shared" si="26"/>
        <v>0.31910425683399452</v>
      </c>
      <c r="O59" s="2136">
        <f t="shared" si="26"/>
        <v>0.33215192162058127</v>
      </c>
      <c r="P59" s="2136">
        <f t="shared" si="26"/>
        <v>0.35036731217364386</v>
      </c>
      <c r="Q59" s="2136">
        <f t="shared" si="26"/>
        <v>0.36244894362790742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9.3546920779849371E-2</v>
      </c>
      <c r="N60" s="2136">
        <f t="shared" si="27"/>
        <v>8.8640071342776253E-2</v>
      </c>
      <c r="O60" s="2136">
        <f t="shared" si="27"/>
        <v>9.2264422672383689E-2</v>
      </c>
      <c r="P60" s="2136">
        <f t="shared" si="27"/>
        <v>9.7324253381567749E-2</v>
      </c>
      <c r="Q60" s="2136">
        <f t="shared" si="27"/>
        <v>0.10068026211886316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0.33676891480745774</v>
      </c>
      <c r="N61" s="2136">
        <f t="shared" si="28"/>
        <v>0.31910425683399452</v>
      </c>
      <c r="O61" s="2136">
        <f t="shared" si="28"/>
        <v>0.33215192162058127</v>
      </c>
      <c r="P61" s="2136">
        <f t="shared" si="28"/>
        <v>0.35036731217364386</v>
      </c>
      <c r="Q61" s="2136">
        <f t="shared" si="28"/>
        <v>0.36244894362790742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0.20206134888447463</v>
      </c>
      <c r="N62" s="2513">
        <f t="shared" si="29"/>
        <v>0.1914625541003967</v>
      </c>
      <c r="O62" s="2513">
        <f t="shared" si="29"/>
        <v>0.19929115297234878</v>
      </c>
      <c r="P62" s="2513">
        <f t="shared" si="29"/>
        <v>0.2102203873041863</v>
      </c>
      <c r="Q62" s="2513">
        <f t="shared" si="29"/>
        <v>0.21746936617674445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1760.7373365107014</v>
      </c>
      <c r="N63" s="1769">
        <f t="shared" si="30"/>
        <v>601.59927780270903</v>
      </c>
      <c r="O63" s="1769">
        <f t="shared" si="30"/>
        <v>440.18433412767536</v>
      </c>
      <c r="P63" s="1769">
        <f t="shared" si="30"/>
        <v>359.47686229015858</v>
      </c>
      <c r="Q63" s="1769">
        <f t="shared" si="30"/>
        <v>359.47686229015858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20.59341914047604</v>
      </c>
      <c r="N64" s="3427">
        <f>IF($N$7=0,0,N$63/$N$9)</f>
        <v>20.103568180541654</v>
      </c>
      <c r="O64" s="3427">
        <f>IF($O$7=0,0,O$63/$O$9)</f>
        <v>20.59341914047604</v>
      </c>
      <c r="P64" s="3427">
        <f>IF($P$7=0,0,P$63/$P$9)</f>
        <v>21.022038730418629</v>
      </c>
      <c r="Q64" s="3427">
        <f>IF($Q$7=0,0,Q$63/$Q$9)</f>
        <v>21.022038730418629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0.33676891480745774</v>
      </c>
      <c r="N65" s="2169">
        <f t="shared" si="31"/>
        <v>0.31910425683399452</v>
      </c>
      <c r="O65" s="2169">
        <f t="shared" si="31"/>
        <v>0.33215192162058127</v>
      </c>
      <c r="P65" s="2169">
        <f t="shared" si="31"/>
        <v>0.35036731217364386</v>
      </c>
      <c r="Q65" s="2169">
        <f t="shared" si="31"/>
        <v>0.36244894362790742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0.20206134888447463</v>
      </c>
      <c r="N66" s="2171">
        <f t="shared" si="31"/>
        <v>0.1914625541003967</v>
      </c>
      <c r="O66" s="2171">
        <f t="shared" si="31"/>
        <v>0.19929115297234878</v>
      </c>
      <c r="P66" s="2171">
        <f t="shared" si="31"/>
        <v>0.2102203873041863</v>
      </c>
      <c r="Q66" s="2171">
        <f t="shared" si="31"/>
        <v>0.21746936617674445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696.6843478559648</v>
      </c>
      <c r="N68" s="1772">
        <f t="shared" si="32"/>
        <v>243.80286466899119</v>
      </c>
      <c r="O68" s="1772">
        <f t="shared" si="32"/>
        <v>174.1710869639912</v>
      </c>
      <c r="P68" s="1772">
        <f t="shared" si="32"/>
        <v>139.35519811149123</v>
      </c>
      <c r="Q68" s="1772">
        <f t="shared" si="32"/>
        <v>139.35519811149123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0.13325192061625182</v>
      </c>
      <c r="N69" s="2031">
        <f t="shared" si="33"/>
        <v>0.12931952350134127</v>
      </c>
      <c r="O69" s="2031">
        <f t="shared" si="33"/>
        <v>0.13142507976909354</v>
      </c>
      <c r="P69" s="2031">
        <f t="shared" si="33"/>
        <v>0.13582377983576144</v>
      </c>
      <c r="Q69" s="2031">
        <f t="shared" si="33"/>
        <v>0.14050735845078768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926.2329886547368</v>
      </c>
      <c r="N70" s="1769">
        <f t="shared" si="34"/>
        <v>309.5594131337179</v>
      </c>
      <c r="O70" s="1769">
        <f t="shared" si="34"/>
        <v>231.5582471636842</v>
      </c>
      <c r="P70" s="1769">
        <f t="shared" si="34"/>
        <v>192.55766417866735</v>
      </c>
      <c r="Q70" s="1769">
        <f t="shared" si="34"/>
        <v>192.55766417866735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0.17715673540851742</v>
      </c>
      <c r="N71" s="2168">
        <f t="shared" si="35"/>
        <v>0.16419854564120243</v>
      </c>
      <c r="O71" s="2168">
        <f t="shared" si="35"/>
        <v>0.17472797371340065</v>
      </c>
      <c r="P71" s="2168">
        <f t="shared" si="35"/>
        <v>0.18767803526185903</v>
      </c>
      <c r="Q71" s="2168">
        <f t="shared" si="35"/>
        <v>0.19414969165019896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4" firstPageNumber="15" orientation="portrait" verticalDpi="300" r:id="rId1"/>
  <headerFooter alignWithMargins="0">
    <oddFooter>&amp;L&amp;12LEL Schwäbisch Gmünd (Abtlg. II)
LAZBW Aulendorf&amp;C&amp;12 23&amp;9
&amp;R&amp;12&amp;F
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>
    <tabColor rgb="FF92D050"/>
    <pageSetUpPr fitToPage="1"/>
  </sheetPr>
  <dimension ref="A1:AS83"/>
  <sheetViews>
    <sheetView showGridLines="0" showZeros="0" zoomScaleNormal="100" workbookViewId="0">
      <pane xSplit="12" ySplit="5" topLeftCell="M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969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1883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1043">
        <v>1</v>
      </c>
      <c r="T4" s="104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Grün</v>
      </c>
      <c r="N5" s="885" t="str">
        <f>VLOOKUP(W5,$S$4:$T$9,2)</f>
        <v>Grün</v>
      </c>
      <c r="O5" s="885" t="str">
        <f>VLOOKUP($X$5,$S$4:$T$9,2)</f>
        <v>Grün</v>
      </c>
      <c r="P5" s="885" t="str">
        <f>VLOOKUP($Y$5,$S$4:$T$9,2)</f>
        <v>Grün</v>
      </c>
      <c r="Q5" s="886" t="str">
        <f>VLOOKUP($Z$5,$S$4:$T$9,2)</f>
        <v>Grün</v>
      </c>
      <c r="R5" s="565"/>
      <c r="S5" s="599">
        <v>2</v>
      </c>
      <c r="T5" s="602" t="s">
        <v>1120</v>
      </c>
      <c r="U5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1588</v>
      </c>
      <c r="E6" s="225"/>
      <c r="F6" s="225"/>
      <c r="G6" s="225"/>
      <c r="H6" s="225"/>
      <c r="I6" s="357" t="s">
        <v>139</v>
      </c>
      <c r="J6" s="172"/>
      <c r="K6" s="805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908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A8" s="304"/>
      <c r="B8" s="566"/>
      <c r="C8" s="207"/>
      <c r="D8" s="50" t="s">
        <v>228</v>
      </c>
      <c r="F8" s="8" t="s">
        <v>229</v>
      </c>
      <c r="I8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A9" s="305"/>
      <c r="B9" s="566"/>
      <c r="C9" s="487"/>
      <c r="D9" s="407"/>
      <c r="E9" s="351"/>
      <c r="F9" s="85" t="s">
        <v>1018</v>
      </c>
      <c r="G9" s="351"/>
      <c r="H9" s="351"/>
      <c r="I9" s="84"/>
      <c r="J9" s="84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A10" s="304"/>
      <c r="B10" s="566"/>
      <c r="C10" s="207"/>
      <c r="D10" s="50" t="s">
        <v>230</v>
      </c>
      <c r="F10" s="8" t="s">
        <v>231</v>
      </c>
      <c r="I10" t="s">
        <v>232</v>
      </c>
      <c r="K10" s="1608">
        <f>(M$14*M10+N$14*N10+O$14*O10+P$14*P10+Q$14*Q10)/K$14</f>
        <v>18</v>
      </c>
      <c r="L10" s="1679"/>
      <c r="M10" s="443">
        <v>18</v>
      </c>
      <c r="N10" s="444">
        <v>18</v>
      </c>
      <c r="O10" s="444">
        <v>18</v>
      </c>
      <c r="P10" s="444">
        <v>18</v>
      </c>
      <c r="Q10" s="445">
        <v>18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A11" s="304"/>
      <c r="B11" s="566"/>
      <c r="C11" s="487"/>
      <c r="D11" s="407"/>
      <c r="E11" s="351"/>
      <c r="F11" s="85" t="s">
        <v>233</v>
      </c>
      <c r="G11" s="351"/>
      <c r="H11" s="351"/>
      <c r="I11" s="351"/>
      <c r="J11" s="84"/>
      <c r="K11" s="1612">
        <f>(M$14*M11+N$14*N11+O$14*O11+P$14*P11+Q$14*Q11)/K$14</f>
        <v>18</v>
      </c>
      <c r="L11" s="1682"/>
      <c r="M11" s="488">
        <v>18</v>
      </c>
      <c r="N11" s="489">
        <v>18</v>
      </c>
      <c r="O11" s="489">
        <v>18</v>
      </c>
      <c r="P11" s="489">
        <v>18</v>
      </c>
      <c r="Q11" s="490">
        <v>18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A12" s="304"/>
      <c r="B12" s="566"/>
      <c r="C12" s="207"/>
      <c r="D12" s="50" t="s">
        <v>234</v>
      </c>
      <c r="F12" s="8" t="s">
        <v>1016</v>
      </c>
      <c r="I12" s="357" t="s">
        <v>235</v>
      </c>
      <c r="K12" s="1614">
        <f>IF(M15=0,0,(M$15*M12+N$15*N12+O$15*O12+P$15*P12+Q$15*Q12)/K$15)</f>
        <v>3.2999999999999994</v>
      </c>
      <c r="L12" s="1679"/>
      <c r="M12" s="644">
        <v>3.3</v>
      </c>
      <c r="N12" s="645">
        <v>3.3</v>
      </c>
      <c r="O12" s="645">
        <v>3.3</v>
      </c>
      <c r="P12" s="645">
        <v>3.3</v>
      </c>
      <c r="Q12" s="646">
        <v>3.3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908"/>
      <c r="B13" s="841"/>
      <c r="C13" s="173"/>
      <c r="D13" s="54"/>
      <c r="E13" s="36"/>
      <c r="F13" s="74" t="s">
        <v>1016</v>
      </c>
      <c r="G13" s="36"/>
      <c r="H13" s="36"/>
      <c r="I13" s="36" t="s">
        <v>236</v>
      </c>
      <c r="J13" s="358"/>
      <c r="K13" s="1615">
        <f>IF(M15=0,0,(M$15*M13+N$15*N13+O$15*O13+P$15*P13+Q$15*Q13)/K$15)</f>
        <v>0.59399999999999997</v>
      </c>
      <c r="L13" s="1683"/>
      <c r="M13" s="641">
        <f>M12*M11/100</f>
        <v>0.59399999999999997</v>
      </c>
      <c r="N13" s="642">
        <f>N12*N11/100</f>
        <v>0.59399999999999997</v>
      </c>
      <c r="O13" s="642">
        <f>O12*O11/100</f>
        <v>0.59399999999999997</v>
      </c>
      <c r="P13" s="642">
        <f>P12*P11/100</f>
        <v>0.59399999999999997</v>
      </c>
      <c r="Q13" s="643">
        <f>Q12*Q11/100</f>
        <v>0.59399999999999997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I14" t="s">
        <v>139</v>
      </c>
      <c r="K14" s="1617">
        <f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 t="s">
        <v>830</v>
      </c>
      <c r="K15" s="1617">
        <f>SUM(M15:Q15)</f>
        <v>659.72222222222229</v>
      </c>
      <c r="L15" s="1684"/>
      <c r="M15" s="251">
        <f>IF(M10=0,0,M14/M10*100)</f>
        <v>197.91666666666669</v>
      </c>
      <c r="N15" s="252">
        <f>IF(N10=0,0,N14/N10*100)</f>
        <v>131.94444444444443</v>
      </c>
      <c r="O15" s="252">
        <f>IF(O10=0,0,O14/O10*100)</f>
        <v>131.94444444444443</v>
      </c>
      <c r="P15" s="252">
        <f>IF(P10=0,0,P14/P10*100)</f>
        <v>98.958333333333343</v>
      </c>
      <c r="Q15" s="256">
        <f>IF(Q10=0,0,Q14/Q10*100)</f>
        <v>98.958333333333343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5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92" t="s">
        <v>832</v>
      </c>
      <c r="J16" s="36"/>
      <c r="K16" s="4278">
        <f>SUM(M16:Q16)</f>
        <v>0</v>
      </c>
      <c r="L16" s="4279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541"/>
      <c r="T16" s="541"/>
      <c r="U16" s="541"/>
      <c r="V16" s="541"/>
      <c r="W16" s="541"/>
      <c r="X16" s="541"/>
      <c r="Y16"/>
      <c r="Z16" s="541"/>
      <c r="AA16" s="2731" t="s">
        <v>564</v>
      </c>
      <c r="AB16" s="541"/>
      <c r="AC16" s="3043">
        <v>0</v>
      </c>
      <c r="AD16" s="541"/>
      <c r="AE16"/>
      <c r="AF16"/>
      <c r="AG16"/>
      <c r="AH16" s="541"/>
      <c r="AI16" s="541"/>
      <c r="AJ16" s="541"/>
      <c r="AK16" s="541"/>
      <c r="AL16" s="541"/>
      <c r="AM16" s="541"/>
      <c r="AN16" s="541"/>
      <c r="AO16" s="541"/>
      <c r="AP16" s="541"/>
      <c r="AQ16" s="541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 t="s">
        <v>139</v>
      </c>
      <c r="J17" s="234"/>
      <c r="K17" s="1685">
        <f>SUM(M17:Q17)</f>
        <v>118.75</v>
      </c>
      <c r="L17" s="1686"/>
      <c r="M17" s="251">
        <f>M14*(100-M9)/100</f>
        <v>35.625</v>
      </c>
      <c r="N17" s="254">
        <f>N14*(100-N9)/100</f>
        <v>23.75</v>
      </c>
      <c r="O17" s="254">
        <f>O14*(100-O9)/100</f>
        <v>23.75</v>
      </c>
      <c r="P17" s="254">
        <f>P14*(100-P9)/100</f>
        <v>17.8125</v>
      </c>
      <c r="Q17" s="257">
        <f>Q14*(100-Q9)/100</f>
        <v>17.8125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 t="s">
        <v>830</v>
      </c>
      <c r="J18" s="234"/>
      <c r="K18" s="1685">
        <f>SUM(M18:Q18)</f>
        <v>659.72222222222229</v>
      </c>
      <c r="L18" s="1686"/>
      <c r="M18" s="251">
        <f>IF(M11=0,0,M17/M11*100)</f>
        <v>197.91666666666669</v>
      </c>
      <c r="N18" s="254">
        <f>IF(N11=0,0,N17/N11*100)</f>
        <v>131.94444444444443</v>
      </c>
      <c r="O18" s="254">
        <f>IF(O11=0,0,O17/O11*100)</f>
        <v>131.94444444444443</v>
      </c>
      <c r="P18" s="254">
        <f>IF(P11=0,0,P17/P11*100)</f>
        <v>98.958333333333343</v>
      </c>
      <c r="Q18" s="257">
        <f>IF(Q11=0,0,Q17/Q11*100)</f>
        <v>98.958333333333343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503"/>
      <c r="K19" s="1687"/>
      <c r="L19" s="1733"/>
      <c r="M19" s="504"/>
      <c r="N19" s="505"/>
      <c r="O19" s="505"/>
      <c r="P19" s="505"/>
      <c r="Q19" s="506"/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357" t="s">
        <v>240</v>
      </c>
      <c r="K20" s="1614">
        <f>(M$17*M20+N$17*N20+O$17*O20+P$17*P20+Q$17*Q20)/K$17</f>
        <v>6.19</v>
      </c>
      <c r="L20" s="1689"/>
      <c r="M20" s="312">
        <v>6.4</v>
      </c>
      <c r="N20" s="313">
        <v>6.3</v>
      </c>
      <c r="O20" s="313">
        <v>6.2</v>
      </c>
      <c r="P20" s="313">
        <v>6</v>
      </c>
      <c r="Q20" s="314">
        <v>5.8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I21" s="357" t="s">
        <v>242</v>
      </c>
      <c r="J21"/>
      <c r="K21" s="1614">
        <f>(M$17*M21+N$17*N21+O$17*O21+P$17*P21+Q$17*Q21)/K$17</f>
        <v>10.316666666666666</v>
      </c>
      <c r="L21" s="1689"/>
      <c r="M21" s="515">
        <f>IF($G21=0,0,M20/$G21)</f>
        <v>10.666666666666668</v>
      </c>
      <c r="N21" s="516">
        <f>IF($G21=0,0,N20/$G21)</f>
        <v>10.5</v>
      </c>
      <c r="O21" s="516">
        <f>IF($G21=0,0,O20/$G21)</f>
        <v>10.333333333333334</v>
      </c>
      <c r="P21" s="516">
        <f>IF($G21=0,0,P20/$G21)</f>
        <v>10</v>
      </c>
      <c r="Q21" s="517">
        <f>IF($G21=0,0,Q20/$G21)</f>
        <v>9.6666666666666661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I22" s="357" t="s">
        <v>243</v>
      </c>
      <c r="J22"/>
      <c r="K22" s="1624">
        <f>SUM(M22:Q22)</f>
        <v>7350.625</v>
      </c>
      <c r="L22" s="1690"/>
      <c r="M22" s="446">
        <f>M$17*M20*10</f>
        <v>2280</v>
      </c>
      <c r="N22" s="448">
        <f>N$17*N20*10</f>
        <v>1496.25</v>
      </c>
      <c r="O22" s="448">
        <f t="shared" ref="O22:Q23" si="0">O$17*O20*10</f>
        <v>1472.5</v>
      </c>
      <c r="P22" s="448">
        <f t="shared" si="0"/>
        <v>1068.75</v>
      </c>
      <c r="Q22" s="450">
        <f t="shared" si="0"/>
        <v>1033.125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363" t="s">
        <v>244</v>
      </c>
      <c r="J23" s="236"/>
      <c r="K23" s="1626">
        <f>SUM(M23:Q23)</f>
        <v>12251.041666666668</v>
      </c>
      <c r="L23" s="1691"/>
      <c r="M23" s="447">
        <f>M$17*M21*10</f>
        <v>3800.0000000000005</v>
      </c>
      <c r="N23" s="449">
        <f>N$17*N21*10</f>
        <v>2493.75</v>
      </c>
      <c r="O23" s="449">
        <f t="shared" si="0"/>
        <v>2454.166666666667</v>
      </c>
      <c r="P23" s="449">
        <f t="shared" si="0"/>
        <v>1781.25</v>
      </c>
      <c r="Q23" s="451">
        <f t="shared" si="0"/>
        <v>1721.875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997"/>
      <c r="J24" s="3054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1">$L26*$M$7/100</f>
        <v>0</v>
      </c>
      <c r="N26" s="254">
        <f t="shared" ref="N26:N29" si="2">$L26*$N$7/100</f>
        <v>0</v>
      </c>
      <c r="O26" s="254">
        <f t="shared" ref="O26:O29" si="3">$L26*$O$7/100</f>
        <v>0</v>
      </c>
      <c r="P26" s="254">
        <f t="shared" ref="P26:P29" si="4">$L26*$P$7/100</f>
        <v>0</v>
      </c>
      <c r="Q26" s="257">
        <f t="shared" ref="Q26:Q29" si="5">$L26*$Q$7/100</f>
        <v>0</v>
      </c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1"/>
        <v>0</v>
      </c>
      <c r="N27" s="254">
        <f t="shared" si="2"/>
        <v>0</v>
      </c>
      <c r="O27" s="254">
        <f t="shared" si="3"/>
        <v>0</v>
      </c>
      <c r="P27" s="254">
        <f t="shared" si="4"/>
        <v>0</v>
      </c>
      <c r="Q27" s="257">
        <f t="shared" si="5"/>
        <v>0</v>
      </c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1"/>
        <v>0</v>
      </c>
      <c r="N28" s="254">
        <f t="shared" si="2"/>
        <v>0</v>
      </c>
      <c r="O28" s="254">
        <f t="shared" si="3"/>
        <v>0</v>
      </c>
      <c r="P28" s="254">
        <f t="shared" si="4"/>
        <v>0</v>
      </c>
      <c r="Q28" s="257">
        <f t="shared" si="5"/>
        <v>0</v>
      </c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3924">
        <f t="shared" si="1"/>
        <v>0</v>
      </c>
      <c r="N29" s="495">
        <f t="shared" si="2"/>
        <v>0</v>
      </c>
      <c r="O29" s="495">
        <f t="shared" si="3"/>
        <v>0</v>
      </c>
      <c r="P29" s="495">
        <f t="shared" si="4"/>
        <v>0</v>
      </c>
      <c r="Q29" s="496">
        <f t="shared" si="5"/>
        <v>0</v>
      </c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1975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H42+H42*($H$40/100)</f>
        <v>0</v>
      </c>
      <c r="J42" s="95"/>
      <c r="K42" s="806">
        <v>1</v>
      </c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492.07697847186671</v>
      </c>
      <c r="M43" s="484">
        <f>SUM(Z46:Z56)</f>
        <v>149.39531532520002</v>
      </c>
      <c r="N43" s="484">
        <f>SUM(AA46:AA56)</f>
        <v>108.60548475093333</v>
      </c>
      <c r="O43" s="484">
        <f>SUM(AB46:AB56)</f>
        <v>80.405006405733332</v>
      </c>
      <c r="P43" s="484">
        <f>SUM(AC46:AC56)</f>
        <v>96.386336575200005</v>
      </c>
      <c r="Q43" s="1483">
        <f>SUM(AD46:AD56)</f>
        <v>57.284835414800014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4017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6">SUM(M46:Q46)</f>
        <v>1</v>
      </c>
      <c r="K46" s="1651">
        <f>J46*H46</f>
        <v>0.82</v>
      </c>
      <c r="L46" s="1704">
        <f t="shared" ref="L46:L56" si="7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X56" si="8">IF(M46&lt;&gt;0,M46*$H46,0)</f>
        <v>0.16400000000000001</v>
      </c>
      <c r="U46" s="479">
        <f t="shared" si="8"/>
        <v>0.16400000000000001</v>
      </c>
      <c r="V46" s="479">
        <f t="shared" si="8"/>
        <v>0.16400000000000001</v>
      </c>
      <c r="W46" s="479">
        <f t="shared" si="8"/>
        <v>0.16400000000000001</v>
      </c>
      <c r="X46" s="480">
        <f t="shared" si="8"/>
        <v>0.16400000000000001</v>
      </c>
      <c r="Y46"/>
      <c r="Z46" s="478">
        <f t="shared" ref="Z46:AD56" si="9">IF(M46&lt;&gt;0,M46*$I46,0)</f>
        <v>2.3843834347199993</v>
      </c>
      <c r="AA46" s="479">
        <f t="shared" si="9"/>
        <v>2.3843834347199993</v>
      </c>
      <c r="AB46" s="479">
        <f t="shared" si="9"/>
        <v>2.3843834347199993</v>
      </c>
      <c r="AC46" s="479">
        <f t="shared" si="9"/>
        <v>2.3843834347199993</v>
      </c>
      <c r="AD46" s="480">
        <f t="shared" si="9"/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6"/>
        <v>1</v>
      </c>
      <c r="K47" s="1651">
        <f t="shared" ref="K47:K56" si="10">J47*H47</f>
        <v>0.48</v>
      </c>
      <c r="L47" s="1704">
        <f t="shared" si="7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8"/>
        <v>9.6000000000000002E-2</v>
      </c>
      <c r="U47" s="479">
        <f t="shared" si="8"/>
        <v>9.6000000000000002E-2</v>
      </c>
      <c r="V47" s="479">
        <f t="shared" si="8"/>
        <v>9.6000000000000002E-2</v>
      </c>
      <c r="W47" s="479">
        <f t="shared" si="8"/>
        <v>9.6000000000000002E-2</v>
      </c>
      <c r="X47" s="480">
        <f t="shared" si="8"/>
        <v>9.6000000000000002E-2</v>
      </c>
      <c r="Y47"/>
      <c r="Z47" s="478">
        <f t="shared" si="9"/>
        <v>1.8914732300799999</v>
      </c>
      <c r="AA47" s="479">
        <f t="shared" si="9"/>
        <v>1.8914732300799999</v>
      </c>
      <c r="AB47" s="479">
        <f t="shared" si="9"/>
        <v>1.8914732300799999</v>
      </c>
      <c r="AC47" s="479">
        <f t="shared" si="9"/>
        <v>1.8914732300799999</v>
      </c>
      <c r="AD47" s="480">
        <f t="shared" si="9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6"/>
        <v>3</v>
      </c>
      <c r="K48" s="1651">
        <f t="shared" si="10"/>
        <v>1.1099999999999999</v>
      </c>
      <c r="L48" s="1704">
        <f t="shared" si="7"/>
        <v>16.351534222799998</v>
      </c>
      <c r="M48" s="317">
        <v>1</v>
      </c>
      <c r="N48" s="318"/>
      <c r="O48" s="318">
        <v>1</v>
      </c>
      <c r="P48" s="318">
        <v>1</v>
      </c>
      <c r="Q48" s="319"/>
      <c r="R48" s="542"/>
      <c r="S48" s="542"/>
      <c r="T48" s="478">
        <f t="shared" si="8"/>
        <v>0.37</v>
      </c>
      <c r="U48" s="479">
        <f t="shared" si="8"/>
        <v>0</v>
      </c>
      <c r="V48" s="479">
        <f t="shared" si="8"/>
        <v>0.37</v>
      </c>
      <c r="W48" s="479">
        <f t="shared" si="8"/>
        <v>0.37</v>
      </c>
      <c r="X48" s="480">
        <f t="shared" si="8"/>
        <v>0</v>
      </c>
      <c r="Y48"/>
      <c r="Z48" s="478">
        <f t="shared" si="9"/>
        <v>5.4505114075999996</v>
      </c>
      <c r="AA48" s="479">
        <f t="shared" si="9"/>
        <v>0</v>
      </c>
      <c r="AB48" s="479">
        <f t="shared" si="9"/>
        <v>5.4505114075999996</v>
      </c>
      <c r="AC48" s="479">
        <f t="shared" si="9"/>
        <v>5.4505114075999996</v>
      </c>
      <c r="AD48" s="480">
        <f t="shared" si="9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34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1.3</v>
      </c>
      <c r="I49" s="469">
        <f>IF($B49=0,0,VLOOKUP($B49,Arbeitsgänge!$B$27:$T$80,14))</f>
        <v>64.280361600000006</v>
      </c>
      <c r="J49" s="593">
        <f t="shared" si="6"/>
        <v>5.4976851851851851</v>
      </c>
      <c r="K49" s="1651">
        <f t="shared" si="10"/>
        <v>7.1469907407407405</v>
      </c>
      <c r="L49" s="4116">
        <f t="shared" si="7"/>
        <v>353.39319166666672</v>
      </c>
      <c r="M49" s="1178">
        <f>M18/120</f>
        <v>1.6493055555555558</v>
      </c>
      <c r="N49" s="1178">
        <f t="shared" ref="N49:Q49" si="11">N18/120</f>
        <v>1.099537037037037</v>
      </c>
      <c r="O49" s="1178">
        <f t="shared" si="11"/>
        <v>1.099537037037037</v>
      </c>
      <c r="P49" s="1178">
        <f t="shared" si="11"/>
        <v>0.8246527777777779</v>
      </c>
      <c r="Q49" s="4117">
        <f t="shared" si="11"/>
        <v>0.8246527777777779</v>
      </c>
      <c r="R49" s="542"/>
      <c r="S49" s="542"/>
      <c r="T49" s="478">
        <f t="shared" si="8"/>
        <v>2.1440972222222228</v>
      </c>
      <c r="U49" s="479">
        <f t="shared" si="8"/>
        <v>1.4293981481481481</v>
      </c>
      <c r="V49" s="479">
        <f t="shared" si="8"/>
        <v>1.4293981481481481</v>
      </c>
      <c r="W49" s="479">
        <f t="shared" si="8"/>
        <v>1.0720486111111114</v>
      </c>
      <c r="X49" s="480">
        <f t="shared" si="8"/>
        <v>1.0720486111111114</v>
      </c>
      <c r="Y49"/>
      <c r="Z49" s="478">
        <f t="shared" si="9"/>
        <v>106.01795750000002</v>
      </c>
      <c r="AA49" s="479">
        <f t="shared" si="9"/>
        <v>70.678638333333339</v>
      </c>
      <c r="AB49" s="479">
        <f t="shared" si="9"/>
        <v>70.678638333333339</v>
      </c>
      <c r="AC49" s="479">
        <f t="shared" si="9"/>
        <v>53.008978750000011</v>
      </c>
      <c r="AD49" s="480">
        <f t="shared" si="9"/>
        <v>53.008978750000011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21</v>
      </c>
      <c r="C50" s="104"/>
      <c r="D50" s="137"/>
      <c r="E50" s="8"/>
      <c r="F50" s="8"/>
      <c r="G50" s="468" t="str">
        <f>IF($B50=0,0,VLOOKUP($B50,Arbeitsgänge!$B$27:$T$80,7))</f>
        <v>83 Kw</v>
      </c>
      <c r="H50" s="507">
        <f>IF($B50=0,0,VLOOKUP($B50,Arbeitsgänge!$B$27:$O$79,12))</f>
        <v>1.1399999999999999</v>
      </c>
      <c r="I50" s="469">
        <f>IF($B50=0,0,VLOOKUP($B50,Arbeitsgänge!$B$27:$T$80,14))</f>
        <v>33.650989752799994</v>
      </c>
      <c r="J50" s="593">
        <f t="shared" si="6"/>
        <v>3</v>
      </c>
      <c r="K50" s="1651">
        <f t="shared" si="10"/>
        <v>3.42</v>
      </c>
      <c r="L50" s="4116">
        <f t="shared" si="7"/>
        <v>100.95296925839997</v>
      </c>
      <c r="M50" s="1178">
        <v>1</v>
      </c>
      <c r="N50" s="1178">
        <v>1</v>
      </c>
      <c r="O50" s="1178"/>
      <c r="P50" s="1178">
        <v>1</v>
      </c>
      <c r="Q50" s="4117"/>
      <c r="R50" s="542"/>
      <c r="S50" s="542"/>
      <c r="T50" s="478">
        <f t="shared" si="8"/>
        <v>1.1399999999999999</v>
      </c>
      <c r="U50" s="479">
        <f t="shared" si="8"/>
        <v>1.1399999999999999</v>
      </c>
      <c r="V50" s="479">
        <f t="shared" si="8"/>
        <v>0</v>
      </c>
      <c r="W50" s="479">
        <f t="shared" si="8"/>
        <v>1.1399999999999999</v>
      </c>
      <c r="X50" s="480">
        <f t="shared" si="8"/>
        <v>0</v>
      </c>
      <c r="Y50"/>
      <c r="Z50" s="478">
        <f t="shared" si="9"/>
        <v>33.650989752799994</v>
      </c>
      <c r="AA50" s="479">
        <f t="shared" si="9"/>
        <v>33.650989752799994</v>
      </c>
      <c r="AB50" s="479">
        <f t="shared" si="9"/>
        <v>0</v>
      </c>
      <c r="AC50" s="479">
        <f t="shared" si="9"/>
        <v>33.650989752799994</v>
      </c>
      <c r="AD50" s="480">
        <f t="shared" si="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50</v>
      </c>
      <c r="C51" s="104"/>
      <c r="D51" s="137"/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6"/>
        <v>0</v>
      </c>
      <c r="K51" s="1651">
        <f t="shared" si="10"/>
        <v>0</v>
      </c>
      <c r="L51" s="1704">
        <f t="shared" si="7"/>
        <v>0</v>
      </c>
      <c r="M51" s="317"/>
      <c r="N51" s="318"/>
      <c r="O51" s="318"/>
      <c r="P51" s="318"/>
      <c r="Q51" s="319"/>
      <c r="R51" s="542"/>
      <c r="S51" s="542"/>
      <c r="T51" s="478">
        <f t="shared" si="8"/>
        <v>0</v>
      </c>
      <c r="U51" s="479">
        <f t="shared" si="8"/>
        <v>0</v>
      </c>
      <c r="V51" s="479">
        <f t="shared" si="8"/>
        <v>0</v>
      </c>
      <c r="W51" s="479">
        <f t="shared" si="8"/>
        <v>0</v>
      </c>
      <c r="X51" s="480">
        <f t="shared" si="8"/>
        <v>0</v>
      </c>
      <c r="Y51"/>
      <c r="Z51" s="478">
        <f t="shared" si="9"/>
        <v>0</v>
      </c>
      <c r="AA51" s="479">
        <f t="shared" si="9"/>
        <v>0</v>
      </c>
      <c r="AB51" s="479">
        <f t="shared" si="9"/>
        <v>0</v>
      </c>
      <c r="AC51" s="479">
        <f t="shared" si="9"/>
        <v>0</v>
      </c>
      <c r="AD51" s="480">
        <f t="shared" si="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6"/>
        <v>0</v>
      </c>
      <c r="K52" s="1651">
        <f t="shared" si="10"/>
        <v>0</v>
      </c>
      <c r="L52" s="1704">
        <f t="shared" si="7"/>
        <v>0</v>
      </c>
      <c r="M52" s="317"/>
      <c r="N52" s="318"/>
      <c r="O52" s="318"/>
      <c r="P52" s="318"/>
      <c r="Q52" s="319"/>
      <c r="R52" s="542"/>
      <c r="S52" s="542"/>
      <c r="T52" s="478">
        <f t="shared" si="8"/>
        <v>0</v>
      </c>
      <c r="U52" s="479">
        <f t="shared" si="8"/>
        <v>0</v>
      </c>
      <c r="V52" s="479">
        <f t="shared" si="8"/>
        <v>0</v>
      </c>
      <c r="W52" s="479">
        <f t="shared" si="8"/>
        <v>0</v>
      </c>
      <c r="X52" s="480">
        <f t="shared" si="8"/>
        <v>0</v>
      </c>
      <c r="Y52"/>
      <c r="Z52" s="478">
        <f t="shared" si="9"/>
        <v>0</v>
      </c>
      <c r="AA52" s="479">
        <f t="shared" si="9"/>
        <v>0</v>
      </c>
      <c r="AB52" s="479">
        <f t="shared" si="9"/>
        <v>0</v>
      </c>
      <c r="AC52" s="479">
        <f t="shared" si="9"/>
        <v>0</v>
      </c>
      <c r="AD52" s="480">
        <f t="shared" si="9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60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6"/>
        <v>0</v>
      </c>
      <c r="K53" s="1651">
        <f t="shared" si="10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8"/>
        <v>0</v>
      </c>
      <c r="U53" s="479">
        <f t="shared" si="8"/>
        <v>0</v>
      </c>
      <c r="V53" s="479">
        <f t="shared" si="8"/>
        <v>0</v>
      </c>
      <c r="W53" s="479">
        <f t="shared" si="8"/>
        <v>0</v>
      </c>
      <c r="X53" s="480">
        <f t="shared" si="8"/>
        <v>0</v>
      </c>
      <c r="Y53"/>
      <c r="Z53" s="478">
        <f t="shared" si="9"/>
        <v>0</v>
      </c>
      <c r="AA53" s="479">
        <f t="shared" si="9"/>
        <v>0</v>
      </c>
      <c r="AB53" s="479">
        <f t="shared" si="9"/>
        <v>0</v>
      </c>
      <c r="AC53" s="479">
        <f t="shared" si="9"/>
        <v>0</v>
      </c>
      <c r="AD53" s="480">
        <f t="shared" si="9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6"/>
        <v>0</v>
      </c>
      <c r="K54" s="1651">
        <f t="shared" si="10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8"/>
        <v>0</v>
      </c>
      <c r="U54" s="479">
        <f t="shared" si="8"/>
        <v>0</v>
      </c>
      <c r="V54" s="479">
        <f t="shared" si="8"/>
        <v>0</v>
      </c>
      <c r="W54" s="479">
        <f t="shared" si="8"/>
        <v>0</v>
      </c>
      <c r="X54" s="480">
        <f t="shared" si="8"/>
        <v>0</v>
      </c>
      <c r="Y54"/>
      <c r="Z54" s="478">
        <f t="shared" si="9"/>
        <v>0</v>
      </c>
      <c r="AA54" s="479">
        <f t="shared" si="9"/>
        <v>0</v>
      </c>
      <c r="AB54" s="479">
        <f t="shared" si="9"/>
        <v>0</v>
      </c>
      <c r="AC54" s="479">
        <f t="shared" si="9"/>
        <v>0</v>
      </c>
      <c r="AD54" s="480">
        <f t="shared" si="9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6"/>
        <v>0</v>
      </c>
      <c r="K55" s="1651">
        <f t="shared" si="10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8"/>
        <v>0</v>
      </c>
      <c r="U55" s="479">
        <f t="shared" si="8"/>
        <v>0</v>
      </c>
      <c r="V55" s="479">
        <f t="shared" si="8"/>
        <v>0</v>
      </c>
      <c r="W55" s="479">
        <f t="shared" si="8"/>
        <v>0</v>
      </c>
      <c r="X55" s="480">
        <f t="shared" si="8"/>
        <v>0</v>
      </c>
      <c r="Y55"/>
      <c r="Z55" s="478">
        <f t="shared" si="9"/>
        <v>0</v>
      </c>
      <c r="AA55" s="479">
        <f t="shared" si="9"/>
        <v>0</v>
      </c>
      <c r="AB55" s="479">
        <f t="shared" si="9"/>
        <v>0</v>
      </c>
      <c r="AC55" s="479">
        <f t="shared" si="9"/>
        <v>0</v>
      </c>
      <c r="AD55" s="480">
        <f t="shared" si="9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6"/>
        <v>0</v>
      </c>
      <c r="K56" s="1652">
        <f t="shared" si="10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8"/>
        <v>0</v>
      </c>
      <c r="U56" s="482">
        <f t="shared" si="8"/>
        <v>0</v>
      </c>
      <c r="V56" s="482">
        <f t="shared" si="8"/>
        <v>0</v>
      </c>
      <c r="W56" s="482">
        <f t="shared" si="8"/>
        <v>0</v>
      </c>
      <c r="X56" s="483">
        <f t="shared" si="8"/>
        <v>0</v>
      </c>
      <c r="Y56"/>
      <c r="Z56" s="481">
        <f t="shared" si="9"/>
        <v>0</v>
      </c>
      <c r="AA56" s="482">
        <f t="shared" si="9"/>
        <v>0</v>
      </c>
      <c r="AB56" s="482">
        <f t="shared" si="9"/>
        <v>0</v>
      </c>
      <c r="AC56" s="482">
        <f t="shared" si="9"/>
        <v>0</v>
      </c>
      <c r="AD56" s="483">
        <f t="shared" si="9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12.976990740740742</v>
      </c>
      <c r="L57" s="1716"/>
      <c r="M57" s="278">
        <f>SUM(T46:T56)</f>
        <v>3.9140972222222228</v>
      </c>
      <c r="N57" s="508">
        <f>SUM(U46:U56)</f>
        <v>2.8293981481481483</v>
      </c>
      <c r="O57" s="508">
        <f>SUM(V46:V56)</f>
        <v>2.0593981481481483</v>
      </c>
      <c r="P57" s="508">
        <f>SUM(W46:W56)</f>
        <v>2.8420486111111112</v>
      </c>
      <c r="Q57" s="510">
        <f>SUM(X46:X56)</f>
        <v>1.3320486111111114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23.358583333333332</v>
      </c>
      <c r="L58" s="1718"/>
      <c r="M58" s="270">
        <f>IF(M57+(M57*$G$58/100)&gt;M57+10,M57+10,M57+(M57*$G$58/100))</f>
        <v>7.0453750000000017</v>
      </c>
      <c r="N58" s="509">
        <f>IF(N57+(N57*$G$58/100)&gt;(N57+10),N57+10,N57+(N57*$G$58/100))</f>
        <v>5.0929166666666665</v>
      </c>
      <c r="O58" s="509">
        <f>IF(O57+(O57*$G$58/100)&gt;(O57+10),O57+10,O57+(O57*$G$58/100))</f>
        <v>3.7069166666666669</v>
      </c>
      <c r="P58" s="509">
        <f>P57+P57*$G$58/100</f>
        <v>5.1156874999999999</v>
      </c>
      <c r="Q58" s="511">
        <f>Q57+Q57*$G$58/100</f>
        <v>2.3976875000000004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15.469999999999999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3.0939999999999999</v>
      </c>
      <c r="Q59" s="257">
        <f>SUM(X61:X63)</f>
        <v>3.0939999999999999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2">IF(N61&lt;&gt;0,N61*$H61,0)</f>
        <v>3.0939999999999999</v>
      </c>
      <c r="V61" s="594">
        <f t="shared" si="12"/>
        <v>3.0939999999999999</v>
      </c>
      <c r="W61" s="594">
        <f t="shared" si="12"/>
        <v>3.0939999999999999</v>
      </c>
      <c r="X61" s="594">
        <f t="shared" si="12"/>
        <v>3.0939999999999999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2"/>
        <v>0</v>
      </c>
      <c r="V62" s="594">
        <f t="shared" si="12"/>
        <v>0</v>
      </c>
      <c r="W62" s="594">
        <f t="shared" si="12"/>
        <v>0</v>
      </c>
      <c r="X62" s="594">
        <f t="shared" si="12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119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2"/>
        <v>0</v>
      </c>
      <c r="V63" s="594">
        <f t="shared" si="12"/>
        <v>0</v>
      </c>
      <c r="W63" s="594">
        <f t="shared" si="12"/>
        <v>0</v>
      </c>
      <c r="X63" s="594">
        <f t="shared" si="12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0.18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3">SUM(L69:L70)</f>
        <v>0</v>
      </c>
      <c r="M67" s="253">
        <f t="shared" si="13"/>
        <v>0</v>
      </c>
      <c r="N67" s="254">
        <f t="shared" si="13"/>
        <v>0</v>
      </c>
      <c r="O67" s="254">
        <f t="shared" si="13"/>
        <v>0</v>
      </c>
      <c r="P67" s="254">
        <f t="shared" si="13"/>
        <v>0</v>
      </c>
      <c r="Q67" s="257">
        <f t="shared" si="13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/>
      <c r="B69" s="937"/>
      <c r="C69" s="1378"/>
      <c r="D69" s="939">
        <f>IF($B69=0,0,VLOOKUP($B69,'Preise-Stammdaten'!$B$61:'Preise-Stammdaten'!$N$66,2))</f>
        <v>0</v>
      </c>
      <c r="E69" s="931"/>
      <c r="F69" s="1388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>IF(AND($B69&lt;3,V$5=1),M$7*$I69/100,IF(AND($B69=3,V$5=3),M$7*$I69/100,0))</f>
        <v>0</v>
      </c>
      <c r="N69" s="933">
        <f t="shared" ref="N69:P70" si="14">IF(AND($B69&lt;3,W$5=1),N$7*$I69/100,IF(AND($B69=3,W$5=3),N$7*$I69/100,0))</f>
        <v>0</v>
      </c>
      <c r="O69" s="933">
        <f t="shared" si="14"/>
        <v>0</v>
      </c>
      <c r="P69" s="933">
        <f t="shared" si="14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932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4"/>
        <v>0</v>
      </c>
      <c r="O70" s="933">
        <f t="shared" si="14"/>
        <v>0</v>
      </c>
      <c r="P70" s="933">
        <f t="shared" si="14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2"/>
      <c r="C71" s="1463"/>
      <c r="D71" s="1464"/>
      <c r="E71" s="1465"/>
      <c r="F71" s="1466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5">K16</f>
        <v>0</v>
      </c>
      <c r="L77" s="3321">
        <f t="shared" si="15"/>
        <v>0</v>
      </c>
      <c r="M77" s="3321">
        <f t="shared" si="15"/>
        <v>0</v>
      </c>
      <c r="N77" s="3321">
        <f t="shared" si="15"/>
        <v>0</v>
      </c>
      <c r="O77" s="3321">
        <f t="shared" si="15"/>
        <v>0</v>
      </c>
      <c r="P77" s="3321">
        <f t="shared" si="15"/>
        <v>0</v>
      </c>
      <c r="Q77" s="3321">
        <f t="shared" si="15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24&amp;9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0" r:id="rId4" name="Drop Down 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171450</xdr:rowOff>
                  </from>
                  <to>
                    <xdr:col>5</xdr:col>
                    <xdr:colOff>590550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5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9525</xdr:rowOff>
                  </from>
                  <to>
                    <xdr:col>5</xdr:col>
                    <xdr:colOff>590550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6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590550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7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590550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8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590550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9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590550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0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590550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1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590550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2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590550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3" name="Drop Down 15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5</xdr:col>
                    <xdr:colOff>590550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4" name="Drop Down 16">
              <controlPr defaultSize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5</xdr:col>
                    <xdr:colOff>590550</xdr:colOff>
                    <xdr:row>56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00B0F0"/>
  </sheetPr>
  <dimension ref="B1:AG98"/>
  <sheetViews>
    <sheetView showGridLines="0" showZeros="0" zoomScaleNormal="100" workbookViewId="0">
      <pane xSplit="13" ySplit="5" topLeftCell="N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6384" width="11.42578125" style="8"/>
  </cols>
  <sheetData>
    <row r="1" spans="2:33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33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'3)Grünf. 5Nutz.(a)'!H2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'3)Grünf. 5Nutz.(a)'!K2</f>
        <v>Wiese; 5 Nutzungen (5 x Grünfutter)</v>
      </c>
    </row>
    <row r="3" spans="2:33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'3)Grünf. 5Nutz.(a)'!H3</f>
        <v>5 Nutzungen, eigene Grünfutterernte, 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</row>
    <row r="4" spans="2:33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</row>
    <row r="5" spans="2:33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'3)Grünf. 5Nutz.(a)'!M5</f>
        <v>Grün</v>
      </c>
      <c r="O5" s="1568" t="str">
        <f>'3)Grünf. 5Nutz.(a)'!N5</f>
        <v>Grün</v>
      </c>
      <c r="P5" s="1568" t="str">
        <f>'3)Grünf. 5Nutz.(a)'!O5</f>
        <v>Grün</v>
      </c>
      <c r="Q5" s="1568" t="str">
        <f>'3)Grünf. 5Nutz.(a)'!P5</f>
        <v>Grün</v>
      </c>
      <c r="R5" s="1573" t="str">
        <f>'3)Grünf. 5Nutz.(a)'!Q5</f>
        <v>Grün</v>
      </c>
    </row>
    <row r="6" spans="2:33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'3)Grünf. 5Nutz.(a)'!K6</f>
        <v>125</v>
      </c>
      <c r="N6" s="1821">
        <f>'3)Grünf. 5Nutz.(a)'!M6</f>
        <v>37.5</v>
      </c>
      <c r="O6" s="1821">
        <f>'3)Grünf. 5Nutz.(a)'!N6</f>
        <v>25</v>
      </c>
      <c r="P6" s="1821">
        <f>'3)Grünf. 5Nutz.(a)'!O6</f>
        <v>25</v>
      </c>
      <c r="Q6" s="1821">
        <f>'3)Grünf. 5Nutz.(a)'!P6</f>
        <v>18.75</v>
      </c>
      <c r="R6" s="1822">
        <f>'3)Grünf. 5Nutz.(a)'!Q6</f>
        <v>18.75</v>
      </c>
    </row>
    <row r="7" spans="2:33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'3)Grünf. 5Nutz.(a)'!K14</f>
        <v>118.75</v>
      </c>
      <c r="N7" s="452">
        <f>'3)Grünf. 5Nutz.(a)'!M14</f>
        <v>35.625</v>
      </c>
      <c r="O7" s="452">
        <f>'3)Grünf. 5Nutz.(a)'!N14</f>
        <v>23.75</v>
      </c>
      <c r="P7" s="452">
        <f>'3)Grünf. 5Nutz.(a)'!O14</f>
        <v>23.75</v>
      </c>
      <c r="Q7" s="452">
        <f>'3)Grünf. 5Nutz.(a)'!P14</f>
        <v>17.8125</v>
      </c>
      <c r="R7" s="1744">
        <f>'3)Grünf. 5Nutz.(a)'!Q14</f>
        <v>17.8125</v>
      </c>
    </row>
    <row r="8" spans="2:33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'3)Grünf. 5Nutz.(a)'!K15</f>
        <v>659.72222222222229</v>
      </c>
      <c r="N8" s="473">
        <f>'3)Grünf. 5Nutz.(a)'!M15</f>
        <v>197.91666666666669</v>
      </c>
      <c r="O8" s="473">
        <f>'3)Grünf. 5Nutz.(a)'!N15</f>
        <v>131.94444444444443</v>
      </c>
      <c r="P8" s="473">
        <f>'3)Grünf. 5Nutz.(a)'!O15</f>
        <v>131.94444444444443</v>
      </c>
      <c r="Q8" s="473">
        <f>'3)Grünf. 5Nutz.(a)'!P15</f>
        <v>98.958333333333343</v>
      </c>
      <c r="R8" s="1583">
        <f>'3)Grünf. 5Nutz.(a)'!Q15</f>
        <v>98.958333333333343</v>
      </c>
    </row>
    <row r="9" spans="2:33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'3)Grünf. 5Nutz.(a)'!K17</f>
        <v>118.75</v>
      </c>
      <c r="N9" s="452">
        <f>'3)Grünf. 5Nutz.(a)'!M17</f>
        <v>35.625</v>
      </c>
      <c r="O9" s="452">
        <f>'3)Grünf. 5Nutz.(a)'!N17</f>
        <v>23.75</v>
      </c>
      <c r="P9" s="452">
        <f>'3)Grünf. 5Nutz.(a)'!O17</f>
        <v>23.75</v>
      </c>
      <c r="Q9" s="452">
        <f>'3)Grünf. 5Nutz.(a)'!P17</f>
        <v>17.8125</v>
      </c>
      <c r="R9" s="1744">
        <f>'3)Grünf. 5Nutz.(a)'!Q17</f>
        <v>17.8125</v>
      </c>
    </row>
    <row r="10" spans="2:33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'3)Grünf. 5Nutz.(a)'!K18</f>
        <v>659.72222222222229</v>
      </c>
      <c r="N10" s="1748">
        <f>'3)Grünf. 5Nutz.(a)'!M18</f>
        <v>197.91666666666669</v>
      </c>
      <c r="O10" s="1748">
        <f>'3)Grünf. 5Nutz.(a)'!N18</f>
        <v>131.94444444444443</v>
      </c>
      <c r="P10" s="1748">
        <f>'3)Grünf. 5Nutz.(a)'!O18</f>
        <v>131.94444444444443</v>
      </c>
      <c r="Q10" s="1748">
        <f>'3)Grünf. 5Nutz.(a)'!P18</f>
        <v>98.958333333333343</v>
      </c>
      <c r="R10" s="1745">
        <f>'3)Grünf. 5Nutz.(a)'!Q18</f>
        <v>98.958333333333343</v>
      </c>
    </row>
    <row r="11" spans="2:33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'3)Grünf. 5Nutz.(a)'!K19</f>
        <v>0</v>
      </c>
      <c r="N11" s="2094">
        <f>'3)Grünf. 5Nutz.(a)'!M19</f>
        <v>0</v>
      </c>
      <c r="O11" s="2094">
        <f>'3)Grünf. 5Nutz.(a)'!N19</f>
        <v>0</v>
      </c>
      <c r="P11" s="2094">
        <f>'3)Grünf. 5Nutz.(a)'!O19</f>
        <v>0</v>
      </c>
      <c r="Q11" s="2094">
        <f>'3)Grünf. 5Nutz.(a)'!P19</f>
        <v>0</v>
      </c>
      <c r="R11" s="2078">
        <f>'3)Grünf. 5Nutz.(a)'!Q19</f>
        <v>0</v>
      </c>
    </row>
    <row r="12" spans="2:33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'3)Grünf. 5Nutz.(a)'!K22</f>
        <v>7350.625</v>
      </c>
      <c r="N12" s="1176">
        <f>'3)Grünf. 5Nutz.(a)'!M22</f>
        <v>2280</v>
      </c>
      <c r="O12" s="1176">
        <f>'3)Grünf. 5Nutz.(a)'!N22</f>
        <v>1496.25</v>
      </c>
      <c r="P12" s="1176">
        <f>'3)Grünf. 5Nutz.(a)'!O22</f>
        <v>1472.5</v>
      </c>
      <c r="Q12" s="1176">
        <f>'3)Grünf. 5Nutz.(a)'!P22</f>
        <v>1068.75</v>
      </c>
      <c r="R12" s="1747">
        <f>'3)Grünf. 5Nutz.(a)'!Q22</f>
        <v>1033.125</v>
      </c>
    </row>
    <row r="13" spans="2:33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'3)Grünf. 5Nutz.(a)'!K23</f>
        <v>12251.041666666668</v>
      </c>
      <c r="N13" s="2065">
        <f>'3)Grünf. 5Nutz.(a)'!M23</f>
        <v>3800.0000000000005</v>
      </c>
      <c r="O13" s="2065">
        <f>'3)Grünf. 5Nutz.(a)'!N23</f>
        <v>2493.75</v>
      </c>
      <c r="P13" s="2065">
        <f>'3)Grünf. 5Nutz.(a)'!O23</f>
        <v>2454.166666666667</v>
      </c>
      <c r="Q13" s="2065">
        <f>'3)Grünf. 5Nutz.(a)'!P23</f>
        <v>1781.25</v>
      </c>
      <c r="R13" s="2067">
        <f>'3)Grünf. 5Nutz.(a)'!Q23</f>
        <v>1721.875</v>
      </c>
    </row>
    <row r="14" spans="2:33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</row>
    <row r="15" spans="2:33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</row>
    <row r="16" spans="2:33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</row>
    <row r="17" spans="2:27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</row>
    <row r="18" spans="2:27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</row>
    <row r="19" spans="2:27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'3)Grünf. 5Nutz.(a)'!L32</f>
        <v>23.54</v>
      </c>
      <c r="N19" s="2071">
        <f>'3)Grünf. 5Nutz.(a)'!M32</f>
        <v>7.0619999999999994</v>
      </c>
      <c r="O19" s="2071">
        <f>'3)Grünf. 5Nutz.(a)'!N32</f>
        <v>4.7079999999999993</v>
      </c>
      <c r="P19" s="2071">
        <f>'3)Grünf. 5Nutz.(a)'!O32</f>
        <v>4.7079999999999993</v>
      </c>
      <c r="Q19" s="2071">
        <f>'3)Grünf. 5Nutz.(a)'!P32</f>
        <v>3.5309999999999997</v>
      </c>
      <c r="R19" s="2073">
        <f>'3)Grünf. 5Nutz.(a)'!Q32</f>
        <v>3.5309999999999997</v>
      </c>
    </row>
    <row r="20" spans="2:27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'3)Grünf. 5Nutz.(a)'!L34</f>
        <v>1026.2212916666667</v>
      </c>
      <c r="N20" s="285">
        <f>'3)Grünf. 5Nutz.(a)'!M34</f>
        <v>307.86638750000003</v>
      </c>
      <c r="O20" s="285">
        <f>'3)Grünf. 5Nutz.(a)'!N34</f>
        <v>205.24425833333333</v>
      </c>
      <c r="P20" s="285">
        <f>'3)Grünf. 5Nutz.(a)'!O34</f>
        <v>205.24425833333333</v>
      </c>
      <c r="Q20" s="285">
        <f>'3)Grünf. 5Nutz.(a)'!P34</f>
        <v>153.93319375000002</v>
      </c>
      <c r="R20" s="1574">
        <f>'3)Grünf. 5Nutz.(a)'!Q34</f>
        <v>153.93319375000002</v>
      </c>
    </row>
    <row r="21" spans="2:27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'3)Grünf. 5Nutz.(a)'!L40</f>
        <v>0</v>
      </c>
      <c r="N21" s="285">
        <f>'3)Grünf. 5Nutz.(a)'!M40</f>
        <v>0</v>
      </c>
      <c r="O21" s="285">
        <f>'3)Grünf. 5Nutz.(a)'!N40</f>
        <v>0</v>
      </c>
      <c r="P21" s="285">
        <f>'3)Grünf. 5Nutz.(a)'!O40</f>
        <v>0</v>
      </c>
      <c r="Q21" s="285">
        <f>'3)Grünf. 5Nutz.(a)'!P40</f>
        <v>0</v>
      </c>
      <c r="R21" s="1574">
        <f>'3)Grünf. 5Nutz.(a)'!Q40</f>
        <v>0</v>
      </c>
    </row>
    <row r="22" spans="2:27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</row>
    <row r="23" spans="2:27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'3)Grünf. 5Nutz.(a)'!L67</f>
        <v>0</v>
      </c>
      <c r="N23" s="285">
        <f>'3)Grünf. 5Nutz.(a)'!M67</f>
        <v>0</v>
      </c>
      <c r="O23" s="285">
        <f>'3)Grünf. 5Nutz.(a)'!N67</f>
        <v>0</v>
      </c>
      <c r="P23" s="285">
        <f>'3)Grünf. 5Nutz.(a)'!O67</f>
        <v>0</v>
      </c>
      <c r="Q23" s="285">
        <f>'3)Grünf. 5Nutz.(a)'!P67</f>
        <v>0</v>
      </c>
      <c r="R23" s="1574">
        <f>'3)Grünf. 5Nutz.(a)'!Q67</f>
        <v>0</v>
      </c>
    </row>
    <row r="24" spans="2:27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'3)Grünf. 5Nutz.(a)'!L43</f>
        <v>492.07697847186671</v>
      </c>
      <c r="N24" s="285">
        <f>'3)Grünf. 5Nutz.(a)'!M43</f>
        <v>149.39531532520002</v>
      </c>
      <c r="O24" s="285">
        <f>'3)Grünf. 5Nutz.(a)'!N43</f>
        <v>108.60548475093333</v>
      </c>
      <c r="P24" s="285">
        <f>'3)Grünf. 5Nutz.(a)'!O43</f>
        <v>80.405006405733332</v>
      </c>
      <c r="Q24" s="285">
        <f>'3)Grünf. 5Nutz.(a)'!P43</f>
        <v>96.386336575200005</v>
      </c>
      <c r="R24" s="1574">
        <f>'3)Grünf. 5Nutz.(a)'!Q43</f>
        <v>57.284835414800014</v>
      </c>
    </row>
    <row r="25" spans="2:27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'3)Grünf. 5Nutz.(a)'!L59</f>
        <v>15.469999999999999</v>
      </c>
      <c r="N25" s="285">
        <f>'3)Grünf. 5Nutz.(a)'!M59</f>
        <v>3.0939999999999999</v>
      </c>
      <c r="O25" s="285">
        <f>'3)Grünf. 5Nutz.(a)'!N59</f>
        <v>3.0939999999999999</v>
      </c>
      <c r="P25" s="285">
        <f>'3)Grünf. 5Nutz.(a)'!O59</f>
        <v>3.0939999999999999</v>
      </c>
      <c r="Q25" s="285">
        <f>'3)Grünf. 5Nutz.(a)'!P59</f>
        <v>3.0939999999999999</v>
      </c>
      <c r="R25" s="1574">
        <f>'3)Grünf. 5Nutz.(a)'!Q59</f>
        <v>3.0939999999999999</v>
      </c>
    </row>
    <row r="26" spans="2:27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'3)Grünf. 5Nutz.(a)'!L64</f>
        <v>0</v>
      </c>
      <c r="N26" s="1979">
        <f>'3)Grünf. 5Nutz.(a)'!M64</f>
        <v>0</v>
      </c>
      <c r="O26" s="1979">
        <f>'3)Grünf. 5Nutz.(a)'!N64</f>
        <v>0</v>
      </c>
      <c r="P26" s="1979">
        <f>'3)Grünf. 5Nutz.(a)'!O64</f>
        <v>0</v>
      </c>
      <c r="Q26" s="1979">
        <f>'3)Grünf. 5Nutz.(a)'!P64</f>
        <v>0</v>
      </c>
      <c r="R26" s="1981">
        <f>'3)Grünf. 5Nutz.(a)'!Q64</f>
        <v>0</v>
      </c>
    </row>
    <row r="27" spans="2:27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1557.3082701385335</v>
      </c>
      <c r="N27" s="2407">
        <f t="shared" si="4"/>
        <v>467.41770282520002</v>
      </c>
      <c r="O27" s="2407">
        <f t="shared" si="4"/>
        <v>321.65174308426668</v>
      </c>
      <c r="P27" s="2407">
        <f t="shared" si="4"/>
        <v>293.45126473906663</v>
      </c>
      <c r="Q27" s="2407">
        <f t="shared" si="4"/>
        <v>256.94453032520005</v>
      </c>
      <c r="R27" s="2525">
        <f t="shared" si="4"/>
        <v>217.84302916480004</v>
      </c>
    </row>
    <row r="28" spans="2:27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-1557.3082701385335</v>
      </c>
      <c r="N28" s="1777">
        <f t="shared" si="5"/>
        <v>-467.41770282520002</v>
      </c>
      <c r="O28" s="1777">
        <f t="shared" si="5"/>
        <v>-321.65174308426668</v>
      </c>
      <c r="P28" s="1777">
        <f t="shared" si="5"/>
        <v>-293.45126473906663</v>
      </c>
      <c r="Q28" s="1777">
        <f t="shared" si="5"/>
        <v>-256.94453032520005</v>
      </c>
      <c r="R28" s="1871">
        <f t="shared" si="5"/>
        <v>-217.84302916480004</v>
      </c>
    </row>
    <row r="29" spans="2:27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-0.21186066084700736</v>
      </c>
      <c r="N29" s="1874">
        <f t="shared" si="7"/>
        <v>-0.20500776439701757</v>
      </c>
      <c r="O29" s="1874">
        <f t="shared" si="7"/>
        <v>-0.21497192520251743</v>
      </c>
      <c r="P29" s="1874">
        <f t="shared" si="7"/>
        <v>-0.19928778590089416</v>
      </c>
      <c r="Q29" s="1874">
        <f t="shared" si="7"/>
        <v>-0.24041593480720472</v>
      </c>
      <c r="R29" s="2410">
        <f t="shared" si="7"/>
        <v>-0.21085834643900792</v>
      </c>
      <c r="U29" s="8" t="s">
        <v>1213</v>
      </c>
    </row>
    <row r="30" spans="2:27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54</v>
      </c>
      <c r="P30" s="2097">
        <f t="shared" si="8"/>
        <v>54</v>
      </c>
      <c r="Q30" s="2097">
        <f t="shared" si="8"/>
        <v>40.5</v>
      </c>
      <c r="R30" s="1744">
        <f t="shared" si="8"/>
        <v>40.5</v>
      </c>
      <c r="T30" s="3297" t="s">
        <v>1214</v>
      </c>
      <c r="U30" s="3308">
        <f>'3)Grünf. 5Nutz.(a)'!L25</f>
        <v>0</v>
      </c>
      <c r="V30" s="3308">
        <f>'3)Grünf. 5Nutz.(a)'!M25</f>
        <v>0</v>
      </c>
      <c r="W30" s="3308">
        <f>'3)Grünf. 5Nutz.(a)'!N25</f>
        <v>0</v>
      </c>
      <c r="X30" s="3308">
        <f>'3)Grünf. 5Nutz.(a)'!O25</f>
        <v>0</v>
      </c>
      <c r="Y30" s="3308">
        <f>'3)Grünf. 5Nutz.(a)'!P25</f>
        <v>0</v>
      </c>
      <c r="Z30" s="3308">
        <f>'3)Grünf. 5Nutz.(a)'!Q25</f>
        <v>0</v>
      </c>
      <c r="AA30"/>
    </row>
    <row r="31" spans="2:27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M27*'3)Grünf. 5Nutz.(a)'!$L$72*'3)Grünf. 5Nutz.(a)'!$Q$72/12/100</f>
        <v>9.7331766883658339</v>
      </c>
      <c r="N31" s="1979">
        <f>N27*'3)Grünf. 5Nutz.(a)'!$L$72*'3)Grünf. 5Nutz.(a)'!$Q$72/12/100</f>
        <v>2.9213606426575001</v>
      </c>
      <c r="O31" s="1979">
        <f>O27*'3)Grünf. 5Nutz.(a)'!$L$72*'3)Grünf. 5Nutz.(a)'!$Q$72/12/100</f>
        <v>2.010323394276667</v>
      </c>
      <c r="P31" s="1979">
        <f>P27*'3)Grünf. 5Nutz.(a)'!$L$72*'3)Grünf. 5Nutz.(a)'!$Q$72/12/100</f>
        <v>1.8340704046191663</v>
      </c>
      <c r="Q31" s="1979">
        <f>Q27*'3)Grünf. 5Nutz.(a)'!$L$72*'3)Grünf. 5Nutz.(a)'!$Q$72/12/100</f>
        <v>1.6059033145325003</v>
      </c>
      <c r="R31" s="1981">
        <f>R27*'3)Grünf. 5Nutz.(a)'!$L$72*'3)Grünf. 5Nutz.(a)'!$Q$72/12/100</f>
        <v>1.3615189322800003</v>
      </c>
      <c r="T31" s="3297" t="s">
        <v>1215</v>
      </c>
      <c r="U31" s="3308">
        <f>'3)Grünf. 5Nutz.(a)'!L30</f>
        <v>270</v>
      </c>
      <c r="V31" s="3308">
        <f>'3)Grünf. 5Nutz.(a)'!M30</f>
        <v>81</v>
      </c>
      <c r="W31" s="3308">
        <f>'3)Grünf. 5Nutz.(a)'!N30</f>
        <v>54</v>
      </c>
      <c r="X31" s="3308">
        <f>'3)Grünf. 5Nutz.(a)'!O30</f>
        <v>54</v>
      </c>
      <c r="Y31" s="3308">
        <f>'3)Grünf. 5Nutz.(a)'!P30</f>
        <v>40.5</v>
      </c>
      <c r="Z31" s="3308">
        <f>'3)Grünf. 5Nutz.(a)'!Q30</f>
        <v>40.5</v>
      </c>
    </row>
    <row r="32" spans="2:27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-1297.0414468268993</v>
      </c>
      <c r="N32" s="1769">
        <f t="shared" si="9"/>
        <v>-389.3390634678575</v>
      </c>
      <c r="O32" s="1769">
        <f t="shared" si="9"/>
        <v>-269.66206647854335</v>
      </c>
      <c r="P32" s="1769">
        <f t="shared" si="9"/>
        <v>-241.28533514368578</v>
      </c>
      <c r="Q32" s="1769">
        <f t="shared" si="9"/>
        <v>-218.05043363973255</v>
      </c>
      <c r="R32" s="1776">
        <f t="shared" si="9"/>
        <v>-178.70454809708005</v>
      </c>
      <c r="T32" s="3324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54</v>
      </c>
      <c r="X32" s="429">
        <f t="shared" si="10"/>
        <v>54</v>
      </c>
      <c r="Y32" s="429">
        <f t="shared" si="10"/>
        <v>40.5</v>
      </c>
      <c r="Z32" s="429">
        <f t="shared" si="10"/>
        <v>40.5</v>
      </c>
    </row>
    <row r="33" spans="2:26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-0.17645321953261109</v>
      </c>
      <c r="N33" s="1581">
        <f t="shared" si="11"/>
        <v>-0.17076274713502521</v>
      </c>
      <c r="O33" s="1581">
        <f t="shared" si="11"/>
        <v>-0.18022527417112338</v>
      </c>
      <c r="P33" s="1581">
        <f t="shared" si="11"/>
        <v>-0.16386100858654382</v>
      </c>
      <c r="Q33" s="1581">
        <f t="shared" si="11"/>
        <v>-0.20402379755764449</v>
      </c>
      <c r="R33" s="2404">
        <f t="shared" si="11"/>
        <v>-0.17297475919862557</v>
      </c>
    </row>
    <row r="34" spans="2:26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-0.10587193171956664</v>
      </c>
      <c r="N34" s="2149">
        <f t="shared" si="12"/>
        <v>-0.10245764828101511</v>
      </c>
      <c r="O34" s="2149">
        <f t="shared" si="12"/>
        <v>-0.10813516450267402</v>
      </c>
      <c r="P34" s="2149">
        <f t="shared" si="12"/>
        <v>-9.8316605151926278E-2</v>
      </c>
      <c r="Q34" s="2149">
        <f t="shared" si="12"/>
        <v>-0.1224142785345867</v>
      </c>
      <c r="R34" s="2412">
        <f t="shared" si="12"/>
        <v>-0.10378485551917535</v>
      </c>
    </row>
    <row r="35" spans="2:26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</row>
    <row r="36" spans="2:26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'3)Grünf. 5Nutz.(a)'!K58</f>
        <v>23.358583333333332</v>
      </c>
      <c r="N36" s="2397">
        <f>'3)Grünf. 5Nutz.(a)'!M58</f>
        <v>7.0453750000000017</v>
      </c>
      <c r="O36" s="2397">
        <f>'3)Grünf. 5Nutz.(a)'!N58</f>
        <v>5.0929166666666665</v>
      </c>
      <c r="P36" s="2397">
        <f>'3)Grünf. 5Nutz.(a)'!O58</f>
        <v>3.7069166666666669</v>
      </c>
      <c r="Q36" s="2397">
        <f>'3)Grünf. 5Nutz.(a)'!P58</f>
        <v>5.1156874999999999</v>
      </c>
      <c r="R36" s="2398">
        <f>'3)Grünf. 5Nutz.(a)'!Q58</f>
        <v>2.3976875000000004</v>
      </c>
    </row>
    <row r="37" spans="2:26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'3)Grünf. 5Nutz.(a)'!K16</f>
        <v>0</v>
      </c>
      <c r="N37" s="2400">
        <f>'3)Grünf. 5Nutz.(a)'!M16</f>
        <v>0</v>
      </c>
      <c r="O37" s="2400">
        <f>'3)Grünf. 5Nutz.(a)'!N16</f>
        <v>0</v>
      </c>
      <c r="P37" s="2400">
        <f>'3)Grünf. 5Nutz.(a)'!O16</f>
        <v>0</v>
      </c>
      <c r="Q37" s="2400">
        <f>'3)Grünf. 5Nutz.(a)'!P16</f>
        <v>0</v>
      </c>
      <c r="R37" s="2401">
        <f>'3)Grünf. 5Nutz.(a)'!Q16</f>
        <v>0</v>
      </c>
    </row>
    <row r="38" spans="2:26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2112">
        <f>'3)Grünf. 5Nutz.(a)'!M78</f>
        <v>0</v>
      </c>
      <c r="O38" s="2112">
        <f>'3)Grünf. 5Nutz.(a)'!N78</f>
        <v>0</v>
      </c>
      <c r="P38" s="2112">
        <f>'3)Grünf. 5Nutz.(a)'!O78</f>
        <v>0</v>
      </c>
      <c r="Q38" s="2112">
        <f>'3)Grünf. 5Nutz.(a)'!P78</f>
        <v>0</v>
      </c>
      <c r="R38" s="2113">
        <f>'3)Grünf. 5Nutz.(a)'!Q78</f>
        <v>0</v>
      </c>
    </row>
    <row r="39" spans="2:26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408.7752083333333</v>
      </c>
      <c r="N39" s="285">
        <f t="shared" si="14"/>
        <v>123.29406250000002</v>
      </c>
      <c r="O39" s="285">
        <f t="shared" si="14"/>
        <v>89.126041666666666</v>
      </c>
      <c r="P39" s="285">
        <f t="shared" si="14"/>
        <v>64.87104166666667</v>
      </c>
      <c r="Q39" s="285">
        <f t="shared" si="14"/>
        <v>89.524531249999995</v>
      </c>
      <c r="R39" s="1574">
        <f t="shared" si="14"/>
        <v>41.959531250000005</v>
      </c>
    </row>
    <row r="40" spans="2:26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U40" s="3308"/>
      <c r="V40" s="3308"/>
      <c r="W40" s="3308"/>
      <c r="X40" s="3308"/>
      <c r="Y40" s="3308"/>
      <c r="Z40" s="3308"/>
    </row>
    <row r="41" spans="2:26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'Festk-Masch-Geb'!T44-'Festk-Masch-Geb'!T36-'Festk-Masch-Geb'!T30-'Festk-Masch-Geb'!T32-'Festk-Masch-Geb'!T33-'Festk-Masch-Geb'!T38</f>
        <v>363.47481170033677</v>
      </c>
      <c r="N41" s="285">
        <f>N$6/$M$6*$M$41</f>
        <v>109.04244351010102</v>
      </c>
      <c r="O41" s="285">
        <f>O$6/$M$6*$M$41</f>
        <v>72.694962340067363</v>
      </c>
      <c r="P41" s="285">
        <f>P$6/$M$6*$M$41</f>
        <v>72.694962340067363</v>
      </c>
      <c r="Q41" s="285">
        <f>Q$6/$M$6*$M$41</f>
        <v>54.521221755050512</v>
      </c>
      <c r="R41" s="1574">
        <f>R$6/$M$6*$M$41</f>
        <v>54.521221755050512</v>
      </c>
    </row>
    <row r="42" spans="2:26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</row>
    <row r="43" spans="2:26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</row>
    <row r="44" spans="2:26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</row>
    <row r="45" spans="2:26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1180.0700200336701</v>
      </c>
      <c r="N45" s="1991">
        <f t="shared" si="15"/>
        <v>354.68250601010106</v>
      </c>
      <c r="O45" s="1991">
        <f t="shared" si="15"/>
        <v>243.38500400673405</v>
      </c>
      <c r="P45" s="1991">
        <f t="shared" si="15"/>
        <v>219.13000400673405</v>
      </c>
      <c r="Q45" s="1991">
        <f t="shared" si="15"/>
        <v>205.2187530050505</v>
      </c>
      <c r="R45" s="1994">
        <f t="shared" si="15"/>
        <v>157.6537530050505</v>
      </c>
    </row>
    <row r="46" spans="2:26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</row>
    <row r="47" spans="2:26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</row>
    <row r="48" spans="2:26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2747.1114668605696</v>
      </c>
      <c r="N48" s="2127">
        <f t="shared" si="17"/>
        <v>825.02156947795856</v>
      </c>
      <c r="O48" s="2041">
        <f t="shared" si="17"/>
        <v>567.04707048527735</v>
      </c>
      <c r="P48" s="2041">
        <f t="shared" si="17"/>
        <v>514.41533915041987</v>
      </c>
      <c r="Q48" s="2041">
        <f t="shared" si="17"/>
        <v>463.76918664478308</v>
      </c>
      <c r="R48" s="2080">
        <f t="shared" si="17"/>
        <v>376.85830110213055</v>
      </c>
    </row>
    <row r="49" spans="2:20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-2747.1114668605696</v>
      </c>
      <c r="N49" s="2125">
        <f t="shared" si="18"/>
        <v>-825.02156947795856</v>
      </c>
      <c r="O49" s="1772">
        <f t="shared" si="18"/>
        <v>-567.04707048527735</v>
      </c>
      <c r="P49" s="1772">
        <f t="shared" si="18"/>
        <v>-514.41533915041987</v>
      </c>
      <c r="Q49" s="1772">
        <f t="shared" si="18"/>
        <v>-463.76918664478308</v>
      </c>
      <c r="R49" s="1773">
        <f t="shared" si="18"/>
        <v>-376.85830110213055</v>
      </c>
    </row>
    <row r="50" spans="2:20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-0.37372488283112926</v>
      </c>
      <c r="N50" s="2511">
        <f t="shared" si="19"/>
        <v>-0.36185156556050813</v>
      </c>
      <c r="O50" s="2168">
        <f t="shared" si="19"/>
        <v>-0.37897882739199823</v>
      </c>
      <c r="P50" s="2168">
        <f t="shared" si="19"/>
        <v>-0.34934827786106615</v>
      </c>
      <c r="Q50" s="2168">
        <f t="shared" si="19"/>
        <v>-0.43393608107114207</v>
      </c>
      <c r="R50" s="2187">
        <f t="shared" si="19"/>
        <v>-0.36477512508373194</v>
      </c>
    </row>
    <row r="51" spans="2:20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54</v>
      </c>
      <c r="P51" s="2185">
        <f t="shared" si="20"/>
        <v>54</v>
      </c>
      <c r="Q51" s="2185">
        <f t="shared" si="20"/>
        <v>40.5</v>
      </c>
      <c r="R51" s="2186">
        <f t="shared" si="20"/>
        <v>40.5</v>
      </c>
    </row>
    <row r="52" spans="2:20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-2477.1114668605696</v>
      </c>
      <c r="N52" s="2178">
        <f t="shared" si="21"/>
        <v>-744.02156947795856</v>
      </c>
      <c r="O52" s="2081">
        <f t="shared" si="21"/>
        <v>-513.04707048527735</v>
      </c>
      <c r="P52" s="2081">
        <f t="shared" si="21"/>
        <v>-460.41533915041987</v>
      </c>
      <c r="Q52" s="2081">
        <f t="shared" si="21"/>
        <v>-423.26918664478308</v>
      </c>
      <c r="R52" s="2082">
        <f t="shared" si="21"/>
        <v>-336.35830110213055</v>
      </c>
    </row>
    <row r="53" spans="2:20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-0.3369933123864392</v>
      </c>
      <c r="N53" s="2511">
        <f t="shared" si="22"/>
        <v>-0.32632524977103444</v>
      </c>
      <c r="O53" s="2168">
        <f t="shared" si="22"/>
        <v>-0.34288860182808845</v>
      </c>
      <c r="P53" s="2168">
        <f t="shared" si="22"/>
        <v>-0.31267595188483521</v>
      </c>
      <c r="Q53" s="2168">
        <f t="shared" si="22"/>
        <v>-0.39604134422903681</v>
      </c>
      <c r="R53" s="2187">
        <f t="shared" si="22"/>
        <v>-0.32557367317810582</v>
      </c>
    </row>
    <row r="54" spans="2:20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</row>
    <row r="55" spans="2:20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2477.1114668605696</v>
      </c>
      <c r="N55" s="2038">
        <f t="shared" si="23"/>
        <v>744.02156947795856</v>
      </c>
      <c r="O55" s="2038">
        <f t="shared" si="23"/>
        <v>513.04707048527735</v>
      </c>
      <c r="P55" s="2038">
        <f t="shared" si="23"/>
        <v>460.41533915041987</v>
      </c>
      <c r="Q55" s="2038">
        <f t="shared" si="23"/>
        <v>423.26918664478308</v>
      </c>
      <c r="R55" s="2039">
        <f t="shared" si="23"/>
        <v>336.35830110213055</v>
      </c>
    </row>
    <row r="56" spans="2:20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3.7547794866097051</v>
      </c>
      <c r="N56" s="2103">
        <f t="shared" si="25"/>
        <v>3.7592668773623168</v>
      </c>
      <c r="O56" s="2103">
        <f t="shared" si="25"/>
        <v>3.8883567447305234</v>
      </c>
      <c r="P56" s="2103">
        <f t="shared" si="25"/>
        <v>3.4894636230347613</v>
      </c>
      <c r="Q56" s="2103">
        <f t="shared" si="25"/>
        <v>4.2772465176735972</v>
      </c>
      <c r="R56" s="2104">
        <f t="shared" si="25"/>
        <v>3.3989891479794241</v>
      </c>
    </row>
    <row r="57" spans="2:20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20.859886036720585</v>
      </c>
      <c r="N57" s="3427">
        <f>IF($N$7=0,0,N$55/$N$9)</f>
        <v>20.884815985346204</v>
      </c>
      <c r="O57" s="3427">
        <f>IF($O$7=0,0,O$55/$O$9)</f>
        <v>21.601981915169571</v>
      </c>
      <c r="P57" s="3427">
        <f>IF($P$7=0,0,P$55/$P$9)</f>
        <v>19.385909016859785</v>
      </c>
      <c r="Q57" s="3427">
        <f>IF($Q$7=0,0,Q$55/$Q$9)</f>
        <v>23.762480653742209</v>
      </c>
      <c r="R57" s="3428">
        <f>IF($R$7=0,0,R$55/$R$9)</f>
        <v>18.883273044330135</v>
      </c>
    </row>
    <row r="58" spans="2:20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T58" s="3308" t="s">
        <v>1369</v>
      </c>
    </row>
    <row r="59" spans="2:20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0.3369933123864392</v>
      </c>
      <c r="N59" s="2136">
        <f t="shared" si="26"/>
        <v>0.32632524977103444</v>
      </c>
      <c r="O59" s="2136">
        <f t="shared" si="26"/>
        <v>0.34288860182808845</v>
      </c>
      <c r="P59" s="2136">
        <f t="shared" si="26"/>
        <v>0.31267595188483521</v>
      </c>
      <c r="Q59" s="2136">
        <f t="shared" si="26"/>
        <v>0.39604134422903681</v>
      </c>
      <c r="R59" s="2137">
        <f t="shared" si="26"/>
        <v>0.32557367317810582</v>
      </c>
    </row>
    <row r="60" spans="2:20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9.3609253440677553E-2</v>
      </c>
      <c r="N60" s="2136">
        <f t="shared" si="27"/>
        <v>9.0645902714176232E-2</v>
      </c>
      <c r="O60" s="2136">
        <f t="shared" si="27"/>
        <v>9.5246833841135678E-2</v>
      </c>
      <c r="P60" s="2136">
        <f t="shared" si="27"/>
        <v>8.68544310791209E-2</v>
      </c>
      <c r="Q60" s="2136">
        <f t="shared" si="27"/>
        <v>0.11001148450806578</v>
      </c>
      <c r="R60" s="2137">
        <f t="shared" si="27"/>
        <v>9.0437131438362725E-2</v>
      </c>
    </row>
    <row r="61" spans="2:20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0.3369933123864392</v>
      </c>
      <c r="N61" s="2136">
        <f t="shared" si="28"/>
        <v>0.32632524977103444</v>
      </c>
      <c r="O61" s="2136">
        <f t="shared" si="28"/>
        <v>0.34288860182808845</v>
      </c>
      <c r="P61" s="2136">
        <f t="shared" si="28"/>
        <v>0.31267595188483521</v>
      </c>
      <c r="Q61" s="2136">
        <f t="shared" si="28"/>
        <v>0.39604134422903681</v>
      </c>
      <c r="R61" s="2137">
        <f t="shared" si="28"/>
        <v>0.32557367317810582</v>
      </c>
    </row>
    <row r="62" spans="2:20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0.20219598743186351</v>
      </c>
      <c r="N62" s="2513">
        <f t="shared" si="29"/>
        <v>0.19579514986262064</v>
      </c>
      <c r="O62" s="2513">
        <f t="shared" si="29"/>
        <v>0.20573316109685308</v>
      </c>
      <c r="P62" s="2513">
        <f t="shared" si="29"/>
        <v>0.18760557113090112</v>
      </c>
      <c r="Q62" s="2513">
        <f t="shared" si="29"/>
        <v>0.23762480653742207</v>
      </c>
      <c r="R62" s="2514">
        <f t="shared" si="29"/>
        <v>0.19534420390686347</v>
      </c>
    </row>
    <row r="63" spans="2:20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3"/>
      <c r="J63" s="1563"/>
      <c r="K63" s="1563"/>
      <c r="L63" s="1590" t="s">
        <v>266</v>
      </c>
      <c r="M63" s="1769">
        <f t="shared" ref="M63:R63" si="30">M55-M40</f>
        <v>2477.1114668605696</v>
      </c>
      <c r="N63" s="1769">
        <f t="shared" si="30"/>
        <v>744.02156947795856</v>
      </c>
      <c r="O63" s="1769">
        <f t="shared" si="30"/>
        <v>513.04707048527735</v>
      </c>
      <c r="P63" s="1769">
        <f t="shared" si="30"/>
        <v>460.41533915041987</v>
      </c>
      <c r="Q63" s="1769">
        <f t="shared" si="30"/>
        <v>423.26918664478308</v>
      </c>
      <c r="R63" s="1776">
        <f t="shared" si="30"/>
        <v>336.35830110213055</v>
      </c>
    </row>
    <row r="64" spans="2:20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3"/>
      <c r="J64" s="1563"/>
      <c r="K64" s="1563"/>
      <c r="L64" s="1867" t="s">
        <v>1017</v>
      </c>
      <c r="M64" s="3426">
        <f>IF($M$7=0,0,M$63/$M$9)</f>
        <v>20.859886036720585</v>
      </c>
      <c r="N64" s="3427">
        <f>IF($N$7=0,0,N$63/$N$9)</f>
        <v>20.884815985346204</v>
      </c>
      <c r="O64" s="3427">
        <f>IF($O$7=0,0,O$63/$O$9)</f>
        <v>21.601981915169571</v>
      </c>
      <c r="P64" s="3427">
        <f>IF($P$7=0,0,P$63/$P$9)</f>
        <v>19.385909016859785</v>
      </c>
      <c r="Q64" s="3427">
        <f>IF($Q$7=0,0,Q$63/$Q$9)</f>
        <v>23.762480653742209</v>
      </c>
      <c r="R64" s="3428">
        <f>IF($R$7=0,0,R$63/$R$9)</f>
        <v>18.883273044330135</v>
      </c>
    </row>
    <row r="65" spans="2:18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1739"/>
      <c r="J65" s="432"/>
      <c r="K65" s="432"/>
      <c r="L65" s="1596" t="s">
        <v>271</v>
      </c>
      <c r="M65" s="2165">
        <f t="shared" ref="M65:R66" si="31">IF(M12=0,0,M$63/M12)</f>
        <v>0.3369933123864392</v>
      </c>
      <c r="N65" s="2169">
        <f t="shared" si="31"/>
        <v>0.32632524977103444</v>
      </c>
      <c r="O65" s="2169">
        <f t="shared" si="31"/>
        <v>0.34288860182808845</v>
      </c>
      <c r="P65" s="2169">
        <f t="shared" si="31"/>
        <v>0.31267595188483521</v>
      </c>
      <c r="Q65" s="2169">
        <f t="shared" si="31"/>
        <v>0.39604134422903681</v>
      </c>
      <c r="R65" s="2172">
        <f t="shared" si="31"/>
        <v>0.32557367317810582</v>
      </c>
    </row>
    <row r="66" spans="2:18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438"/>
      <c r="J66" s="438"/>
      <c r="K66" s="438"/>
      <c r="L66" s="1598" t="s">
        <v>272</v>
      </c>
      <c r="M66" s="2170">
        <f t="shared" si="31"/>
        <v>0.20219598743186351</v>
      </c>
      <c r="N66" s="2171">
        <f t="shared" si="31"/>
        <v>0.19579514986262064</v>
      </c>
      <c r="O66" s="2171">
        <f t="shared" si="31"/>
        <v>0.20573316109685308</v>
      </c>
      <c r="P66" s="2171">
        <f t="shared" si="31"/>
        <v>0.18760557113090112</v>
      </c>
      <c r="Q66" s="2171">
        <f t="shared" si="31"/>
        <v>0.23762480653742207</v>
      </c>
      <c r="R66" s="2173">
        <f t="shared" si="31"/>
        <v>0.19534420390686347</v>
      </c>
    </row>
    <row r="67" spans="2:18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</row>
    <row r="68" spans="2:18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1059.4944683550325</v>
      </c>
      <c r="N68" s="1772">
        <f t="shared" si="32"/>
        <v>317.84974814265752</v>
      </c>
      <c r="O68" s="1772">
        <f t="shared" si="32"/>
        <v>211.96258172761</v>
      </c>
      <c r="P68" s="1772">
        <f t="shared" si="32"/>
        <v>211.78632873795249</v>
      </c>
      <c r="Q68" s="1772">
        <f t="shared" si="32"/>
        <v>159.07009706453252</v>
      </c>
      <c r="R68" s="1773">
        <f t="shared" si="32"/>
        <v>158.82571268228003</v>
      </c>
    </row>
    <row r="69" spans="2:18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0.14413665074126791</v>
      </c>
      <c r="N69" s="2031">
        <f t="shared" si="33"/>
        <v>0.13940778427309541</v>
      </c>
      <c r="O69" s="2031">
        <f t="shared" si="33"/>
        <v>0.14166254417885379</v>
      </c>
      <c r="P69" s="2031">
        <f t="shared" si="33"/>
        <v>0.14382772749606282</v>
      </c>
      <c r="Q69" s="2031">
        <f t="shared" si="33"/>
        <v>0.14883751772120002</v>
      </c>
      <c r="R69" s="2032">
        <f t="shared" si="33"/>
        <v>0.15373329721212828</v>
      </c>
    </row>
    <row r="70" spans="2:18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1279.7969985055367</v>
      </c>
      <c r="N70" s="1769">
        <f t="shared" si="34"/>
        <v>384.82582133530104</v>
      </c>
      <c r="O70" s="1769">
        <f t="shared" si="34"/>
        <v>273.52048875766735</v>
      </c>
      <c r="P70" s="1769">
        <f t="shared" si="34"/>
        <v>221.06501041246736</v>
      </c>
      <c r="Q70" s="1769">
        <f t="shared" si="34"/>
        <v>243.5260895802505</v>
      </c>
      <c r="R70" s="1776">
        <f t="shared" si="34"/>
        <v>156.85958841985052</v>
      </c>
    </row>
    <row r="71" spans="2:18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0.17410723557595942</v>
      </c>
      <c r="N71" s="2168">
        <f t="shared" si="35"/>
        <v>0.16878325497162328</v>
      </c>
      <c r="O71" s="2168">
        <f t="shared" si="35"/>
        <v>0.18280400251139003</v>
      </c>
      <c r="P71" s="2168">
        <f t="shared" si="35"/>
        <v>0.15012903932934965</v>
      </c>
      <c r="Q71" s="2168">
        <f t="shared" si="35"/>
        <v>0.22786066861309989</v>
      </c>
      <c r="R71" s="2187">
        <f t="shared" si="35"/>
        <v>0.15183021262659457</v>
      </c>
    </row>
    <row r="72" spans="2:18" ht="13.7" customHeight="1" x14ac:dyDescent="0.2">
      <c r="B72" s="1589"/>
      <c r="C72" s="1768"/>
      <c r="E72" s="1768"/>
      <c r="F72" s="1768"/>
      <c r="G72" s="1768"/>
      <c r="H72" s="1768"/>
    </row>
    <row r="73" spans="2:18" x14ac:dyDescent="0.2">
      <c r="C73" s="7" t="s">
        <v>1383</v>
      </c>
    </row>
    <row r="97" spans="5:18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</row>
    <row r="98" spans="5:18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25&amp;9
&amp;R&amp;12&amp;F
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O120"/>
  <sheetViews>
    <sheetView showGridLines="0" zoomScale="75" zoomScaleNormal="75" zoomScaleSheetLayoutView="75" workbookViewId="0"/>
  </sheetViews>
  <sheetFormatPr baseColWidth="10" defaultColWidth="11.42578125" defaultRowHeight="18" x14ac:dyDescent="0.25"/>
  <cols>
    <col min="1" max="1" width="2.5703125" style="304" customWidth="1"/>
    <col min="2" max="2" width="4" style="304" customWidth="1"/>
    <col min="3" max="3" width="2.42578125" style="304" customWidth="1"/>
    <col min="4" max="4" width="16.7109375" style="304" customWidth="1"/>
    <col min="5" max="5" width="20.140625" style="304" customWidth="1"/>
    <col min="6" max="6" width="22.5703125" style="304" customWidth="1"/>
    <col min="7" max="7" width="23.140625" style="304" customWidth="1"/>
    <col min="8" max="8" width="29" style="304" customWidth="1"/>
    <col min="9" max="9" width="10.28515625" style="3135" hidden="1" customWidth="1"/>
    <col min="10" max="10" width="4" style="304" hidden="1" customWidth="1"/>
    <col min="11" max="16" width="0" style="304" hidden="1" customWidth="1"/>
    <col min="17" max="16384" width="11.42578125" style="304"/>
  </cols>
  <sheetData>
    <row r="1" spans="1:9" x14ac:dyDescent="0.25">
      <c r="D1" s="3756"/>
      <c r="E1" s="3758"/>
      <c r="F1" s="3758"/>
    </row>
    <row r="2" spans="1:9" s="300" customFormat="1" ht="30.75" customHeight="1" x14ac:dyDescent="0.25">
      <c r="C2" s="209"/>
      <c r="D2" s="3757"/>
      <c r="E2" s="2878" t="s">
        <v>487</v>
      </c>
      <c r="F2" s="299"/>
      <c r="G2" s="299"/>
      <c r="H2" s="2879">
        <f>Deckbl!F6</f>
        <v>2022</v>
      </c>
      <c r="I2" s="3132"/>
    </row>
    <row r="3" spans="1:9" s="300" customFormat="1" ht="35.450000000000003" customHeight="1" x14ac:dyDescent="0.2">
      <c r="B3" s="210" t="s">
        <v>488</v>
      </c>
      <c r="C3" s="210"/>
      <c r="D3" s="298"/>
      <c r="E3" s="299"/>
      <c r="F3" s="299"/>
      <c r="G3" s="299"/>
      <c r="H3" s="299"/>
      <c r="I3" s="3133"/>
    </row>
    <row r="4" spans="1:9" s="300" customFormat="1" ht="33.75" customHeight="1" x14ac:dyDescent="0.2">
      <c r="B4" s="303" t="s">
        <v>1455</v>
      </c>
      <c r="C4" s="303"/>
      <c r="D4" s="299"/>
      <c r="E4" s="299"/>
      <c r="F4" s="299"/>
      <c r="G4" s="299"/>
      <c r="H4" s="1312"/>
      <c r="I4" s="3134"/>
    </row>
    <row r="5" spans="1:9" s="300" customFormat="1" ht="18.75" customHeight="1" x14ac:dyDescent="0.2">
      <c r="B5" s="858"/>
      <c r="C5" s="858"/>
      <c r="D5" s="3699"/>
      <c r="E5" s="858"/>
      <c r="F5" s="858"/>
      <c r="G5" s="858"/>
      <c r="H5" s="1317"/>
      <c r="I5" s="3131" t="s">
        <v>494</v>
      </c>
    </row>
    <row r="6" spans="1:9" x14ac:dyDescent="0.25">
      <c r="B6" s="1318"/>
      <c r="C6" s="1318"/>
      <c r="D6" s="3698" t="s">
        <v>1659</v>
      </c>
      <c r="E6" s="1318"/>
      <c r="F6" s="1318"/>
      <c r="G6" s="1318"/>
      <c r="H6" s="1318"/>
    </row>
    <row r="7" spans="1:9" s="3748" customFormat="1" ht="16.5" customHeight="1" x14ac:dyDescent="0.25">
      <c r="A7" s="3744"/>
      <c r="B7" s="3745"/>
      <c r="C7" s="3698" t="s">
        <v>1652</v>
      </c>
      <c r="D7" s="3698" t="s">
        <v>496</v>
      </c>
      <c r="E7" s="3698"/>
      <c r="F7" s="3698"/>
      <c r="G7" s="3697"/>
      <c r="H7" s="3746"/>
      <c r="I7" s="3747" t="s">
        <v>836</v>
      </c>
    </row>
    <row r="8" spans="1:9" s="3324" customFormat="1" ht="16.5" customHeight="1" x14ac:dyDescent="0.25">
      <c r="A8" s="3749"/>
      <c r="B8" s="3744"/>
      <c r="C8" s="3698" t="s">
        <v>1654</v>
      </c>
      <c r="D8" s="3698" t="s">
        <v>1653</v>
      </c>
      <c r="E8" s="3698"/>
      <c r="F8" s="3698"/>
      <c r="G8" s="3750"/>
      <c r="H8" s="3751"/>
      <c r="I8" s="3752" t="s">
        <v>837</v>
      </c>
    </row>
    <row r="9" spans="1:9" s="429" customFormat="1" ht="16.5" customHeight="1" x14ac:dyDescent="0.2">
      <c r="A9" s="349"/>
      <c r="B9" s="3743"/>
      <c r="C9" s="3728"/>
      <c r="D9" s="3699" t="s">
        <v>940</v>
      </c>
      <c r="E9" s="3728"/>
      <c r="F9" s="3728"/>
      <c r="G9" s="3742"/>
      <c r="H9" s="3742"/>
      <c r="I9" s="2949" t="s">
        <v>941</v>
      </c>
    </row>
    <row r="10" spans="1:9" s="429" customFormat="1" ht="16.5" customHeight="1" x14ac:dyDescent="0.25">
      <c r="A10" s="3743"/>
      <c r="B10" s="3743"/>
      <c r="C10" s="3698" t="s">
        <v>1655</v>
      </c>
      <c r="D10" s="3698" t="s">
        <v>1656</v>
      </c>
      <c r="E10" s="3698"/>
      <c r="F10" s="3698"/>
      <c r="G10" s="3750"/>
      <c r="H10" s="3750"/>
      <c r="I10" s="2949" t="s">
        <v>678</v>
      </c>
    </row>
    <row r="11" spans="1:9" s="429" customFormat="1" ht="16.5" customHeight="1" x14ac:dyDescent="0.2">
      <c r="B11" s="1323"/>
      <c r="C11" s="1324"/>
      <c r="D11" s="891" t="s">
        <v>497</v>
      </c>
      <c r="E11" s="1323"/>
      <c r="F11" s="1323"/>
      <c r="G11" s="1323"/>
      <c r="H11" s="1320"/>
      <c r="I11" s="2949"/>
    </row>
    <row r="12" spans="1:9" s="300" customFormat="1" ht="16.5" customHeight="1" x14ac:dyDescent="0.2">
      <c r="B12" s="858"/>
      <c r="C12" s="1317" t="s">
        <v>498</v>
      </c>
      <c r="D12" s="907"/>
      <c r="E12" s="858"/>
      <c r="F12" s="858"/>
      <c r="G12" s="858"/>
      <c r="H12" s="1317"/>
      <c r="I12" s="2948"/>
    </row>
    <row r="13" spans="1:9" s="300" customFormat="1" ht="16.5" customHeight="1" x14ac:dyDescent="0.2">
      <c r="B13" s="858"/>
      <c r="C13" s="907"/>
      <c r="D13" s="3699" t="s">
        <v>499</v>
      </c>
      <c r="E13" s="891"/>
      <c r="F13" s="891"/>
      <c r="G13" s="891"/>
      <c r="H13" s="891"/>
      <c r="I13" s="2948" t="s">
        <v>503</v>
      </c>
    </row>
    <row r="14" spans="1:9" s="300" customFormat="1" ht="16.5" customHeight="1" x14ac:dyDescent="0.2">
      <c r="B14" s="858"/>
      <c r="C14" s="907"/>
      <c r="D14" s="3699" t="s">
        <v>1619</v>
      </c>
      <c r="E14" s="891"/>
      <c r="F14" s="891"/>
      <c r="G14" s="891"/>
      <c r="H14" s="891"/>
      <c r="I14" s="2948" t="s">
        <v>981</v>
      </c>
    </row>
    <row r="15" spans="1:9" s="300" customFormat="1" ht="16.5" customHeight="1" x14ac:dyDescent="0.2">
      <c r="B15" s="858"/>
      <c r="C15" s="907"/>
      <c r="D15" s="3699" t="s">
        <v>397</v>
      </c>
      <c r="E15" s="891"/>
      <c r="F15" s="891"/>
      <c r="G15" s="891"/>
      <c r="H15" s="891"/>
      <c r="I15" s="2948" t="s">
        <v>982</v>
      </c>
    </row>
    <row r="16" spans="1:9" s="300" customFormat="1" ht="16.5" customHeight="1" x14ac:dyDescent="0.2">
      <c r="B16" s="858"/>
      <c r="C16" s="907"/>
      <c r="D16" s="3699" t="s">
        <v>501</v>
      </c>
      <c r="E16" s="891"/>
      <c r="F16" s="891"/>
      <c r="G16" s="891"/>
      <c r="H16" s="891"/>
      <c r="I16" s="2948" t="s">
        <v>1026</v>
      </c>
    </row>
    <row r="17" spans="2:13" s="300" customFormat="1" ht="18.75" customHeight="1" x14ac:dyDescent="0.2">
      <c r="B17" s="858"/>
      <c r="C17" s="907"/>
      <c r="D17" s="3699" t="s">
        <v>502</v>
      </c>
      <c r="E17" s="891"/>
      <c r="F17" s="891"/>
      <c r="G17" s="891"/>
      <c r="H17" s="891"/>
      <c r="I17" s="2948" t="s">
        <v>983</v>
      </c>
    </row>
    <row r="18" spans="2:13" s="300" customFormat="1" ht="17.100000000000001" customHeight="1" x14ac:dyDescent="0.2">
      <c r="B18" s="858"/>
      <c r="C18" s="907"/>
      <c r="D18" s="858"/>
      <c r="E18" s="858"/>
      <c r="F18" s="858"/>
      <c r="G18" s="858"/>
      <c r="H18" s="1321"/>
      <c r="I18" s="2948"/>
    </row>
    <row r="19" spans="2:13" s="300" customFormat="1" ht="17.100000000000001" customHeight="1" x14ac:dyDescent="0.2">
      <c r="B19" s="858"/>
      <c r="C19" s="1317" t="s">
        <v>455</v>
      </c>
      <c r="D19" s="907"/>
      <c r="E19" s="858"/>
      <c r="F19" s="858"/>
      <c r="G19" s="858"/>
      <c r="H19" s="1322"/>
      <c r="I19" s="2948"/>
    </row>
    <row r="20" spans="2:13" s="300" customFormat="1" ht="17.100000000000001" customHeight="1" x14ac:dyDescent="0.2">
      <c r="B20" s="858"/>
      <c r="C20" s="907"/>
      <c r="D20" s="858" t="s">
        <v>1658</v>
      </c>
      <c r="E20" s="858"/>
      <c r="F20" s="858"/>
      <c r="G20" s="858"/>
      <c r="H20" s="1321"/>
      <c r="I20" s="2950"/>
    </row>
    <row r="21" spans="2:13" s="300" customFormat="1" ht="17.100000000000001" customHeight="1" x14ac:dyDescent="0.2">
      <c r="B21" s="858"/>
      <c r="C21" s="858"/>
      <c r="D21" s="907"/>
      <c r="E21" s="858" t="s">
        <v>857</v>
      </c>
      <c r="F21" s="858"/>
      <c r="G21" s="858"/>
      <c r="H21" s="1321"/>
      <c r="I21" s="2950"/>
    </row>
    <row r="22" spans="2:13" s="300" customFormat="1" ht="17.100000000000001" customHeight="1" x14ac:dyDescent="0.2">
      <c r="B22" s="858"/>
      <c r="C22" s="858"/>
      <c r="D22" s="907"/>
      <c r="E22" s="858" t="s">
        <v>1651</v>
      </c>
      <c r="F22" s="858"/>
      <c r="G22" s="858"/>
      <c r="H22" s="1321"/>
      <c r="I22" s="2948"/>
    </row>
    <row r="23" spans="2:13" s="300" customFormat="1" ht="9" customHeight="1" x14ac:dyDescent="0.2">
      <c r="B23" s="858"/>
      <c r="C23" s="907"/>
      <c r="D23" s="1180"/>
      <c r="E23" s="858"/>
      <c r="F23" s="858"/>
      <c r="G23" s="858"/>
      <c r="H23" s="1321"/>
      <c r="I23" s="2948"/>
    </row>
    <row r="24" spans="2:13" s="300" customFormat="1" ht="17.100000000000001" customHeight="1" x14ac:dyDescent="0.2">
      <c r="B24" s="858"/>
      <c r="C24" s="907"/>
      <c r="D24" s="1180"/>
      <c r="E24" s="1829" t="s">
        <v>456</v>
      </c>
      <c r="F24" s="1830"/>
      <c r="G24" s="1829" t="s">
        <v>566</v>
      </c>
      <c r="H24" s="1321"/>
      <c r="I24" s="2948"/>
      <c r="K24" s="3466" t="s">
        <v>1401</v>
      </c>
      <c r="L24" s="3446"/>
    </row>
    <row r="25" spans="2:13" s="300" customFormat="1" ht="9" customHeight="1" x14ac:dyDescent="0.2">
      <c r="B25" s="858"/>
      <c r="C25" s="907"/>
      <c r="D25" s="1180"/>
      <c r="E25" s="858"/>
      <c r="F25" s="1180"/>
      <c r="H25" s="1321"/>
      <c r="I25" s="2948"/>
    </row>
    <row r="26" spans="2:13" s="429" customFormat="1" ht="15" customHeight="1" x14ac:dyDescent="0.2">
      <c r="B26" s="1323"/>
      <c r="C26" s="1323"/>
      <c r="D26" s="3660" t="s">
        <v>457</v>
      </c>
      <c r="E26" s="1324" t="s">
        <v>458</v>
      </c>
      <c r="F26" s="1325"/>
      <c r="G26" s="3699" t="s">
        <v>1603</v>
      </c>
      <c r="H26" s="1320"/>
      <c r="I26" s="2949" t="s">
        <v>984</v>
      </c>
      <c r="K26" s="3446">
        <v>1</v>
      </c>
      <c r="M26" s="3324" t="s">
        <v>1603</v>
      </c>
    </row>
    <row r="27" spans="2:13" s="429" customFormat="1" ht="15" customHeight="1" x14ac:dyDescent="0.2">
      <c r="B27" s="1323"/>
      <c r="C27" s="1323"/>
      <c r="D27" s="891"/>
      <c r="F27" s="1325"/>
      <c r="G27" s="3699" t="s">
        <v>1595</v>
      </c>
      <c r="H27" s="1320"/>
      <c r="I27" s="2949" t="s">
        <v>985</v>
      </c>
      <c r="K27" s="3446">
        <v>2</v>
      </c>
      <c r="M27" s="3324" t="s">
        <v>1595</v>
      </c>
    </row>
    <row r="28" spans="2:13" s="429" customFormat="1" ht="15" customHeight="1" x14ac:dyDescent="0.2">
      <c r="B28" s="1323"/>
      <c r="C28" s="1324"/>
      <c r="D28" s="891"/>
      <c r="E28" s="1325"/>
      <c r="F28" s="1325"/>
      <c r="G28" s="3699" t="s">
        <v>1602</v>
      </c>
      <c r="H28" s="1320"/>
      <c r="I28" s="2949" t="s">
        <v>986</v>
      </c>
      <c r="K28" s="3446">
        <v>3</v>
      </c>
      <c r="M28" s="3324" t="s">
        <v>1602</v>
      </c>
    </row>
    <row r="29" spans="2:13" s="429" customFormat="1" ht="9" customHeight="1" x14ac:dyDescent="0.2">
      <c r="B29" s="1323"/>
      <c r="C29" s="1324"/>
      <c r="D29" s="891"/>
      <c r="E29" s="1325"/>
      <c r="F29" s="1325"/>
      <c r="G29" s="3699"/>
      <c r="H29" s="1320"/>
      <c r="I29" s="2949"/>
      <c r="K29" s="3446"/>
    </row>
    <row r="30" spans="2:13" s="429" customFormat="1" ht="15" customHeight="1" x14ac:dyDescent="0.2">
      <c r="B30" s="1323"/>
      <c r="C30" s="1324"/>
      <c r="D30" s="891"/>
      <c r="E30" s="1324" t="s">
        <v>459</v>
      </c>
      <c r="F30" s="1325"/>
      <c r="G30" s="3699" t="s">
        <v>1660</v>
      </c>
      <c r="H30" s="1320"/>
      <c r="I30" s="2949" t="s">
        <v>987</v>
      </c>
      <c r="K30" s="3446">
        <v>4</v>
      </c>
      <c r="M30" s="3324" t="s">
        <v>1603</v>
      </c>
    </row>
    <row r="31" spans="2:13" s="429" customFormat="1" ht="15" customHeight="1" x14ac:dyDescent="0.2">
      <c r="B31" s="1323"/>
      <c r="C31" s="1324"/>
      <c r="D31" s="891"/>
      <c r="E31" s="1324"/>
      <c r="F31" s="1325"/>
      <c r="G31" s="3699" t="s">
        <v>1661</v>
      </c>
      <c r="H31" s="1320"/>
      <c r="I31" s="2949" t="s">
        <v>988</v>
      </c>
      <c r="K31" s="3446">
        <v>5</v>
      </c>
      <c r="M31" s="3324" t="s">
        <v>1595</v>
      </c>
    </row>
    <row r="32" spans="2:13" s="429" customFormat="1" ht="15" customHeight="1" x14ac:dyDescent="0.2">
      <c r="B32" s="1323"/>
      <c r="C32" s="1324"/>
      <c r="D32" s="891"/>
      <c r="E32" s="1324"/>
      <c r="F32" s="1325"/>
      <c r="G32" s="3699" t="s">
        <v>1662</v>
      </c>
      <c r="H32" s="1320"/>
      <c r="I32" s="2949" t="s">
        <v>989</v>
      </c>
      <c r="K32" s="3446">
        <v>6</v>
      </c>
      <c r="M32" s="3324" t="s">
        <v>1602</v>
      </c>
    </row>
    <row r="33" spans="2:13" s="429" customFormat="1" ht="9" customHeight="1" x14ac:dyDescent="0.2">
      <c r="B33" s="1323"/>
      <c r="C33" s="1324"/>
      <c r="D33" s="891"/>
      <c r="E33" s="1324"/>
      <c r="F33" s="1325"/>
      <c r="G33" s="3699"/>
      <c r="H33" s="1320"/>
      <c r="I33" s="2949"/>
      <c r="K33" s="3446"/>
    </row>
    <row r="34" spans="2:13" s="429" customFormat="1" ht="15" customHeight="1" x14ac:dyDescent="0.2">
      <c r="B34" s="1323"/>
      <c r="C34" s="1324"/>
      <c r="D34" s="891"/>
      <c r="E34" s="1325"/>
      <c r="F34" s="1325"/>
      <c r="G34" s="3699" t="s">
        <v>1663</v>
      </c>
      <c r="H34" s="1320"/>
      <c r="I34" s="2949" t="s">
        <v>990</v>
      </c>
      <c r="K34" s="3446">
        <v>7</v>
      </c>
      <c r="M34" s="3324" t="s">
        <v>1603</v>
      </c>
    </row>
    <row r="35" spans="2:13" s="429" customFormat="1" ht="15" customHeight="1" x14ac:dyDescent="0.2">
      <c r="B35" s="1323"/>
      <c r="C35" s="1324"/>
      <c r="D35" s="891"/>
      <c r="E35" s="1325"/>
      <c r="F35" s="1325"/>
      <c r="G35" s="3699" t="s">
        <v>1664</v>
      </c>
      <c r="H35" s="1320"/>
      <c r="I35" s="2949" t="s">
        <v>991</v>
      </c>
      <c r="K35" s="3446">
        <v>8</v>
      </c>
      <c r="M35" s="3324" t="s">
        <v>1595</v>
      </c>
    </row>
    <row r="36" spans="2:13" s="429" customFormat="1" ht="15" customHeight="1" x14ac:dyDescent="0.2">
      <c r="B36" s="1323"/>
      <c r="C36" s="1324"/>
      <c r="D36" s="891"/>
      <c r="E36" s="1325"/>
      <c r="F36" s="1325"/>
      <c r="G36" s="3699" t="s">
        <v>1665</v>
      </c>
      <c r="H36" s="1320"/>
      <c r="I36" s="2949" t="s">
        <v>992</v>
      </c>
      <c r="K36" s="3446">
        <v>9</v>
      </c>
      <c r="M36" s="3324" t="s">
        <v>1602</v>
      </c>
    </row>
    <row r="37" spans="2:13" s="429" customFormat="1" ht="9" customHeight="1" x14ac:dyDescent="0.2">
      <c r="B37" s="1323"/>
      <c r="C37" s="1324"/>
      <c r="D37" s="891"/>
      <c r="E37" s="1325"/>
      <c r="F37" s="1325"/>
      <c r="G37" s="3699"/>
      <c r="H37" s="1320"/>
      <c r="I37" s="2949"/>
      <c r="K37" s="3446"/>
    </row>
    <row r="38" spans="2:13" s="429" customFormat="1" ht="15" customHeight="1" x14ac:dyDescent="0.2">
      <c r="B38" s="1323"/>
      <c r="C38" s="1324"/>
      <c r="D38" s="891"/>
      <c r="E38" s="1325"/>
      <c r="F38" s="1325"/>
      <c r="G38" s="3699" t="s">
        <v>1666</v>
      </c>
      <c r="H38" s="1320"/>
      <c r="I38" s="2949" t="s">
        <v>470</v>
      </c>
      <c r="K38" s="3446">
        <v>10</v>
      </c>
      <c r="M38" s="3324" t="s">
        <v>1603</v>
      </c>
    </row>
    <row r="39" spans="2:13" s="429" customFormat="1" ht="8.25" customHeight="1" x14ac:dyDescent="0.2">
      <c r="B39" s="1323"/>
      <c r="C39" s="1324"/>
      <c r="D39" s="891"/>
      <c r="E39" s="1325"/>
      <c r="F39" s="1325"/>
      <c r="G39" s="3699"/>
      <c r="H39" s="1320"/>
      <c r="I39" s="2949"/>
      <c r="K39" s="3446"/>
    </row>
    <row r="40" spans="2:13" s="429" customFormat="1" ht="15" customHeight="1" x14ac:dyDescent="0.2">
      <c r="B40" s="1323"/>
      <c r="C40" s="1324"/>
      <c r="D40" s="891"/>
      <c r="E40" s="1324" t="s">
        <v>460</v>
      </c>
      <c r="F40" s="1325"/>
      <c r="G40" s="3699" t="s">
        <v>1604</v>
      </c>
      <c r="H40" s="1320"/>
      <c r="I40" s="2949" t="s">
        <v>471</v>
      </c>
      <c r="K40" s="3446">
        <v>11</v>
      </c>
      <c r="M40" s="3324" t="s">
        <v>1604</v>
      </c>
    </row>
    <row r="41" spans="2:13" s="429" customFormat="1" ht="15" customHeight="1" x14ac:dyDescent="0.2">
      <c r="B41" s="1323"/>
      <c r="C41" s="1324"/>
      <c r="D41" s="891"/>
      <c r="E41" s="1324"/>
      <c r="F41" s="1325"/>
      <c r="G41" s="3699" t="s">
        <v>1603</v>
      </c>
      <c r="H41" s="1320"/>
      <c r="I41" s="2949" t="s">
        <v>472</v>
      </c>
      <c r="K41" s="3446">
        <v>12</v>
      </c>
      <c r="M41" s="3324" t="s">
        <v>1603</v>
      </c>
    </row>
    <row r="42" spans="2:13" s="429" customFormat="1" ht="9" customHeight="1" x14ac:dyDescent="0.2">
      <c r="B42" s="1323"/>
      <c r="C42" s="1324"/>
      <c r="D42" s="891"/>
      <c r="E42" s="1325"/>
      <c r="F42" s="1325"/>
      <c r="G42" s="3699"/>
      <c r="H42" s="1320"/>
      <c r="I42" s="2949"/>
      <c r="K42" s="3446"/>
      <c r="M42" s="3324"/>
    </row>
    <row r="43" spans="2:13" s="429" customFormat="1" ht="15" customHeight="1" x14ac:dyDescent="0.2">
      <c r="B43" s="1325"/>
      <c r="C43" s="1325"/>
      <c r="D43" s="1325"/>
      <c r="E43" s="1319" t="s">
        <v>461</v>
      </c>
      <c r="F43" s="1325"/>
      <c r="G43" s="3699" t="s">
        <v>1602</v>
      </c>
      <c r="H43" s="1320"/>
      <c r="I43" s="2949" t="s">
        <v>473</v>
      </c>
      <c r="K43" s="3446">
        <v>13</v>
      </c>
      <c r="M43" s="3324" t="s">
        <v>1602</v>
      </c>
    </row>
    <row r="44" spans="2:13" s="429" customFormat="1" ht="9" customHeight="1" x14ac:dyDescent="0.2">
      <c r="B44" s="1323"/>
      <c r="C44" s="1324"/>
      <c r="D44" s="891"/>
      <c r="E44" s="1325"/>
      <c r="F44" s="1325"/>
      <c r="G44" s="3699"/>
      <c r="H44" s="1320"/>
      <c r="I44" s="2949"/>
      <c r="K44" s="3446"/>
    </row>
    <row r="45" spans="2:13" s="429" customFormat="1" ht="15" customHeight="1" x14ac:dyDescent="0.2">
      <c r="B45" s="1323"/>
      <c r="C45" s="1324"/>
      <c r="D45" s="891"/>
      <c r="E45" s="1324" t="s">
        <v>462</v>
      </c>
      <c r="F45" s="1325"/>
      <c r="G45" s="3699" t="s">
        <v>1667</v>
      </c>
      <c r="H45" s="1320"/>
      <c r="I45" s="2949" t="s">
        <v>474</v>
      </c>
      <c r="K45" s="3446">
        <v>14</v>
      </c>
      <c r="M45" s="3324" t="s">
        <v>1604</v>
      </c>
    </row>
    <row r="46" spans="2:13" s="429" customFormat="1" ht="15" customHeight="1" x14ac:dyDescent="0.2">
      <c r="B46" s="1323"/>
      <c r="C46" s="1324"/>
      <c r="D46" s="891"/>
      <c r="E46" s="1325"/>
      <c r="F46" s="1325"/>
      <c r="G46" s="3699" t="s">
        <v>1668</v>
      </c>
      <c r="H46" s="1320"/>
      <c r="I46" s="2949" t="s">
        <v>475</v>
      </c>
      <c r="K46" s="3446">
        <v>15</v>
      </c>
      <c r="M46" s="3324" t="s">
        <v>1595</v>
      </c>
    </row>
    <row r="47" spans="2:13" customFormat="1" ht="7.5" customHeight="1" x14ac:dyDescent="0.2">
      <c r="G47" s="3699"/>
      <c r="I47" s="2949"/>
    </row>
    <row r="48" spans="2:13" s="429" customFormat="1" ht="6.2" customHeight="1" x14ac:dyDescent="0.2">
      <c r="B48" s="1323"/>
      <c r="C48" s="1324"/>
      <c r="D48" s="891"/>
      <c r="E48" s="1325"/>
      <c r="F48" s="1323"/>
      <c r="G48" s="3699"/>
      <c r="H48" s="1320"/>
      <c r="I48" s="2949"/>
      <c r="K48"/>
    </row>
    <row r="49" spans="2:15" s="429" customFormat="1" ht="15" customHeight="1" x14ac:dyDescent="0.2">
      <c r="B49" s="1323"/>
      <c r="C49" s="1324"/>
      <c r="D49" s="891"/>
      <c r="E49" s="1319" t="s">
        <v>469</v>
      </c>
      <c r="F49" s="1325"/>
      <c r="G49" s="3699" t="s">
        <v>1669</v>
      </c>
      <c r="H49" s="1320"/>
      <c r="I49" s="2949" t="s">
        <v>476</v>
      </c>
      <c r="K49" s="3446">
        <v>16</v>
      </c>
    </row>
    <row r="50" spans="2:15" s="429" customFormat="1" ht="9" customHeight="1" x14ac:dyDescent="0.2">
      <c r="B50" s="1323"/>
      <c r="C50" s="1324"/>
      <c r="D50" s="891"/>
      <c r="E50" s="1319"/>
      <c r="F50" s="1325"/>
      <c r="G50" s="1323"/>
      <c r="H50" s="1320"/>
      <c r="I50" s="2949"/>
    </row>
    <row r="51" spans="2:15" s="300" customFormat="1" ht="9" customHeight="1" x14ac:dyDescent="0.2">
      <c r="B51" s="858"/>
      <c r="C51" s="1317"/>
      <c r="E51" s="1326"/>
      <c r="F51" s="1317"/>
      <c r="G51" s="1317"/>
      <c r="H51" s="1321"/>
      <c r="I51" s="2949"/>
    </row>
    <row r="52" spans="2:15" s="1300" customFormat="1" ht="15" customHeight="1" x14ac:dyDescent="0.25">
      <c r="B52" s="1327"/>
      <c r="C52" s="1328"/>
      <c r="D52" s="3661" t="s">
        <v>1599</v>
      </c>
      <c r="E52" s="1825" t="s">
        <v>1086</v>
      </c>
      <c r="F52" s="1826"/>
      <c r="G52" s="1827" t="s">
        <v>315</v>
      </c>
      <c r="H52" s="1327"/>
      <c r="I52" s="2949"/>
    </row>
    <row r="53" spans="2:15" s="429" customFormat="1" ht="15" customHeight="1" x14ac:dyDescent="0.2">
      <c r="B53" s="1323"/>
      <c r="C53" s="1324"/>
      <c r="D53" s="1" t="s">
        <v>1600</v>
      </c>
      <c r="E53" s="1324" t="s">
        <v>1597</v>
      </c>
      <c r="F53" s="1323"/>
      <c r="G53" s="3699" t="s">
        <v>1670</v>
      </c>
      <c r="H53" s="1320"/>
      <c r="I53" s="2949" t="s">
        <v>477</v>
      </c>
      <c r="K53" s="3446">
        <v>17</v>
      </c>
      <c r="M53" s="3324" t="s">
        <v>1595</v>
      </c>
    </row>
    <row r="54" spans="2:15" s="429" customFormat="1" ht="15" customHeight="1" x14ac:dyDescent="0.2">
      <c r="B54" s="1325"/>
      <c r="C54" s="1325"/>
      <c r="D54" s="1325"/>
      <c r="E54" s="1324" t="s">
        <v>1596</v>
      </c>
      <c r="F54" s="1323"/>
      <c r="G54" s="3699" t="s">
        <v>1664</v>
      </c>
      <c r="H54" s="1325"/>
      <c r="I54" s="2949" t="s">
        <v>478</v>
      </c>
      <c r="K54" s="3446">
        <v>18</v>
      </c>
      <c r="M54" s="3324" t="s">
        <v>1595</v>
      </c>
    </row>
    <row r="55" spans="2:15" s="429" customFormat="1" ht="15" customHeight="1" x14ac:dyDescent="0.2">
      <c r="B55" s="1325"/>
      <c r="C55" s="1325"/>
      <c r="D55" s="1325"/>
      <c r="E55" s="1319" t="s">
        <v>218</v>
      </c>
      <c r="F55" s="1323" t="s">
        <v>454</v>
      </c>
      <c r="G55" s="3699" t="s">
        <v>1664</v>
      </c>
      <c r="H55" s="1325"/>
      <c r="I55" s="2949" t="s">
        <v>479</v>
      </c>
      <c r="K55" s="3446">
        <v>19</v>
      </c>
      <c r="M55" s="3324" t="s">
        <v>1595</v>
      </c>
    </row>
    <row r="56" spans="2:15" s="429" customFormat="1" ht="9" customHeight="1" x14ac:dyDescent="0.2">
      <c r="B56" s="1325"/>
      <c r="C56" s="1325"/>
      <c r="D56" s="1325"/>
      <c r="E56" s="1319"/>
      <c r="F56" s="1323"/>
      <c r="G56" s="3699"/>
      <c r="H56" s="1325"/>
      <c r="I56" s="2949"/>
    </row>
    <row r="57" spans="2:15" s="429" customFormat="1" ht="15" customHeight="1" x14ac:dyDescent="0.25">
      <c r="B57" s="1325"/>
      <c r="C57" s="1325"/>
      <c r="D57" s="3661" t="s">
        <v>1085</v>
      </c>
      <c r="E57" s="1319" t="s">
        <v>433</v>
      </c>
      <c r="F57" s="1323"/>
      <c r="G57" s="3699" t="s">
        <v>173</v>
      </c>
      <c r="H57" s="1325"/>
      <c r="I57" s="2949" t="s">
        <v>480</v>
      </c>
      <c r="K57" s="3446">
        <v>20</v>
      </c>
      <c r="M57" s="3324" t="s">
        <v>1605</v>
      </c>
      <c r="O57" s="3324" t="s">
        <v>1598</v>
      </c>
    </row>
    <row r="58" spans="2:15" s="429" customFormat="1" ht="15" customHeight="1" x14ac:dyDescent="0.2">
      <c r="B58" s="1325"/>
      <c r="C58" s="1325"/>
      <c r="D58" s="1" t="s">
        <v>1601</v>
      </c>
      <c r="E58" s="1319" t="s">
        <v>1059</v>
      </c>
      <c r="F58" s="1323"/>
      <c r="G58" s="3699" t="s">
        <v>1449</v>
      </c>
      <c r="H58" s="1325"/>
      <c r="I58" s="2949" t="s">
        <v>481</v>
      </c>
      <c r="K58" s="3446">
        <v>21</v>
      </c>
      <c r="M58" s="3324" t="s">
        <v>1605</v>
      </c>
      <c r="O58" s="3324" t="s">
        <v>1598</v>
      </c>
    </row>
    <row r="59" spans="2:15" s="429" customFormat="1" ht="15" customHeight="1" x14ac:dyDescent="0.2">
      <c r="B59" s="1325"/>
      <c r="C59" s="1325"/>
      <c r="D59" s="1325"/>
      <c r="E59" s="1319" t="s">
        <v>451</v>
      </c>
      <c r="F59" s="1325"/>
      <c r="G59" s="3699" t="s">
        <v>1671</v>
      </c>
      <c r="H59" s="1325"/>
      <c r="I59" s="2949" t="s">
        <v>482</v>
      </c>
      <c r="K59" s="3446">
        <v>22</v>
      </c>
      <c r="M59" s="3324" t="s">
        <v>1605</v>
      </c>
      <c r="O59" s="3324" t="s">
        <v>1598</v>
      </c>
    </row>
    <row r="60" spans="2:15" s="429" customFormat="1" ht="15" customHeight="1" x14ac:dyDescent="0.2">
      <c r="B60" s="1325"/>
      <c r="C60" s="1325"/>
      <c r="D60" s="1325"/>
      <c r="E60" s="1319" t="s">
        <v>131</v>
      </c>
      <c r="F60" s="1325"/>
      <c r="G60" s="3699" t="s">
        <v>1672</v>
      </c>
      <c r="H60" s="1325"/>
      <c r="I60" s="2949" t="s">
        <v>483</v>
      </c>
      <c r="K60" s="3446">
        <v>23</v>
      </c>
      <c r="M60" s="3324" t="s">
        <v>1605</v>
      </c>
      <c r="O60" s="3324" t="s">
        <v>1598</v>
      </c>
    </row>
    <row r="61" spans="2:15" s="429" customFormat="1" ht="15" customHeight="1" x14ac:dyDescent="0.2">
      <c r="B61" s="1325"/>
      <c r="C61" s="1325"/>
      <c r="D61" s="1325"/>
      <c r="E61" s="1319" t="s">
        <v>1124</v>
      </c>
      <c r="F61" s="1325"/>
      <c r="G61" s="3699" t="s">
        <v>1673</v>
      </c>
      <c r="H61" s="1325"/>
      <c r="I61" s="2949" t="s">
        <v>484</v>
      </c>
      <c r="K61" s="3446">
        <v>24</v>
      </c>
      <c r="M61" s="3324" t="s">
        <v>1605</v>
      </c>
      <c r="O61" s="3324" t="s">
        <v>1598</v>
      </c>
    </row>
    <row r="62" spans="2:15" s="429" customFormat="1" ht="15" customHeight="1" x14ac:dyDescent="0.2">
      <c r="B62" s="1325"/>
      <c r="C62" s="1325"/>
      <c r="D62" s="1325"/>
      <c r="E62" s="1319" t="s">
        <v>429</v>
      </c>
      <c r="F62" s="1325"/>
      <c r="G62" s="3699" t="s">
        <v>1674</v>
      </c>
      <c r="H62" s="1325"/>
      <c r="I62" s="2949" t="s">
        <v>485</v>
      </c>
      <c r="K62" s="3446">
        <v>25</v>
      </c>
      <c r="M62" s="3324" t="s">
        <v>1605</v>
      </c>
      <c r="O62" s="3324" t="s">
        <v>1598</v>
      </c>
    </row>
    <row r="63" spans="2:15" s="429" customFormat="1" ht="15" customHeight="1" x14ac:dyDescent="0.2">
      <c r="B63" s="1325"/>
      <c r="C63" s="1325"/>
      <c r="D63" s="1325"/>
      <c r="E63" s="1319" t="s">
        <v>88</v>
      </c>
      <c r="F63" s="1325"/>
      <c r="G63" s="3699" t="s">
        <v>1675</v>
      </c>
      <c r="H63" s="1325"/>
      <c r="I63" s="2949" t="s">
        <v>486</v>
      </c>
      <c r="K63" s="3446">
        <v>26</v>
      </c>
      <c r="M63" s="3324" t="s">
        <v>1605</v>
      </c>
      <c r="O63" s="3324" t="s">
        <v>1598</v>
      </c>
    </row>
    <row r="64" spans="2:15" s="429" customFormat="1" ht="14.45" customHeight="1" x14ac:dyDescent="0.2">
      <c r="B64" s="1325"/>
      <c r="C64" s="1325"/>
      <c r="D64" s="1325"/>
      <c r="E64" s="1319"/>
      <c r="F64" s="1325"/>
      <c r="G64" s="1325"/>
      <c r="H64" s="1325"/>
      <c r="I64" s="2947"/>
    </row>
    <row r="65" spans="2:11" s="429" customFormat="1" ht="27.95" customHeight="1" x14ac:dyDescent="0.2">
      <c r="B65" s="300"/>
      <c r="C65" s="209"/>
      <c r="D65" s="300"/>
      <c r="E65" s="2878" t="s">
        <v>487</v>
      </c>
      <c r="F65" s="299"/>
      <c r="G65" s="299"/>
      <c r="H65" s="4090">
        <f>Deckbl!D27</f>
        <v>44635</v>
      </c>
      <c r="I65" s="2947"/>
    </row>
    <row r="66" spans="2:11" s="429" customFormat="1" ht="27.2" customHeight="1" x14ac:dyDescent="0.2">
      <c r="B66" s="210" t="s">
        <v>488</v>
      </c>
      <c r="C66" s="210"/>
      <c r="D66" s="298"/>
      <c r="E66" s="299"/>
      <c r="F66" s="299"/>
      <c r="G66" s="299"/>
      <c r="H66" s="299"/>
      <c r="I66" s="2947"/>
    </row>
    <row r="67" spans="2:11" s="429" customFormat="1" ht="35.450000000000003" customHeight="1" x14ac:dyDescent="0.2">
      <c r="B67" s="303" t="s">
        <v>1456</v>
      </c>
      <c r="C67" s="303"/>
      <c r="D67" s="299"/>
      <c r="E67" s="299"/>
      <c r="F67" s="299"/>
      <c r="G67" s="299"/>
      <c r="H67" s="1312"/>
      <c r="I67" s="2947"/>
    </row>
    <row r="68" spans="2:11" s="429" customFormat="1" ht="24.4" customHeight="1" x14ac:dyDescent="0.2">
      <c r="B68" s="1325"/>
      <c r="C68" s="1325"/>
      <c r="D68" s="1325"/>
      <c r="E68" s="1319"/>
      <c r="F68" s="1325"/>
      <c r="G68" s="1325"/>
      <c r="H68" s="1325"/>
      <c r="I68" s="2947"/>
    </row>
    <row r="69" spans="2:11" s="2942" customFormat="1" ht="29.25" customHeight="1" x14ac:dyDescent="0.2">
      <c r="D69" s="3497" t="s">
        <v>49</v>
      </c>
      <c r="E69" s="3497"/>
      <c r="F69" s="3497"/>
      <c r="G69" s="2943" t="s">
        <v>315</v>
      </c>
      <c r="I69" s="3136"/>
    </row>
    <row r="70" spans="2:11" s="2946" customFormat="1" ht="25.5" customHeight="1" x14ac:dyDescent="0.25">
      <c r="B70" s="2944"/>
      <c r="C70" s="2944"/>
      <c r="D70" s="2944"/>
      <c r="E70" s="2945" t="s">
        <v>433</v>
      </c>
      <c r="F70" s="2944"/>
      <c r="G70" s="3699" t="s">
        <v>452</v>
      </c>
      <c r="H70" s="2944"/>
      <c r="I70" s="2947" t="s">
        <v>317</v>
      </c>
    </row>
    <row r="71" spans="2:11" s="429" customFormat="1" ht="18" customHeight="1" x14ac:dyDescent="0.2">
      <c r="B71" s="1325"/>
      <c r="C71" s="1325"/>
      <c r="D71" s="1325"/>
      <c r="E71" s="1319" t="s">
        <v>433</v>
      </c>
      <c r="F71" s="1325"/>
      <c r="G71" s="3699" t="s">
        <v>699</v>
      </c>
      <c r="H71" s="1325"/>
      <c r="I71" s="2947" t="s">
        <v>359</v>
      </c>
    </row>
    <row r="72" spans="2:11" x14ac:dyDescent="0.2">
      <c r="E72" s="1319" t="s">
        <v>131</v>
      </c>
      <c r="F72" s="1325"/>
      <c r="G72" s="3699" t="s">
        <v>643</v>
      </c>
      <c r="H72" s="1325"/>
      <c r="I72" s="2947" t="s">
        <v>640</v>
      </c>
    </row>
    <row r="73" spans="2:11" x14ac:dyDescent="0.2">
      <c r="E73" s="1319"/>
      <c r="F73" s="1325"/>
      <c r="G73" s="3699" t="s">
        <v>644</v>
      </c>
      <c r="H73" s="1325"/>
      <c r="I73" s="2947" t="s">
        <v>127</v>
      </c>
    </row>
    <row r="74" spans="2:11" x14ac:dyDescent="0.2">
      <c r="E74" s="1319"/>
      <c r="F74" s="1325"/>
      <c r="G74" s="3699" t="s">
        <v>645</v>
      </c>
      <c r="H74" s="1325"/>
      <c r="I74" s="2947" t="s">
        <v>128</v>
      </c>
    </row>
    <row r="75" spans="2:11" x14ac:dyDescent="0.2">
      <c r="E75" s="1319"/>
      <c r="F75" s="1325"/>
      <c r="G75" s="3699" t="s">
        <v>649</v>
      </c>
      <c r="H75" s="1325"/>
      <c r="I75" s="2947" t="s">
        <v>642</v>
      </c>
    </row>
    <row r="76" spans="2:11" x14ac:dyDescent="0.2">
      <c r="E76" s="1319" t="s">
        <v>1087</v>
      </c>
      <c r="F76" s="1325" t="s">
        <v>316</v>
      </c>
      <c r="G76" s="3699" t="s">
        <v>652</v>
      </c>
      <c r="H76" s="1325"/>
      <c r="I76" s="2947" t="s">
        <v>129</v>
      </c>
      <c r="K76" s="3463"/>
    </row>
    <row r="77" spans="2:11" x14ac:dyDescent="0.2">
      <c r="E77" s="1319"/>
      <c r="F77" s="1325" t="s">
        <v>316</v>
      </c>
      <c r="G77" s="3699" t="s">
        <v>653</v>
      </c>
      <c r="H77" s="1325"/>
      <c r="I77" s="2947" t="s">
        <v>130</v>
      </c>
    </row>
    <row r="78" spans="2:11" x14ac:dyDescent="0.2">
      <c r="E78" s="1319" t="s">
        <v>579</v>
      </c>
      <c r="F78" s="1325"/>
      <c r="G78" s="3699" t="s">
        <v>651</v>
      </c>
      <c r="H78" s="1325"/>
      <c r="I78" s="2947" t="s">
        <v>650</v>
      </c>
    </row>
    <row r="79" spans="2:11" x14ac:dyDescent="0.2">
      <c r="E79" s="1319" t="s">
        <v>510</v>
      </c>
      <c r="F79" s="1325"/>
      <c r="G79" s="3699" t="s">
        <v>1078</v>
      </c>
      <c r="H79" s="1325"/>
      <c r="I79" s="2947" t="s">
        <v>412</v>
      </c>
      <c r="K79" s="3498">
        <v>16</v>
      </c>
    </row>
    <row r="80" spans="2:11" x14ac:dyDescent="0.2">
      <c r="E80" s="1319"/>
      <c r="F80" s="1325"/>
      <c r="G80" s="3699" t="s">
        <v>654</v>
      </c>
      <c r="H80" s="1325"/>
      <c r="I80" s="2947" t="s">
        <v>413</v>
      </c>
      <c r="K80" s="3498">
        <v>17</v>
      </c>
    </row>
    <row r="81" spans="5:11" x14ac:dyDescent="0.2">
      <c r="F81" s="1325"/>
      <c r="G81" s="3699" t="s">
        <v>453</v>
      </c>
      <c r="H81" s="1325"/>
      <c r="I81" s="2947" t="s">
        <v>442</v>
      </c>
      <c r="K81" s="3498">
        <v>18</v>
      </c>
    </row>
    <row r="82" spans="5:11" x14ac:dyDescent="0.2">
      <c r="E82" s="1319"/>
      <c r="F82" s="1325"/>
      <c r="G82" s="3699" t="s">
        <v>655</v>
      </c>
      <c r="H82" s="1325"/>
      <c r="I82" s="2947" t="s">
        <v>630</v>
      </c>
      <c r="K82" s="3498">
        <v>19</v>
      </c>
    </row>
    <row r="83" spans="5:11" x14ac:dyDescent="0.2">
      <c r="E83" s="1319" t="s">
        <v>906</v>
      </c>
      <c r="F83" s="1325"/>
      <c r="G83" s="3699" t="s">
        <v>656</v>
      </c>
      <c r="H83" s="1325"/>
      <c r="I83" s="2947" t="s">
        <v>703</v>
      </c>
    </row>
    <row r="84" spans="5:11" x14ac:dyDescent="0.2">
      <c r="E84" s="1319" t="s">
        <v>701</v>
      </c>
      <c r="F84" s="1325"/>
      <c r="G84" s="3699" t="s">
        <v>1156</v>
      </c>
      <c r="H84" s="1325"/>
      <c r="I84" s="2947" t="s">
        <v>657</v>
      </c>
    </row>
    <row r="85" spans="5:11" x14ac:dyDescent="0.2">
      <c r="F85" s="1325"/>
      <c r="G85" s="3699" t="s">
        <v>658</v>
      </c>
      <c r="H85" s="1325"/>
      <c r="I85" s="2947" t="s">
        <v>707</v>
      </c>
    </row>
    <row r="86" spans="5:11" hidden="1" x14ac:dyDescent="0.2">
      <c r="E86" s="1319" t="s">
        <v>410</v>
      </c>
      <c r="F86" s="1325"/>
      <c r="G86" s="3699" t="s">
        <v>824</v>
      </c>
      <c r="H86" s="1325"/>
      <c r="I86" s="2947" t="s">
        <v>317</v>
      </c>
    </row>
    <row r="87" spans="5:11" hidden="1" x14ac:dyDescent="0.2">
      <c r="E87" s="1319" t="s">
        <v>411</v>
      </c>
      <c r="F87" s="1325"/>
      <c r="G87" s="3699" t="s">
        <v>824</v>
      </c>
      <c r="H87" s="1325"/>
      <c r="I87" s="2947" t="s">
        <v>359</v>
      </c>
    </row>
    <row r="88" spans="5:11" hidden="1" x14ac:dyDescent="0.2">
      <c r="E88" s="1319" t="s">
        <v>441</v>
      </c>
      <c r="F88" s="1325"/>
      <c r="G88" s="3699" t="s">
        <v>824</v>
      </c>
      <c r="H88" s="1325"/>
      <c r="I88" s="2947" t="s">
        <v>707</v>
      </c>
    </row>
    <row r="89" spans="5:11" hidden="1" x14ac:dyDescent="0.2">
      <c r="E89" s="1319" t="s">
        <v>1127</v>
      </c>
      <c r="F89" s="1325"/>
      <c r="G89" s="3699" t="s">
        <v>1157</v>
      </c>
      <c r="H89" s="1325"/>
      <c r="I89" s="2947" t="s">
        <v>527</v>
      </c>
    </row>
    <row r="90" spans="5:11" hidden="1" x14ac:dyDescent="0.2">
      <c r="F90" s="1325"/>
      <c r="G90" s="3699" t="s">
        <v>659</v>
      </c>
      <c r="H90" s="1325"/>
      <c r="I90" s="2947" t="s">
        <v>815</v>
      </c>
    </row>
    <row r="91" spans="5:11" hidden="1" x14ac:dyDescent="0.2">
      <c r="E91" s="1319" t="s">
        <v>704</v>
      </c>
      <c r="F91" s="3130"/>
      <c r="G91" s="3699" t="s">
        <v>1155</v>
      </c>
      <c r="H91" s="1325"/>
      <c r="I91" s="2947" t="s">
        <v>660</v>
      </c>
    </row>
    <row r="92" spans="5:11" hidden="1" x14ac:dyDescent="0.2">
      <c r="F92" s="1325"/>
      <c r="G92" s="3699" t="s">
        <v>658</v>
      </c>
      <c r="H92" s="1325"/>
      <c r="I92" s="2947" t="s">
        <v>816</v>
      </c>
    </row>
    <row r="93" spans="5:11" x14ac:dyDescent="0.2">
      <c r="E93" s="1319" t="s">
        <v>702</v>
      </c>
      <c r="F93" s="1325"/>
      <c r="G93" s="3699" t="s">
        <v>1157</v>
      </c>
      <c r="H93" s="1325"/>
      <c r="I93" s="2947" t="s">
        <v>817</v>
      </c>
    </row>
    <row r="94" spans="5:11" x14ac:dyDescent="0.2">
      <c r="F94" s="1325"/>
      <c r="G94" s="3699" t="s">
        <v>659</v>
      </c>
      <c r="H94" s="1325"/>
      <c r="I94" s="2947" t="s">
        <v>661</v>
      </c>
    </row>
    <row r="95" spans="5:11" hidden="1" x14ac:dyDescent="0.2">
      <c r="E95" s="1319" t="s">
        <v>705</v>
      </c>
      <c r="F95" s="1325"/>
      <c r="G95" s="3699" t="s">
        <v>1155</v>
      </c>
      <c r="H95" s="1325"/>
      <c r="I95" s="2947" t="s">
        <v>818</v>
      </c>
    </row>
    <row r="96" spans="5:11" hidden="1" x14ac:dyDescent="0.2">
      <c r="F96" s="1325"/>
      <c r="G96" s="3699" t="s">
        <v>658</v>
      </c>
      <c r="H96" s="1325"/>
      <c r="I96" s="2947" t="s">
        <v>819</v>
      </c>
    </row>
    <row r="97" spans="2:11" x14ac:dyDescent="0.2">
      <c r="E97" s="1319" t="s">
        <v>1817</v>
      </c>
      <c r="F97" s="1325"/>
      <c r="G97" s="3926" t="s">
        <v>1818</v>
      </c>
      <c r="H97" s="1325"/>
      <c r="I97" s="2947" t="s">
        <v>662</v>
      </c>
    </row>
    <row r="98" spans="2:11" hidden="1" x14ac:dyDescent="0.2">
      <c r="E98" s="1319" t="s">
        <v>706</v>
      </c>
      <c r="F98" s="1325"/>
      <c r="G98" s="3699" t="s">
        <v>658</v>
      </c>
      <c r="H98" s="1325"/>
      <c r="I98" s="2947" t="s">
        <v>820</v>
      </c>
    </row>
    <row r="99" spans="2:11" x14ac:dyDescent="0.2">
      <c r="E99"/>
      <c r="F99"/>
      <c r="G99" s="3699"/>
      <c r="H99"/>
      <c r="I99" s="2947"/>
    </row>
    <row r="100" spans="2:11" x14ac:dyDescent="0.2">
      <c r="E100" s="1319" t="s">
        <v>35</v>
      </c>
      <c r="F100" s="1325"/>
      <c r="G100" s="3699" t="s">
        <v>663</v>
      </c>
      <c r="H100" s="1325"/>
      <c r="I100" s="2947" t="s">
        <v>821</v>
      </c>
    </row>
    <row r="101" spans="2:11" x14ac:dyDescent="0.2">
      <c r="E101" s="1319" t="s">
        <v>1188</v>
      </c>
      <c r="F101" s="1325"/>
      <c r="G101" s="3699" t="s">
        <v>1189</v>
      </c>
      <c r="H101" s="1325"/>
      <c r="I101" s="2947" t="s">
        <v>664</v>
      </c>
      <c r="K101" s="304">
        <v>2013</v>
      </c>
    </row>
    <row r="102" spans="2:11" x14ac:dyDescent="0.2">
      <c r="E102" s="1319" t="s">
        <v>1191</v>
      </c>
      <c r="F102" s="1325"/>
      <c r="G102" s="3699" t="s">
        <v>1192</v>
      </c>
      <c r="H102" s="1325"/>
      <c r="I102" s="2947" t="s">
        <v>1190</v>
      </c>
      <c r="K102" s="304">
        <v>2013</v>
      </c>
    </row>
    <row r="103" spans="2:11" x14ac:dyDescent="0.2">
      <c r="E103" s="1319" t="s">
        <v>1819</v>
      </c>
      <c r="F103" s="1325"/>
      <c r="G103" s="3926" t="s">
        <v>1819</v>
      </c>
      <c r="H103" s="1325"/>
      <c r="I103" s="2947" t="s">
        <v>1193</v>
      </c>
      <c r="K103" s="304">
        <v>2013</v>
      </c>
    </row>
    <row r="104" spans="2:11" hidden="1" x14ac:dyDescent="0.2">
      <c r="E104" s="1319" t="s">
        <v>1259</v>
      </c>
      <c r="F104" s="1325"/>
      <c r="G104" s="3699" t="s">
        <v>1388</v>
      </c>
      <c r="H104" s="1325"/>
      <c r="I104" s="2947" t="s">
        <v>1194</v>
      </c>
      <c r="K104" s="304">
        <v>2013</v>
      </c>
    </row>
    <row r="105" spans="2:11" x14ac:dyDescent="0.25">
      <c r="E105" s="1319"/>
      <c r="F105" s="1325"/>
      <c r="G105" s="1325"/>
      <c r="H105" s="1325"/>
      <c r="I105" s="3137"/>
    </row>
    <row r="106" spans="2:11" x14ac:dyDescent="0.25">
      <c r="E106" s="1319"/>
      <c r="F106" s="1325"/>
      <c r="G106" s="1325"/>
      <c r="H106" s="1325"/>
      <c r="I106" s="3137"/>
    </row>
    <row r="107" spans="2:11" x14ac:dyDescent="0.25">
      <c r="E107" s="3681" t="s">
        <v>898</v>
      </c>
      <c r="F107" s="1325"/>
      <c r="G107" s="1325"/>
      <c r="H107" s="1325"/>
      <c r="I107" s="3137"/>
    </row>
    <row r="108" spans="2:11" x14ac:dyDescent="0.25">
      <c r="E108" s="3699" t="s">
        <v>1676</v>
      </c>
      <c r="F108" s="1325"/>
      <c r="G108" s="1325"/>
      <c r="H108" s="1325"/>
      <c r="I108" s="3137"/>
    </row>
    <row r="109" spans="2:11" x14ac:dyDescent="0.25">
      <c r="E109" s="3699" t="s">
        <v>1677</v>
      </c>
      <c r="F109" s="1325"/>
      <c r="G109" s="1325"/>
      <c r="H109" s="1325"/>
      <c r="I109" s="3137"/>
    </row>
    <row r="110" spans="2:11" x14ac:dyDescent="0.25">
      <c r="E110" s="3699" t="s">
        <v>1678</v>
      </c>
      <c r="F110" s="1325"/>
      <c r="G110" s="1325"/>
      <c r="H110" s="1325"/>
      <c r="I110" s="3137"/>
    </row>
    <row r="111" spans="2:11" ht="18.75" x14ac:dyDescent="0.25">
      <c r="B111" s="1318"/>
      <c r="C111" s="1318"/>
      <c r="D111" s="1329" t="s">
        <v>161</v>
      </c>
      <c r="E111" s="1318"/>
      <c r="F111" s="1318"/>
      <c r="G111" s="1318"/>
      <c r="H111" s="1318"/>
    </row>
    <row r="112" spans="2:11" x14ac:dyDescent="0.25">
      <c r="B112" s="1318"/>
      <c r="C112" s="1318"/>
      <c r="D112" s="1318" t="s">
        <v>641</v>
      </c>
      <c r="E112" s="1318"/>
      <c r="F112" s="1318"/>
      <c r="G112" s="1318"/>
      <c r="H112" s="1318"/>
    </row>
    <row r="113" spans="2:8" x14ac:dyDescent="0.25">
      <c r="B113" s="1318"/>
      <c r="C113" s="1318"/>
      <c r="D113" s="1318"/>
      <c r="E113" s="1318"/>
      <c r="F113" s="1318"/>
      <c r="G113" s="1318"/>
      <c r="H113" s="1318"/>
    </row>
    <row r="114" spans="2:8" x14ac:dyDescent="0.25">
      <c r="B114" s="1318"/>
      <c r="C114" s="1318"/>
      <c r="D114" s="1318"/>
      <c r="E114" s="1318"/>
      <c r="F114" s="1318"/>
      <c r="G114" s="1318"/>
      <c r="H114" s="1318"/>
    </row>
    <row r="115" spans="2:8" x14ac:dyDescent="0.25">
      <c r="B115" s="1318"/>
      <c r="C115" s="1318"/>
      <c r="D115" s="1318"/>
      <c r="E115" s="1318"/>
      <c r="F115" s="1318"/>
      <c r="G115" s="1318"/>
      <c r="H115" s="1318"/>
    </row>
    <row r="116" spans="2:8" x14ac:dyDescent="0.25">
      <c r="B116" s="1318"/>
      <c r="C116" s="1318"/>
      <c r="D116" s="1318"/>
      <c r="E116" s="1318"/>
      <c r="F116" s="1318"/>
      <c r="G116" s="1318"/>
      <c r="H116" s="1318"/>
    </row>
    <row r="117" spans="2:8" x14ac:dyDescent="0.25">
      <c r="B117" s="1318"/>
      <c r="C117" s="1318"/>
      <c r="D117" s="1318"/>
      <c r="E117" s="1318"/>
      <c r="F117" s="1318"/>
      <c r="G117" s="1318"/>
      <c r="H117" s="1318"/>
    </row>
    <row r="118" spans="2:8" x14ac:dyDescent="0.25">
      <c r="B118" s="1318"/>
      <c r="C118" s="1318"/>
      <c r="D118" s="1318"/>
      <c r="E118" s="1318"/>
      <c r="F118" s="1318"/>
      <c r="G118" s="1318"/>
      <c r="H118" s="1318"/>
    </row>
    <row r="119" spans="2:8" x14ac:dyDescent="0.25">
      <c r="B119" s="1318"/>
      <c r="C119" s="1318"/>
      <c r="D119" s="1318"/>
      <c r="E119" s="1318"/>
      <c r="F119" s="1318"/>
      <c r="G119" s="1318"/>
      <c r="H119" s="1318"/>
    </row>
    <row r="120" spans="2:8" x14ac:dyDescent="0.25">
      <c r="B120" s="1318"/>
      <c r="C120" s="1318"/>
      <c r="D120" s="1318"/>
      <c r="E120" s="1318"/>
      <c r="F120" s="1318"/>
      <c r="G120" s="1318"/>
      <c r="H120" s="1318"/>
    </row>
  </sheetData>
  <sheetProtection sheet="1" objects="1" scenarios="1"/>
  <phoneticPr fontId="0" type="noConversion"/>
  <hyperlinks>
    <hyperlink ref="I70" location="'Silomais Biogas ab Feld-(a)'!A1" display="74-75"/>
    <hyperlink ref="I71" location="'Silomais Biogas ex Silo (a)'!A1" display="78-79"/>
    <hyperlink ref="I72" location="'Triticale-GPS Biogas Feld-(a)'!A1" display="80-81"/>
    <hyperlink ref="I73" location="'Tritic-GPS Biogas ex Silo (a)'!A1" display="80-81"/>
    <hyperlink ref="I76" location="'Kleegrassil 4N Biogas Feld-(a)'!A1" display="86-87"/>
    <hyperlink ref="I77" location="'Kleegrassil 4N Biog ex Silo (a)'!A1" display="88-89"/>
    <hyperlink ref="I81" location="'18)GS 4Nutz Biogas Feld-(a)'!A1" display="96-97"/>
    <hyperlink ref="I85" location="'Grürog.+Silom. Biog ex Silo (a)'!A1" display="104-105"/>
    <hyperlink ref="I98" location="'Grünr.+Sonnbl. Biog ex Silo (a)'!A1" display="124-125"/>
    <hyperlink ref="I97" location="'Sonnenblum HF Biog ex Silo (a)'!A1" display="122-123"/>
    <hyperlink ref="I96" location="'GPS+Zuckhi. Biogas ex Silo (a) '!A1" display="120-121"/>
    <hyperlink ref="I95" location="'GPS+Zuckerhirse Biogas aF-(a)'!A1" display="124-125"/>
    <hyperlink ref="I94" location="'Zuhirse HF Biogas ex Silo (a)'!A1" display="116-117"/>
    <hyperlink ref="I93" location="'Zuckerhirse HF Biogas aF-(a)'!A1" display="118-119"/>
    <hyperlink ref="I92" location="'GPS+Sudangr Biogas ex Silo (a)'!A1" display="112-113"/>
    <hyperlink ref="I91" location="'GPS+Sudangras Biogas aF-(a)'!A1" display="112-113"/>
    <hyperlink ref="I90" location="'Sudangras HF Biogas ex Silo (a)'!A1" display="108-109"/>
    <hyperlink ref="I89" location="'Sudangras HF Biogas aF-(a)'!A1" display="106-107"/>
    <hyperlink ref="I88" location="'Sudangras HF Biogas aF-(a)'!A1" display="104-105"/>
    <hyperlink ref="I84" location="'Grünrog.+Silomais Biogas aF-(a)'!A1" display="100-101"/>
    <hyperlink ref="I79" location="'16)GS 3Nutz Biogas Feld-(a)'!A1" display="92-93"/>
    <hyperlink ref="I80" location="'17)GS 3Nutz Biogas ex Silo (a)'!A1" display="94-95"/>
    <hyperlink ref="I82" location="'19)GS 4Nutz Biogas ex Silo (a)'!A1" display="98-99"/>
    <hyperlink ref="I83" location="'GrünroggenVFBiogas ex Silo (a)'!A1" display="100-101"/>
    <hyperlink ref="I100" location="'Zuckerrüben Biogas ex Silo (a)'!A1" display="126-127"/>
    <hyperlink ref="I74" location="'Hafer-GPS Biogas ab Feld (a)'!A1" display="82-83"/>
    <hyperlink ref="I78" location="'Weidelgrassil 4N Bg ex Silo (a)'!A1" display="90-91"/>
    <hyperlink ref="I75" location="'Hafer-GPS Biogas ex Silo (a)'!A1" display="84-85"/>
    <hyperlink ref="I101" location="'Dw. Silphie Biogas ex Silo (a)'!A1" display="128-129"/>
    <hyperlink ref="I102" location="'Wildpflanzen Biogas ex Silo (a)'!A1" display="130-131"/>
    <hyperlink ref="I103" location="'Sida-Malve Biogas ex Silo (a)'!A1" display="132-133"/>
    <hyperlink ref="I104" location="'Topi Kraut f Biogas ex Silo (a)'!A1" display="134-135"/>
    <hyperlink ref="I53" location="'17)Kleegras-GrünFu-Eig.mech(a)'!A1" display="52-53"/>
    <hyperlink ref="I54" location="'18)Kleegrassi-Fremdernt(a)'!A1" display="54-55"/>
    <hyperlink ref="I55" location="'19)LuzerneSil-Fremdernte(a)'!A1" display="56-57"/>
    <hyperlink ref="I57" location="'20)Silomais int-(a)'!A1" display="58-59"/>
    <hyperlink ref="I58" location="'21)Futterrüben-(a)'!A1" display="60-61"/>
    <hyperlink ref="I59" location="'22)ZWF-Raps-(a)'!A1" display="62-63"/>
    <hyperlink ref="I60" location="'23)GPS-(a)'!A1" display="64-65"/>
    <hyperlink ref="I61" location="'24)Mais LKS-(a)'!A1" display="66-67"/>
    <hyperlink ref="I62" location="'25)Mais CCM-(a)'!A1" display="68-69"/>
    <hyperlink ref="I63" location="'26)Mais feucht-(a)'!A1" display="70-71"/>
    <hyperlink ref="D13:H13" location="Ausglleist!A1" display="Ausgleichsleistungen"/>
    <hyperlink ref="D14:H14" location="'Preise-Stammdaten'!A1" display="Preise u. Stammdaten: Erzeugerpreise / Nährstoffpreise / Zinsansatz / Kosten überbetriebliche Arbeitserledigung"/>
    <hyperlink ref="D15:H15" location="'Festk-Masch-Geb'!A1" display="Festkosten Maschinen u. Gebäude "/>
    <hyperlink ref="D16:H16" location="'Sonst-Festk'!A1" display="Sonstige Festkosten (Lagerraum Futter, Fläche, Gemeinkosten)"/>
    <hyperlink ref="D17:H17" location="Arbeitsgänge!A1" display="Arbeitsgänge (var. Maschinenkosten / Arbeitszeitbedarf)"/>
    <hyperlink ref="G26" location="'1)Grünf. 3Nutz.(a)'!A1" display="1.) 3 Nutzungen"/>
    <hyperlink ref="G27" location="'2)Grünf. 4Nutz.(a)'!A1" display="2.) 4 Nutzungen"/>
    <hyperlink ref="G28" location="'3)Grünf. 5Nutz.(a)'!A1" display="3.) 5 Nutzungen"/>
    <hyperlink ref="G30" location="'4)GS 3Nutz.eig.mech.(a)'!A1" display="4.) 3 Nutzungen, Eigenernte"/>
    <hyperlink ref="G31" location="'5)GS 4Nutz. eig.mech(a)'!A1" display="5.) 4 Nutzungen, Eigenernte "/>
    <hyperlink ref="G32" location="'6)GS 5Nutz.eig.mech(a)'!A1" display="6.) 5 Nutzungen, Eigenernte"/>
    <hyperlink ref="G34" location="'7)GS 3Nutz.Fremdmech(a)'!A1" display="7.) 3 Nutzungen Lohnernte"/>
    <hyperlink ref="G35" location="'8)GS 4Nutz.Fremdmech(a)'!A1" display="8.) 4 Nutzungen Lohnernte"/>
    <hyperlink ref="G36" location="'9)GS 5Nutz.Fremdmech(a)'!A1" display="9.) 5 Nutzungen Lohnernte"/>
    <hyperlink ref="G38" location="'10) GS 3Nutz. Ballensil-(a)'!A1" display="10.) 3 Nutzungen Ballensilage"/>
    <hyperlink ref="G40" location="'11)Heu 2Nutz.-(a)'!A1" display="11.) 2 Nutzungen"/>
    <hyperlink ref="G41" location="'12)Heu 3Nutz.(a)'!A1" display="12.) 3 Nutzungen"/>
    <hyperlink ref="G43" location="'13)Grascobs 5Nutz.(a)'!A1" display="13.) 5 Nutzungen"/>
    <hyperlink ref="G45" location="'14)Weide ext.(a)'!A1" display="14.) Weide, extensiv"/>
    <hyperlink ref="G46" location="'15)Weide int.(a)'!A1" display="15.) Weide, intensiv"/>
    <hyperlink ref="G49" location="'16)GSHeuGrünMischung-(a)'!A1" display="16.) 5 Nutzungen (gemischtes Verfahren)"/>
    <hyperlink ref="I36" location="'9)GS 5Nutz.Fremdmech(a)'!A1" display="36-37"/>
    <hyperlink ref="I35" location="'8)GS 4Nutz.Fremdmech(a)'!A1" display="34-35"/>
    <hyperlink ref="I32" location="'5)GS 4Nutz. eig.mech(a)'!A1" display="30-31"/>
    <hyperlink ref="I31" location="'5)GS 4Nutz. eig.mech(a)'!A1" display="28-29"/>
    <hyperlink ref="I9" location="'Grafik-(a)'!A1" display="11"/>
    <hyperlink ref="I49" location="'16)GSHeuGrünMischung-(a)'!A1" display="50-51"/>
    <hyperlink ref="I46" location="'15)Weide int.(a)'!A1" display="48-49"/>
    <hyperlink ref="I45" location="'14)Weide ext.(a)'!A1" display="46-47"/>
    <hyperlink ref="I43" location="'13)Grascobs 5Nutz.(a)'!A1" display="44-45"/>
    <hyperlink ref="I41" location="'12)Heu 3Nutz.(a)'!A1" display="42-43"/>
    <hyperlink ref="I40" location="'11)Heu 2Nutz.-(a)'!A1" display="40-41"/>
    <hyperlink ref="I38" location="'10) GS 3Nutz. Ballensil-(a)'!A1" display="38-39"/>
    <hyperlink ref="I34" location="'7)GS 3Nutz.Fremdmech(a)'!A1" display="32-33"/>
    <hyperlink ref="I17" location="Arbeitsgänge!A1" display="19"/>
    <hyperlink ref="I16" location="'Sonst-Festk'!A1:A10" display="18"/>
    <hyperlink ref="I15" location="'Festk-Masch-Geb'!A1:A10" display="17"/>
    <hyperlink ref="I14" location="'Preise-Stammdaten'!A1" display="15-16"/>
    <hyperlink ref="I13" location="Ausglleist!A1:A10" display="14"/>
    <hyperlink ref="I10" location="'Owerte-(a)'!A1:A10" display="12-13"/>
    <hyperlink ref="I8" location="'Übersicht wichtige Verfahren'!A1:A10" display="6-10"/>
    <hyperlink ref="I30" location="'4)GS 3Nutz.eig.mech.(a)'!A1" display="26-27"/>
    <hyperlink ref="I28" location="'3)Grünf. 5Nutz.(a)'!A1" display="24-25"/>
    <hyperlink ref="I27" location="'2)Grünf. 4Nutz.(a)'!A1" display="22-23"/>
    <hyperlink ref="I26" location="'1)Grünf. 3Nutz.(a)'!A1" display="20-21"/>
    <hyperlink ref="G53" location="'17)Kleegras-GrünFu-Eig.mech(a)'!A1" display="17.) 4 Nutzungen Eigenernte"/>
    <hyperlink ref="G54" location="'18)Kleegrassi-Fremdernt(a)'!A1" display="18.) 4 Nutzungen Lohnernte"/>
    <hyperlink ref="G55" location="'19)LuzerneSil-Fremdernte(a)'!A1" display="19.) 4 Nutzungen Lohnernte"/>
    <hyperlink ref="G57" location="'20)Silomais int-(a)'!A1" display="20.) intensiv"/>
    <hyperlink ref="G58" location="'21)Futterrüben-(a)'!A1" display="21.) Masserüben"/>
    <hyperlink ref="G59" location="'22)ZWF-Raps-(a)'!A1" display="22.) ZW-Grünfütterung"/>
    <hyperlink ref="G60" location="'23)GPS-(a)'!A1" display="23.) GPS-Weizen"/>
    <hyperlink ref="G61" location="'24)Mais LKS-(b)'!A1" display="24.) Lieschkolbenschrot (ca. 52-54% TS)"/>
    <hyperlink ref="G62" location="'25)Mais CCM-(a)'!A1" display="25.) CornCobMix (ca. 60% TS)"/>
    <hyperlink ref="G63" location="'26)Mais feucht-(a)'!A1" display="26.) Feuchtmais (65%-67 TS)"/>
    <hyperlink ref="G70" location="'27)Silomais Biogas ab Feld-(a)'!A1" display="Intensiv für Biogas, ab Feld"/>
    <hyperlink ref="G71" location="'28)Silomais Biogas ex Silo (a)'!A1" display="Intensiv für Biogas, ex Silo (einsiliert)"/>
    <hyperlink ref="G72" location="'29)Triticale-GPS Biogas Feld(a)'!A1" display="Triticale-GPS, ab Feld"/>
    <hyperlink ref="G73" location="'30)Tritic-GPS Biogas ex Silo(a)'!A1" display="Triticale-GPS, ex Silo (einsiliert)"/>
    <hyperlink ref="G74" location="'31)Hafer-GPS Biogas ab Feld (a)'!A1" display="Hafer-GPS, ab Feld"/>
    <hyperlink ref="G75" location="'32)Hafer-GPS Biogas ex Silo (a)'!A1" display="Hafer-GPS, ex Silo (einsiliert)"/>
    <hyperlink ref="G76" location="'33)Kleegrassil 4N Biogas aF(a)'!A1" display="Silage (4 Nutz), ab Feld"/>
    <hyperlink ref="G77" location="'34)Kleegrassil 4N Biog ex S(a)'!A1" display="Silage (4 Nutz), ex Silo (einsiliert)"/>
    <hyperlink ref="G78" location="'35)Weidelgrassil 4N Bg ex S (a)'!A1" display="4 Nutzungen, ex Silo (einsiliert)"/>
    <hyperlink ref="G79" location="'36)GS 3Nutz Biogas Feld-(a)'!A1" display="3 Nutz., günstiger Standort, ab Feld"/>
    <hyperlink ref="G80" location="'37)GS 3Nutz Biogas ex Silo (a)'!A1" display="3 Nutz., günstiger Standort, ex Silo (einsiliert)"/>
    <hyperlink ref="G81" location="'38)GS 4Nutz Biogas Feld-(a)'!A1" display="4 Nutz., günstiger Standort, ab Feld"/>
    <hyperlink ref="G82" location="'39)GS 4Nutz Biogas ex Silo (a)'!A1" display="4 Nutz., günstiger Standort, ex Silo (einsiliert)"/>
    <hyperlink ref="G83" location="'40)GrünroggenVFBiogas ex S(a)'!A1" display="Grünroggensilage, ex Silo (einsiliert)"/>
    <hyperlink ref="G84" location="'41)Grünrog.+S.mais Biogas aF(a)'!A1" display="Kombiverfahren, Biomasse, ab Feld"/>
    <hyperlink ref="G85" location="'42)Grürog.+Silom. Biog ex S(a)'!A1" display="Kombiverfahren, Biomasse ex Silo (einsiliert)"/>
    <hyperlink ref="G89" location="'43)Sudangras HF Biogas aF-(a)'!A1" display="Hauptfrucht, ab Feld"/>
    <hyperlink ref="G90" location="'44)Sudangras HF Biogas ex S(a)'!A1" display="Hauptfrucht, ex Silo (einsiliert)"/>
    <hyperlink ref="G91" location="'45)GPS+Sudangras Biogas aF(a)'!A1" display="Kombiverfahren, Biomasse ab Feld"/>
    <hyperlink ref="G92" location="'46)GPS+Sudangr Biogas ex S(a)'!A1" display="Kombiverfahren, Biomasse ex Silo (einsiliert)"/>
    <hyperlink ref="G93" location="'47)Zuckerhirse HF Biogas aF-(a)'!A1" display="Hauptfrucht, ab Feld"/>
    <hyperlink ref="G94" location="'48)Zuhirse HF Biogas ex Silo(a)'!A1" display="Hauptfrucht, ex Silo (einsiliert)"/>
    <hyperlink ref="G95" location="'49)GPS+Zuckerhirse Biogas aF(a)'!A1" display="Kombiverfahren, Biomasse ab Feld"/>
    <hyperlink ref="G96" location="'50)GPS+Zuckhi. Biogas ex S(a)'!A1" display="Kombiverfahren, Biomasse ex Silo (einsiliert)"/>
    <hyperlink ref="G97" location="'51) GPS Weidelgras Biog aF(a)'!Druckbereich" display="Ganzpflanze ab Feld"/>
    <hyperlink ref="G98" location="'52)Grünr.+Sonnbl. Biog ex S(a)'!A1" display="Kombiverfahren, Biomasse ex Silo (einsiliert)"/>
    <hyperlink ref="G100" location="'53)Zuckerrüben Biogas ex S(a)'!A1" display="Zuckerrübe ex Silo"/>
    <hyperlink ref="G101" location="'54)Dw. Silphie Biogas ex S(a)'!A1" display="Dw. Silphie ex Silo"/>
    <hyperlink ref="G102" location="'55)Wildpflanzen Biogas ex S(a)'!A1" display="Wildpflanzen ex Silo"/>
    <hyperlink ref="G103" location="'56)Individuelle Eingabe(a)'!Druckbereich" display="Individuelle eingabe"/>
    <hyperlink ref="G104" location="'57)Topi Kraut f Biogas ex S (a)'!A1" display="Topinamburkraut ex Silo"/>
    <hyperlink ref="D8" location="'Übersicht wichtige Verfahren'!A1" display="Übersicht über die kalkulierten Produktionsverfahren"/>
    <hyperlink ref="D9" location="'Grafik-(a)'!A1" display="Grafik: Vollkosten  wichtiger Produktionsverfahren"/>
    <hyperlink ref="I7" location="Hinweise!A1:A10" display="1-5"/>
    <hyperlink ref="C7:H7" location="Hinweise!A1" display="A. Übersicht über die kalkulierten Produktionsverfahren"/>
    <hyperlink ref="C7:F7" location="Hinweise!A1" display="A. Übersicht über die kalkulierten Produktionsverfahren"/>
    <hyperlink ref="C10:H10" location="'Owerte-(a)'!A1" display="C."/>
    <hyperlink ref="C8:G8" location="'Übersicht wichtige Verfahren'!A1" display="B."/>
    <hyperlink ref="D6" location="Deckbl!A1" display="Deckblatt"/>
    <hyperlink ref="E108" location="'Transportkosten Silomais'!A1" display="Transportkosten Silomais"/>
    <hyperlink ref="E109" location="'Vergleich Maisprodukte'!A1" display="Vergleich Maisprodukte"/>
    <hyperlink ref="E110" location="'N-Bindung Leg'!A1" display="N-Bindung Leg"/>
  </hyperlinks>
  <printOptions horizontalCentered="1"/>
  <pageMargins left="0.27559055118110237" right="0.47244094488188981" top="0.43307086614173229" bottom="0.59055118110236227" header="0.51181102362204722" footer="0.31496062992125984"/>
  <pageSetup paperSize="9" scale="83" fitToHeight="0" orientation="portrait" r:id="rId1"/>
  <headerFooter alignWithMargins="0">
    <oddFooter>&amp;L&amp;9LEL Schwäbisch Gmünd (Abtlg. II)
LAZBW Aulendorf&amp;R&amp;F</oddFooter>
  </headerFooter>
  <rowBreaks count="1" manualBreakCount="1">
    <brk id="63" min="1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9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1612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1874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75</v>
      </c>
      <c r="L6" s="1676"/>
      <c r="M6" s="520">
        <f>$K$6*M7/100</f>
        <v>33.75</v>
      </c>
      <c r="N6" s="521">
        <f>$K$6*N7/100</f>
        <v>26.25</v>
      </c>
      <c r="O6" s="521">
        <f>$K$6*O7/100</f>
        <v>15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/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/>
      <c r="Q9" s="490"/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/>
      <c r="Q10" s="445"/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/>
      <c r="Q11" s="490"/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/>
      <c r="Q12" s="646"/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32.0625</v>
      </c>
      <c r="N14" s="252">
        <f>N6*(100-N8)/100</f>
        <v>24.9375</v>
      </c>
      <c r="O14" s="252">
        <f>O6*(100-O8)/100</f>
        <v>14.25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203.57142857142856</v>
      </c>
      <c r="L15" s="1684"/>
      <c r="M15" s="251">
        <f>IF(M10=0,0,M14/M10*100)</f>
        <v>91.607142857142847</v>
      </c>
      <c r="N15" s="252">
        <f>IF(N10=0,0,N14/N10*100)</f>
        <v>71.25</v>
      </c>
      <c r="O15" s="252">
        <f>IF(O10=0,0,O14/O10*100)</f>
        <v>40.714285714285715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33.928571428571423</v>
      </c>
      <c r="L16" s="4311"/>
      <c r="M16" s="2419">
        <f>IF(V5&lt;3,0,IF(M12=0,0,M15/M12))</f>
        <v>15.267857142857141</v>
      </c>
      <c r="N16" s="2420">
        <f>IF(W5&lt;3,0,IF(N12=0,0,N15/N12))</f>
        <v>11.875</v>
      </c>
      <c r="O16" s="2420">
        <f>IF(X5&lt;3,0,IF(O12=0,0,O15/O12))</f>
        <v>6.7857142857142856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29.818124999999998</v>
      </c>
      <c r="N17" s="254">
        <f>N14*(100-N9)/100</f>
        <v>23.191875</v>
      </c>
      <c r="O17" s="254">
        <f>O14*(100-O9)/100</f>
        <v>13.2525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179.08783783783781</v>
      </c>
      <c r="L18" s="1686"/>
      <c r="M18" s="251">
        <f>IF(M11=0,0,M17/M11*100)</f>
        <v>80.589527027027017</v>
      </c>
      <c r="N18" s="254">
        <f>IF(N11=0,0,N17/N11*100)</f>
        <v>62.680743243243242</v>
      </c>
      <c r="O18" s="254">
        <f>IF(O11=0,0,O17/O11*100)</f>
        <v>35.817567567567565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13.431587837837835</v>
      </c>
      <c r="N19" s="505">
        <f>IF(N12=0,0,1/N12*N18)</f>
        <v>10.44679054054054</v>
      </c>
      <c r="O19" s="505">
        <f>IF(O12=0,0,1/O12*O18)</f>
        <v>5.9695945945945939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5.6499999999999986</v>
      </c>
      <c r="L20" s="1689"/>
      <c r="M20" s="312">
        <v>5.8</v>
      </c>
      <c r="N20" s="313">
        <v>5.6</v>
      </c>
      <c r="O20" s="313">
        <v>5.4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9.4166666666666679</v>
      </c>
      <c r="L21" s="1689"/>
      <c r="M21" s="515">
        <f>IF($G21=0,0,M20/$G21)</f>
        <v>9.6666666666666661</v>
      </c>
      <c r="N21" s="516">
        <f>IF($G21=0,0,N20/$G21)</f>
        <v>9.3333333333333339</v>
      </c>
      <c r="O21" s="516">
        <f>IF($G21=0,0,O20/$G21)</f>
        <v>9.0000000000000018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3743.8312500000002</v>
      </c>
      <c r="L22" s="1690"/>
      <c r="M22" s="446">
        <f t="shared" ref="M22:Q23" si="1">M$17*M20*10</f>
        <v>1729.4512499999998</v>
      </c>
      <c r="N22" s="448">
        <f t="shared" si="1"/>
        <v>1298.7449999999999</v>
      </c>
      <c r="O22" s="448">
        <f t="shared" si="1"/>
        <v>715.63499999999999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6239.71875</v>
      </c>
      <c r="L23" s="1691"/>
      <c r="M23" s="447">
        <f t="shared" si="1"/>
        <v>2882.4187499999998</v>
      </c>
      <c r="N23" s="449">
        <f t="shared" si="1"/>
        <v>2164.5750000000003</v>
      </c>
      <c r="O23" s="449">
        <f t="shared" si="1"/>
        <v>1192.7250000000001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/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10.593</v>
      </c>
      <c r="N32" s="461">
        <f>$L32*N$7/100</f>
        <v>8.238999999999999</v>
      </c>
      <c r="O32" s="461">
        <f>$L32*O$7/100</f>
        <v>4.7079999999999993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510.35356458333325</v>
      </c>
      <c r="M34" s="460">
        <f>$L34*M$7/100</f>
        <v>229.65910406249998</v>
      </c>
      <c r="N34" s="461">
        <f>$L34*N$7/100</f>
        <v>178.62374760416662</v>
      </c>
      <c r="O34" s="461">
        <f>$L34*O$7/100</f>
        <v>102.07071291666665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-40</v>
      </c>
      <c r="J36" s="159"/>
      <c r="K36" s="1703">
        <f>H36*$K$14+I36</f>
        <v>116.75</v>
      </c>
      <c r="L36" s="1704">
        <f>K36*$F36</f>
        <v>200.52590833333335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0.38</v>
      </c>
      <c r="I39" s="120"/>
      <c r="J39" s="161"/>
      <c r="K39" s="1705">
        <f>H39*$K$14+I39</f>
        <v>27.074999999999999</v>
      </c>
      <c r="L39" s="1706">
        <f>K39*$F39</f>
        <v>16.109624999999998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4018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289.71352720009804</v>
      </c>
      <c r="M43" s="484">
        <f>SUM(Z46:Z56)</f>
        <v>115.2310969072621</v>
      </c>
      <c r="N43" s="484">
        <f>SUM(AA46:AA56)</f>
        <v>98.971283838208308</v>
      </c>
      <c r="O43" s="484">
        <f>SUM(AB46:AB56)</f>
        <v>75.511146454627607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0.99</v>
      </c>
      <c r="K46" s="1651">
        <f t="shared" ref="K46:K56" si="3">J46*H46</f>
        <v>0.81179999999999997</v>
      </c>
      <c r="L46" s="1704">
        <f t="shared" ref="L46:L56" si="4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5">IF(M46&lt;&gt;0,M46*$H46,0)</f>
        <v>0.27060000000000001</v>
      </c>
      <c r="U46" s="479">
        <f t="shared" ref="U46:U56" si="6">IF(N46&lt;&gt;0,N46*$H46,0)</f>
        <v>0.27060000000000001</v>
      </c>
      <c r="V46" s="479">
        <f t="shared" ref="V46:V56" si="7">IF(O46&lt;&gt;0,O46*$H46,0)</f>
        <v>0.27060000000000001</v>
      </c>
      <c r="W46" s="479">
        <f t="shared" ref="W46:W56" si="8">IF(P46&lt;&gt;0,P46*$H46,0)</f>
        <v>0</v>
      </c>
      <c r="X46" s="480">
        <f t="shared" ref="X46:X56" si="9">IF(Q46&lt;&gt;0,Q46*$H46,0)</f>
        <v>0</v>
      </c>
      <c r="Y46"/>
      <c r="Z46" s="478">
        <f t="shared" ref="Z46:Z56" si="10">IF(M46&lt;&gt;0,M46*$I46,0)</f>
        <v>3.9342326672879988</v>
      </c>
      <c r="AA46" s="479">
        <f t="shared" ref="AA46:AA56" si="11">IF(N46&lt;&gt;0,N46*$I46,0)</f>
        <v>3.9342326672879988</v>
      </c>
      <c r="AB46" s="479">
        <f t="shared" ref="AB46:AB56" si="12">IF(O46&lt;&gt;0,O46*$I46,0)</f>
        <v>3.9342326672879988</v>
      </c>
      <c r="AC46" s="479">
        <f t="shared" ref="AC46:AC56" si="13">IF(P46&lt;&gt;0,P46*$I46,0)</f>
        <v>0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0.99</v>
      </c>
      <c r="K47" s="1651">
        <f t="shared" si="3"/>
        <v>0.47519999999999996</v>
      </c>
      <c r="L47" s="1704">
        <f t="shared" si="4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5"/>
        <v>0.15840000000000001</v>
      </c>
      <c r="U47" s="479">
        <f t="shared" si="6"/>
        <v>0.15840000000000001</v>
      </c>
      <c r="V47" s="479">
        <f t="shared" si="7"/>
        <v>0.15840000000000001</v>
      </c>
      <c r="W47" s="479">
        <f t="shared" si="8"/>
        <v>0</v>
      </c>
      <c r="X47" s="480">
        <f t="shared" si="9"/>
        <v>0</v>
      </c>
      <c r="Y47"/>
      <c r="Z47" s="478">
        <f t="shared" si="10"/>
        <v>3.1209308296319995</v>
      </c>
      <c r="AA47" s="479">
        <f t="shared" si="11"/>
        <v>3.1209308296319995</v>
      </c>
      <c r="AB47" s="479">
        <f t="shared" si="12"/>
        <v>3.1209308296319995</v>
      </c>
      <c r="AC47" s="479">
        <f t="shared" si="13"/>
        <v>0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3</v>
      </c>
      <c r="K48" s="1651">
        <f t="shared" si="3"/>
        <v>1.1099999999999999</v>
      </c>
      <c r="L48" s="1704">
        <f t="shared" si="4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0.37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5.4505114075999996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</v>
      </c>
      <c r="K49" s="1651">
        <f t="shared" si="3"/>
        <v>0.89999999999999991</v>
      </c>
      <c r="L49" s="1704">
        <f t="shared" si="4"/>
        <v>55.7749332</v>
      </c>
      <c r="M49" s="317">
        <v>1.1000000000000001</v>
      </c>
      <c r="N49" s="318">
        <v>1</v>
      </c>
      <c r="O49" s="318">
        <v>0.9</v>
      </c>
      <c r="P49" s="318"/>
      <c r="Q49" s="319"/>
      <c r="R49" s="542"/>
      <c r="S49" s="542"/>
      <c r="T49" s="478">
        <f t="shared" si="5"/>
        <v>0.33</v>
      </c>
      <c r="U49" s="479">
        <f t="shared" si="6"/>
        <v>0.3</v>
      </c>
      <c r="V49" s="479">
        <f t="shared" si="7"/>
        <v>0.27</v>
      </c>
      <c r="W49" s="479">
        <f t="shared" si="8"/>
        <v>0</v>
      </c>
      <c r="X49" s="480">
        <f t="shared" si="9"/>
        <v>0</v>
      </c>
      <c r="Y49"/>
      <c r="Z49" s="478">
        <f t="shared" si="10"/>
        <v>20.450808840000001</v>
      </c>
      <c r="AA49" s="479">
        <f t="shared" si="11"/>
        <v>18.5916444</v>
      </c>
      <c r="AB49" s="479">
        <f t="shared" si="12"/>
        <v>16.732479959999999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3</v>
      </c>
      <c r="K50" s="1651">
        <f t="shared" si="3"/>
        <v>1.0499999999999998</v>
      </c>
      <c r="L50" s="1704">
        <f t="shared" si="4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0.35</v>
      </c>
      <c r="W50" s="479">
        <f t="shared" si="8"/>
        <v>0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8.5775754679999991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3</v>
      </c>
      <c r="K51" s="1651">
        <f t="shared" si="3"/>
        <v>0.78</v>
      </c>
      <c r="L51" s="1704">
        <f t="shared" si="4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36</v>
      </c>
      <c r="C52" s="104"/>
      <c r="D52" s="137"/>
      <c r="E52" s="8"/>
      <c r="F52" s="8"/>
      <c r="G52" s="468" t="str">
        <f>IF($B52=0,0,VLOOKUP($B52,Arbeitsgänge!$B$27:$T$80,7))</f>
        <v>200 kw</v>
      </c>
      <c r="H52" s="507">
        <f>IF($B52=0,0,VLOOKUP($B52,Arbeitsgänge!$B$27:$O$79,12))</f>
        <v>0.5</v>
      </c>
      <c r="I52" s="469">
        <f>IF($B52=0,0,VLOOKUP($B52,Arbeitsgänge!$B$27:$T$80,14))</f>
        <v>33.706020199999998</v>
      </c>
      <c r="J52" s="593">
        <f t="shared" si="2"/>
        <v>2.6437847866419295</v>
      </c>
      <c r="K52" s="1651">
        <f t="shared" si="3"/>
        <v>1.3218923933209648</v>
      </c>
      <c r="L52" s="1704">
        <f t="shared" si="4"/>
        <v>89.11146342300556</v>
      </c>
      <c r="M52" s="317">
        <f>M15/77</f>
        <v>1.1897031539888681</v>
      </c>
      <c r="N52" s="318">
        <f>N15/77</f>
        <v>0.92532467532467533</v>
      </c>
      <c r="O52" s="318">
        <f>O15/77</f>
        <v>0.5287569573283859</v>
      </c>
      <c r="P52" s="318">
        <f>P15/77</f>
        <v>0</v>
      </c>
      <c r="Q52" s="319">
        <f>Q15/77</f>
        <v>0</v>
      </c>
      <c r="R52" s="542"/>
      <c r="S52" s="542"/>
      <c r="T52" s="478">
        <f t="shared" si="5"/>
        <v>0.59485157699443403</v>
      </c>
      <c r="U52" s="479">
        <f t="shared" si="6"/>
        <v>0.46266233766233766</v>
      </c>
      <c r="V52" s="479">
        <f t="shared" si="7"/>
        <v>0.26437847866419295</v>
      </c>
      <c r="W52" s="479">
        <f t="shared" si="8"/>
        <v>0</v>
      </c>
      <c r="X52" s="480">
        <f t="shared" si="9"/>
        <v>0</v>
      </c>
      <c r="Y52"/>
      <c r="Z52" s="478">
        <f t="shared" si="10"/>
        <v>40.100158540352496</v>
      </c>
      <c r="AA52" s="479">
        <f t="shared" si="11"/>
        <v>31.189012198051945</v>
      </c>
      <c r="AB52" s="479">
        <f t="shared" si="12"/>
        <v>17.822292684601113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2.6437847866419295</v>
      </c>
      <c r="K53" s="1651">
        <f t="shared" si="3"/>
        <v>2.1150278293135436</v>
      </c>
      <c r="L53" s="1704">
        <f t="shared" si="4"/>
        <v>54.895022867532468</v>
      </c>
      <c r="M53" s="317">
        <f>M15/77</f>
        <v>1.1897031539888681</v>
      </c>
      <c r="N53" s="318">
        <f>N15/77</f>
        <v>0.92532467532467533</v>
      </c>
      <c r="O53" s="318">
        <f>O15/77</f>
        <v>0.5287569573283859</v>
      </c>
      <c r="P53" s="318">
        <f>P15/77</f>
        <v>0</v>
      </c>
      <c r="Q53" s="319">
        <f>Q15/77</f>
        <v>0</v>
      </c>
      <c r="R53" s="542"/>
      <c r="S53" s="542"/>
      <c r="T53" s="478">
        <f t="shared" si="5"/>
        <v>0.95176252319109444</v>
      </c>
      <c r="U53" s="479">
        <f t="shared" si="6"/>
        <v>0.74025974025974028</v>
      </c>
      <c r="V53" s="479">
        <f t="shared" si="7"/>
        <v>0.42300556586270877</v>
      </c>
      <c r="W53" s="479">
        <f t="shared" si="8"/>
        <v>0</v>
      </c>
      <c r="X53" s="480">
        <f t="shared" si="9"/>
        <v>0</v>
      </c>
      <c r="Y53"/>
      <c r="Z53" s="478">
        <f t="shared" si="10"/>
        <v>24.702760290389605</v>
      </c>
      <c r="AA53" s="479">
        <f t="shared" si="11"/>
        <v>19.213258003636362</v>
      </c>
      <c r="AB53" s="479">
        <f t="shared" si="12"/>
        <v>10.979004573506494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8.5639202226345077</v>
      </c>
      <c r="L57" s="1716"/>
      <c r="M57" s="278">
        <f>SUM(T46:T56)</f>
        <v>3.2856141001855286</v>
      </c>
      <c r="N57" s="508">
        <f>SUM(U46:U56)</f>
        <v>2.9119220779220778</v>
      </c>
      <c r="O57" s="508">
        <f>SUM(V46:V56)</f>
        <v>2.3663840445269018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15.415056400742117</v>
      </c>
      <c r="L58" s="1718"/>
      <c r="M58" s="270">
        <f>IF(M57+(M57*$G$58/100)&gt;M57+10,M57+10,M57+(M57*$G$58/100))</f>
        <v>5.9141053803339512</v>
      </c>
      <c r="N58" s="509">
        <f>IF(N57+(N57*$G$58/100)&gt;(N57+10),N57+10,N57+(N57*$G$58/100))</f>
        <v>5.2414597402597405</v>
      </c>
      <c r="O58" s="509">
        <f>IF(O57+(O57*$G$58/100)&gt;(O57+10),O57+10,O57+(O57*$G$58/100))</f>
        <v>4.2594912801484233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16.243500000000001</v>
      </c>
      <c r="M59" s="253">
        <f>SUM(T61:T63)</f>
        <v>5.4145000000000003</v>
      </c>
      <c r="N59" s="254">
        <f>SUM(U61:U63)</f>
        <v>5.4145000000000003</v>
      </c>
      <c r="O59" s="254">
        <f>SUM(V61:V63)</f>
        <v>5.4145000000000003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3077"/>
      <c r="F61" s="4032"/>
      <c r="G61" s="3060">
        <v>65</v>
      </c>
      <c r="H61" s="4031">
        <f>G61*(100+$H$59)/100</f>
        <v>77.349999999999994</v>
      </c>
      <c r="I61" s="4029"/>
      <c r="J61" s="4028">
        <f>SUM(M61:Q61)</f>
        <v>0.21000000000000002</v>
      </c>
      <c r="K61" s="2618"/>
      <c r="L61" s="2619">
        <f>J61*H61</f>
        <v>16.243500000000001</v>
      </c>
      <c r="M61" s="4118">
        <v>7.0000000000000007E-2</v>
      </c>
      <c r="N61" s="4024">
        <v>7.0000000000000007E-2</v>
      </c>
      <c r="O61" s="4024">
        <v>7.0000000000000007E-2</v>
      </c>
      <c r="P61" s="4024"/>
      <c r="Q61" s="4025"/>
      <c r="R61" s="542"/>
      <c r="S61" s="542"/>
      <c r="T61" s="594">
        <f>IF(M61&lt;&gt;0,M61*$H61,0)</f>
        <v>5.4145000000000003</v>
      </c>
      <c r="U61" s="594">
        <f t="shared" ref="U61:X63" si="15">IF(N61&lt;&gt;0,N61*$H61,0)</f>
        <v>5.4145000000000003</v>
      </c>
      <c r="V61" s="594">
        <f t="shared" si="15"/>
        <v>5.4145000000000003</v>
      </c>
      <c r="W61" s="594">
        <f t="shared" si="15"/>
        <v>0</v>
      </c>
      <c r="X61" s="594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20"/>
      <c r="E62" s="4021"/>
      <c r="F62" s="4021"/>
      <c r="G62" s="4022"/>
      <c r="H62" s="4119">
        <f>G62*(100+$H$59)/100</f>
        <v>0</v>
      </c>
      <c r="I62" s="4030"/>
      <c r="J62" s="4120">
        <f>SUM(M62:Q62)</f>
        <v>0</v>
      </c>
      <c r="K62" s="2304"/>
      <c r="L62" s="3069">
        <f>J62*H62</f>
        <v>0</v>
      </c>
      <c r="M62" s="4023"/>
      <c r="N62" s="4026"/>
      <c r="O62" s="4026"/>
      <c r="P62" s="4026"/>
      <c r="Q62" s="4027"/>
      <c r="R62" s="542"/>
      <c r="S62" s="542"/>
      <c r="T62" s="594">
        <f>IF(M62&lt;&gt;0,M62*$H62,0)</f>
        <v>0</v>
      </c>
      <c r="U62" s="594">
        <f t="shared" si="15"/>
        <v>0</v>
      </c>
      <c r="V62" s="594">
        <f t="shared" si="15"/>
        <v>0</v>
      </c>
      <c r="W62" s="594">
        <f t="shared" si="15"/>
        <v>0</v>
      </c>
      <c r="X62" s="594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4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5"/>
        <v>0</v>
      </c>
      <c r="V63" s="594">
        <f t="shared" si="15"/>
        <v>0</v>
      </c>
      <c r="W63" s="594">
        <f t="shared" si="15"/>
        <v>0</v>
      </c>
      <c r="X63" s="594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>SUM(L69:L71)</f>
        <v>41.65</v>
      </c>
      <c r="M67" s="253">
        <f t="shared" ref="M67:Q67" si="16">SUM(M69:M70)</f>
        <v>18.7425</v>
      </c>
      <c r="N67" s="254">
        <f t="shared" si="16"/>
        <v>14.577500000000001</v>
      </c>
      <c r="O67" s="254">
        <f t="shared" si="16"/>
        <v>8.33</v>
      </c>
      <c r="P67" s="254">
        <f t="shared" si="16"/>
        <v>0</v>
      </c>
      <c r="Q67" s="257">
        <f t="shared" si="16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18.7425</v>
      </c>
      <c r="N69" s="933">
        <f t="shared" si="17"/>
        <v>14.577500000000001</v>
      </c>
      <c r="O69" s="933">
        <f t="shared" si="17"/>
        <v>8.33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4033"/>
      <c r="E71" s="1465"/>
      <c r="F71" s="1466"/>
      <c r="G71" s="1467"/>
      <c r="H71" s="1454"/>
      <c r="I71" s="1449"/>
      <c r="J71" s="1387"/>
      <c r="K71" s="1729"/>
      <c r="L71" s="1660">
        <f>I71</f>
        <v>0</v>
      </c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33.928571428571423</v>
      </c>
      <c r="L77" s="3321">
        <f t="shared" si="18"/>
        <v>0</v>
      </c>
      <c r="M77" s="3321">
        <f t="shared" si="18"/>
        <v>15.267857142857141</v>
      </c>
      <c r="N77" s="3321">
        <f t="shared" si="18"/>
        <v>11.875</v>
      </c>
      <c r="O77" s="3321">
        <f t="shared" si="18"/>
        <v>6.7857142857142856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164.86458333333331</v>
      </c>
      <c r="L79" s="3321"/>
      <c r="M79" s="3321">
        <f>M78*M16</f>
        <v>74.189062499999991</v>
      </c>
      <c r="N79" s="3321">
        <f>N78*N16</f>
        <v>57.702604166666667</v>
      </c>
      <c r="O79" s="3321">
        <f>O78*O16</f>
        <v>32.97291666666667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Drop Down 1">
              <controlPr defaultSize="0" print="0" autoFill="0" autoLine="0" autoPict="0">
                <anchor moveWithCells="1">
                  <from>
                    <xdr:col>12</xdr:col>
                    <xdr:colOff>104775</xdr:colOff>
                    <xdr:row>4</xdr:row>
                    <xdr:rowOff>28575</xdr:rowOff>
                  </from>
                  <to>
                    <xdr:col>12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Drop Down 2">
              <controlPr defaultSize="0" print="0" autoFill="0" autoLine="0" autoPict="0">
                <anchor moveWithCells="1">
                  <from>
                    <xdr:col>13</xdr:col>
                    <xdr:colOff>85725</xdr:colOff>
                    <xdr:row>4</xdr:row>
                    <xdr:rowOff>38100</xdr:rowOff>
                  </from>
                  <to>
                    <xdr:col>13</xdr:col>
                    <xdr:colOff>495300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Drop Down 3">
              <controlPr defaultSize="0" print="0" autoFill="0" autoLine="0" autoPict="0">
                <anchor moveWithCells="1">
                  <from>
                    <xdr:col>14</xdr:col>
                    <xdr:colOff>95250</xdr:colOff>
                    <xdr:row>4</xdr:row>
                    <xdr:rowOff>38100</xdr:rowOff>
                  </from>
                  <to>
                    <xdr:col>14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print="0" autoFill="0" autoLine="0" autoPict="0">
                <anchor moveWithCells="1">
                  <from>
                    <xdr:col>15</xdr:col>
                    <xdr:colOff>161925</xdr:colOff>
                    <xdr:row>4</xdr:row>
                    <xdr:rowOff>38100</xdr:rowOff>
                  </from>
                  <to>
                    <xdr:col>15</xdr:col>
                    <xdr:colOff>571500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Drop Down 5">
              <controlPr defaultSize="0" print="0" autoFill="0" autoLine="0" autoPict="0">
                <anchor moveWithCells="1">
                  <from>
                    <xdr:col>16</xdr:col>
                    <xdr:colOff>104775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504825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504825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504825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00B0F0"/>
  </sheetPr>
  <dimension ref="B1:AS98"/>
  <sheetViews>
    <sheetView showGridLines="0" showZeros="0" zoomScaleNormal="100" workbookViewId="0">
      <pane xSplit="13" ySplit="5" topLeftCell="U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'4)GS 3Nutz.eig.mech.(a)'!H2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'4)GS 3Nutz.eig.mech.(a)'!K2</f>
        <v>Wiese 3 Nutzungen (3 x Silage)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'4)GS 3Nutz.eig.mech.(a)'!H3</f>
        <v>3 Nutzungen, eigene Ernte, Ladewagen,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'4)GS 3Nutz.eig.mech.(a)'!M5</f>
        <v>Silage</v>
      </c>
      <c r="O5" s="1568" t="str">
        <f>'4)GS 3Nutz.eig.mech.(a)'!N5</f>
        <v>Silage</v>
      </c>
      <c r="P5" s="1568" t="str">
        <f>'4)GS 3Nutz.eig.mech.(a)'!O5</f>
        <v>Silage</v>
      </c>
      <c r="Q5" s="1568" t="str">
        <f>'4)GS 3Nutz.eig.mech.(a)'!P5</f>
        <v>Silage</v>
      </c>
      <c r="R5" s="1573" t="str">
        <f>'4)GS 3Nutz.eig.mech.(a)'!Q5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'4)GS 3Nutz.eig.mech.(a)'!K6</f>
        <v>75</v>
      </c>
      <c r="N6" s="1821">
        <f>'4)GS 3Nutz.eig.mech.(a)'!M6</f>
        <v>33.75</v>
      </c>
      <c r="O6" s="1821">
        <f>'4)GS 3Nutz.eig.mech.(a)'!N6</f>
        <v>26.25</v>
      </c>
      <c r="P6" s="1821">
        <f>'4)GS 3Nutz.eig.mech.(a)'!O6</f>
        <v>15</v>
      </c>
      <c r="Q6" s="1821">
        <f>'4)GS 3Nutz.eig.mech.(a)'!P6</f>
        <v>0</v>
      </c>
      <c r="R6" s="1822">
        <f>'4)GS 3Nutz.eig.mech.(a)'!Q6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'4)GS 3Nutz.eig.mech.(a)'!K14</f>
        <v>71.25</v>
      </c>
      <c r="N7" s="452">
        <f>'4)GS 3Nutz.eig.mech.(a)'!M14</f>
        <v>32.0625</v>
      </c>
      <c r="O7" s="452">
        <f>'4)GS 3Nutz.eig.mech.(a)'!N14</f>
        <v>24.9375</v>
      </c>
      <c r="P7" s="452">
        <f>'4)GS 3Nutz.eig.mech.(a)'!O14</f>
        <v>14.25</v>
      </c>
      <c r="Q7" s="452">
        <f>'4)GS 3Nutz.eig.mech.(a)'!P14</f>
        <v>0</v>
      </c>
      <c r="R7" s="1744">
        <f>'4)GS 3Nutz.eig.mech.(a)'!Q14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'4)GS 3Nutz.eig.mech.(a)'!K15</f>
        <v>203.57142857142856</v>
      </c>
      <c r="N8" s="473">
        <f>'4)GS 3Nutz.eig.mech.(a)'!M15</f>
        <v>91.607142857142847</v>
      </c>
      <c r="O8" s="473">
        <f>'4)GS 3Nutz.eig.mech.(a)'!N15</f>
        <v>71.25</v>
      </c>
      <c r="P8" s="473">
        <f>'4)GS 3Nutz.eig.mech.(a)'!O15</f>
        <v>40.714285714285715</v>
      </c>
      <c r="Q8" s="473">
        <f>'4)GS 3Nutz.eig.mech.(a)'!P15</f>
        <v>0</v>
      </c>
      <c r="R8" s="1583">
        <f>'4)GS 3Nutz.eig.mech.(a)'!Q15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'4)GS 3Nutz.eig.mech.(a)'!K17</f>
        <v>66.262500000000003</v>
      </c>
      <c r="N9" s="452">
        <f>'4)GS 3Nutz.eig.mech.(a)'!M17</f>
        <v>29.818124999999998</v>
      </c>
      <c r="O9" s="452">
        <f>'4)GS 3Nutz.eig.mech.(a)'!N17</f>
        <v>23.191875</v>
      </c>
      <c r="P9" s="452">
        <f>'4)GS 3Nutz.eig.mech.(a)'!O17</f>
        <v>13.2525</v>
      </c>
      <c r="Q9" s="452">
        <f>'4)GS 3Nutz.eig.mech.(a)'!P17</f>
        <v>0</v>
      </c>
      <c r="R9" s="1744">
        <f>'4)GS 3Nutz.eig.mech.(a)'!Q17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'4)GS 3Nutz.eig.mech.(a)'!K18</f>
        <v>179.08783783783781</v>
      </c>
      <c r="N10" s="1748">
        <f>'4)GS 3Nutz.eig.mech.(a)'!M18</f>
        <v>80.589527027027017</v>
      </c>
      <c r="O10" s="1748">
        <f>'4)GS 3Nutz.eig.mech.(a)'!N18</f>
        <v>62.680743243243242</v>
      </c>
      <c r="P10" s="1748">
        <f>'4)GS 3Nutz.eig.mech.(a)'!O18</f>
        <v>35.817567567567565</v>
      </c>
      <c r="Q10" s="1748">
        <f>'4)GS 3Nutz.eig.mech.(a)'!P18</f>
        <v>0</v>
      </c>
      <c r="R10" s="1745">
        <f>'4)GS 3Nutz.eig.mech.(a)'!Q18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'4)GS 3Nutz.eig.mech.(a)'!K19</f>
        <v>29.847972972972968</v>
      </c>
      <c r="N11" s="2094">
        <f>'4)GS 3Nutz.eig.mech.(a)'!M19</f>
        <v>13.431587837837835</v>
      </c>
      <c r="O11" s="2094">
        <f>'4)GS 3Nutz.eig.mech.(a)'!N19</f>
        <v>10.44679054054054</v>
      </c>
      <c r="P11" s="2094">
        <f>'4)GS 3Nutz.eig.mech.(a)'!O19</f>
        <v>5.9695945945945939</v>
      </c>
      <c r="Q11" s="2094">
        <f>'4)GS 3Nutz.eig.mech.(a)'!P19</f>
        <v>0</v>
      </c>
      <c r="R11" s="2078">
        <f>'4)GS 3Nutz.eig.mech.(a)'!Q19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'4)GS 3Nutz.eig.mech.(a)'!K22</f>
        <v>3743.8312500000002</v>
      </c>
      <c r="N12" s="1176">
        <f>'4)GS 3Nutz.eig.mech.(a)'!M22</f>
        <v>1729.4512499999998</v>
      </c>
      <c r="O12" s="1176">
        <f>'4)GS 3Nutz.eig.mech.(a)'!N22</f>
        <v>1298.7449999999999</v>
      </c>
      <c r="P12" s="1176">
        <f>'4)GS 3Nutz.eig.mech.(a)'!O22</f>
        <v>715.63499999999999</v>
      </c>
      <c r="Q12" s="1176">
        <f>'4)GS 3Nutz.eig.mech.(a)'!P22</f>
        <v>0</v>
      </c>
      <c r="R12" s="1747">
        <f>'4)GS 3Nutz.eig.mech.(a)'!Q22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'4)GS 3Nutz.eig.mech.(a)'!K23</f>
        <v>6239.71875</v>
      </c>
      <c r="N13" s="2065">
        <f>'4)GS 3Nutz.eig.mech.(a)'!M23</f>
        <v>2882.4187499999998</v>
      </c>
      <c r="O13" s="2065">
        <f>'4)GS 3Nutz.eig.mech.(a)'!N23</f>
        <v>2164.5750000000003</v>
      </c>
      <c r="P13" s="2065">
        <f>'4)GS 3Nutz.eig.mech.(a)'!O23</f>
        <v>1192.7250000000001</v>
      </c>
      <c r="Q13" s="2065">
        <f>'4)GS 3Nutz.eig.mech.(a)'!P23</f>
        <v>0</v>
      </c>
      <c r="R13" s="2067">
        <f>'4)GS 3Nutz.eig.mech.(a)'!Q23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'4)GS 3Nutz.eig.mech.(a)'!L32</f>
        <v>23.54</v>
      </c>
      <c r="N19" s="2071">
        <f>'4)GS 3Nutz.eig.mech.(a)'!M32</f>
        <v>10.593</v>
      </c>
      <c r="O19" s="2071">
        <f>'4)GS 3Nutz.eig.mech.(a)'!N32</f>
        <v>8.238999999999999</v>
      </c>
      <c r="P19" s="2071">
        <f>'4)GS 3Nutz.eig.mech.(a)'!O32</f>
        <v>4.7079999999999993</v>
      </c>
      <c r="Q19" s="2071">
        <f>'4)GS 3Nutz.eig.mech.(a)'!P32</f>
        <v>0</v>
      </c>
      <c r="R19" s="2073">
        <f>'4)GS 3Nutz.eig.mech.(a)'!Q32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'4)GS 3Nutz.eig.mech.(a)'!L34</f>
        <v>510.35356458333325</v>
      </c>
      <c r="N20" s="285">
        <f>'4)GS 3Nutz.eig.mech.(a)'!M34</f>
        <v>229.65910406249998</v>
      </c>
      <c r="O20" s="285">
        <f>'4)GS 3Nutz.eig.mech.(a)'!N34</f>
        <v>178.62374760416662</v>
      </c>
      <c r="P20" s="285">
        <f>'4)GS 3Nutz.eig.mech.(a)'!O34</f>
        <v>102.07071291666665</v>
      </c>
      <c r="Q20" s="285">
        <f>'4)GS 3Nutz.eig.mech.(a)'!P34</f>
        <v>0</v>
      </c>
      <c r="R20" s="1574">
        <f>'4)GS 3Nutz.eig.mech.(a)'!Q34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'4)GS 3Nutz.eig.mech.(a)'!L40</f>
        <v>0</v>
      </c>
      <c r="N21" s="285">
        <f>'4)GS 3Nutz.eig.mech.(a)'!M40</f>
        <v>0</v>
      </c>
      <c r="O21" s="285">
        <f>'4)GS 3Nutz.eig.mech.(a)'!N40</f>
        <v>0</v>
      </c>
      <c r="P21" s="285">
        <f>'4)GS 3Nutz.eig.mech.(a)'!O40</f>
        <v>0</v>
      </c>
      <c r="Q21" s="285">
        <f>'4)GS 3Nutz.eig.mech.(a)'!P40</f>
        <v>0</v>
      </c>
      <c r="R21" s="1574">
        <f>'4)GS 3Nutz.eig.mech.(a)'!Q40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'4)GS 3Nutz.eig.mech.(a)'!L67</f>
        <v>41.65</v>
      </c>
      <c r="N23" s="285">
        <f>'4)GS 3Nutz.eig.mech.(a)'!M67</f>
        <v>18.7425</v>
      </c>
      <c r="O23" s="285">
        <f>'4)GS 3Nutz.eig.mech.(a)'!N67</f>
        <v>14.577500000000001</v>
      </c>
      <c r="P23" s="285">
        <f>'4)GS 3Nutz.eig.mech.(a)'!O67</f>
        <v>8.33</v>
      </c>
      <c r="Q23" s="285">
        <f>'4)GS 3Nutz.eig.mech.(a)'!P67</f>
        <v>0</v>
      </c>
      <c r="R23" s="1574">
        <f>'4)GS 3Nutz.eig.mech.(a)'!Q67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'4)GS 3Nutz.eig.mech.(a)'!L43</f>
        <v>289.71352720009804</v>
      </c>
      <c r="N24" s="285">
        <f>'4)GS 3Nutz.eig.mech.(a)'!M43</f>
        <v>115.2310969072621</v>
      </c>
      <c r="O24" s="285">
        <f>'4)GS 3Nutz.eig.mech.(a)'!N43</f>
        <v>98.971283838208308</v>
      </c>
      <c r="P24" s="285">
        <f>'4)GS 3Nutz.eig.mech.(a)'!O43</f>
        <v>75.511146454627607</v>
      </c>
      <c r="Q24" s="285">
        <f>'4)GS 3Nutz.eig.mech.(a)'!P43</f>
        <v>0</v>
      </c>
      <c r="R24" s="1574">
        <f>'4)GS 3Nutz.eig.mech.(a)'!Q43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'4)GS 3Nutz.eig.mech.(a)'!L59</f>
        <v>16.243500000000001</v>
      </c>
      <c r="N25" s="285">
        <f>'4)GS 3Nutz.eig.mech.(a)'!M59</f>
        <v>5.4145000000000003</v>
      </c>
      <c r="O25" s="285">
        <f>'4)GS 3Nutz.eig.mech.(a)'!N59</f>
        <v>5.4145000000000003</v>
      </c>
      <c r="P25" s="285">
        <f>'4)GS 3Nutz.eig.mech.(a)'!O59</f>
        <v>5.4145000000000003</v>
      </c>
      <c r="Q25" s="285">
        <f>'4)GS 3Nutz.eig.mech.(a)'!P59</f>
        <v>0</v>
      </c>
      <c r="R25" s="1574">
        <f>'4)GS 3Nutz.eig.mech.(a)'!Q59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'4)GS 3Nutz.eig.mech.(a)'!L64</f>
        <v>0</v>
      </c>
      <c r="N26" s="1979">
        <f>'4)GS 3Nutz.eig.mech.(a)'!M64</f>
        <v>0</v>
      </c>
      <c r="O26" s="1979">
        <f>'4)GS 3Nutz.eig.mech.(a)'!N64</f>
        <v>0</v>
      </c>
      <c r="P26" s="1979">
        <f>'4)GS 3Nutz.eig.mech.(a)'!O64</f>
        <v>0</v>
      </c>
      <c r="Q26" s="1979">
        <f>'4)GS 3Nutz.eig.mech.(a)'!P64</f>
        <v>0</v>
      </c>
      <c r="R26" s="1981">
        <f>'4)GS 3Nutz.eig.mech.(a)'!Q64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881.50059178343133</v>
      </c>
      <c r="N27" s="2407">
        <f t="shared" si="4"/>
        <v>379.64020096976202</v>
      </c>
      <c r="O27" s="2407">
        <f t="shared" si="4"/>
        <v>305.82603144237493</v>
      </c>
      <c r="P27" s="2407">
        <f t="shared" si="4"/>
        <v>196.03435937129424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-881.50059178343133</v>
      </c>
      <c r="N28" s="1777">
        <f t="shared" si="5"/>
        <v>-379.64020096976202</v>
      </c>
      <c r="O28" s="1777">
        <f t="shared" si="5"/>
        <v>-305.82603144237493</v>
      </c>
      <c r="P28" s="1777">
        <f t="shared" si="5"/>
        <v>-196.03435937129424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-0.23545414654665092</v>
      </c>
      <c r="N29" s="1874">
        <f t="shared" si="6"/>
        <v>-0.21951483221615067</v>
      </c>
      <c r="O29" s="1874">
        <f t="shared" si="6"/>
        <v>-0.23547812037187821</v>
      </c>
      <c r="P29" s="1874">
        <f t="shared" si="6"/>
        <v>-0.27393064812550288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121.5</v>
      </c>
      <c r="O30" s="2097">
        <f t="shared" si="7"/>
        <v>94.5</v>
      </c>
      <c r="P30" s="2097">
        <f t="shared" si="7"/>
        <v>54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'4)GS 3Nutz.eig.mech.(a)'!L25</f>
        <v>0</v>
      </c>
      <c r="V30" s="3308">
        <f>'4)GS 3Nutz.eig.mech.(a)'!M25</f>
        <v>0</v>
      </c>
      <c r="W30" s="3308">
        <f>'4)GS 3Nutz.eig.mech.(a)'!N25</f>
        <v>0</v>
      </c>
      <c r="X30" s="3308">
        <f>'4)GS 3Nutz.eig.mech.(a)'!O25</f>
        <v>0</v>
      </c>
      <c r="Y30" s="3308">
        <f>'4)GS 3Nutz.eig.mech.(a)'!P25</f>
        <v>0</v>
      </c>
      <c r="Z30" s="3308">
        <f>'4)GS 3Nutz.eig.mech.(a)'!Q25</f>
        <v>0</v>
      </c>
      <c r="AA30" s="3308">
        <f>'4)GS 3Nutz.eig.mech.(a)'!R25+'4)GS 3Nutz.eig.mech.(a)'!R30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M27*'4)GS 3Nutz.eig.mech.(a)'!$L$72*'4)GS 3Nutz.eig.mech.(a)'!$Q$72/12/100</f>
        <v>5.5093786986464455</v>
      </c>
      <c r="N31" s="1979">
        <f>N27*'4)GS 3Nutz.eig.mech.(a)'!$L$72*'4)GS 3Nutz.eig.mech.(a)'!$Q$72/12/100</f>
        <v>2.3727512560610124</v>
      </c>
      <c r="O31" s="1979">
        <f>O27*'4)GS 3Nutz.eig.mech.(a)'!$L$72*'4)GS 3Nutz.eig.mech.(a)'!$Q$72/12/100</f>
        <v>1.9114126965148435</v>
      </c>
      <c r="P31" s="1979">
        <f>P27*'4)GS 3Nutz.eig.mech.(a)'!$L$72*'4)GS 3Nutz.eig.mech.(a)'!$Q$72/12/100</f>
        <v>1.2252147460705889</v>
      </c>
      <c r="Q31" s="1979">
        <f>Q27*'4)GS 3Nutz.eig.mech.(a)'!$L$72*'4)GS 3Nutz.eig.mech.(a)'!$Q$72/12/100</f>
        <v>0</v>
      </c>
      <c r="R31" s="1981">
        <f>R27*'4)GS 3Nutz.eig.mech.(a)'!$L$72*'4)GS 3Nutz.eig.mech.(a)'!$Q$72/12/100</f>
        <v>0</v>
      </c>
      <c r="T31" s="3297" t="s">
        <v>1215</v>
      </c>
      <c r="U31" s="3308">
        <f>'4)GS 3Nutz.eig.mech.(a)'!L30</f>
        <v>270</v>
      </c>
      <c r="V31" s="3308">
        <f>'4)GS 3Nutz.eig.mech.(a)'!M30</f>
        <v>121.5</v>
      </c>
      <c r="W31" s="3308">
        <f>'4)GS 3Nutz.eig.mech.(a)'!N30</f>
        <v>94.5</v>
      </c>
      <c r="X31" s="3308">
        <f>'4)GS 3Nutz.eig.mech.(a)'!O30</f>
        <v>54</v>
      </c>
      <c r="Y31" s="3308">
        <f>'4)GS 3Nutz.eig.mech.(a)'!P30</f>
        <v>0</v>
      </c>
      <c r="Z31" s="3308">
        <f>'4)GS 3Nutz.eig.mech.(a)'!Q30</f>
        <v>0</v>
      </c>
      <c r="AA31" s="3308">
        <f>'4)GS 3Nutz.eig.mech.(a)'!R30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-617.00997048207773</v>
      </c>
      <c r="N32" s="1769">
        <f t="shared" si="8"/>
        <v>-260.51295222582303</v>
      </c>
      <c r="O32" s="1769">
        <f t="shared" si="8"/>
        <v>-213.23744413888977</v>
      </c>
      <c r="P32" s="1769">
        <f t="shared" si="8"/>
        <v>-143.25957411736482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121.5</v>
      </c>
      <c r="W32" s="429">
        <f t="shared" si="9"/>
        <v>94.5</v>
      </c>
      <c r="X32" s="429">
        <f t="shared" si="9"/>
        <v>54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-0.16480709980773778</v>
      </c>
      <c r="N33" s="1581">
        <f t="shared" si="10"/>
        <v>-0.1506333018787451</v>
      </c>
      <c r="O33" s="1581">
        <f t="shared" si="10"/>
        <v>-0.16418730708406176</v>
      </c>
      <c r="P33" s="1581">
        <f t="shared" si="10"/>
        <v>-0.20018525381984506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-9.8884259884642681E-2</v>
      </c>
      <c r="N34" s="2149">
        <f t="shared" si="11"/>
        <v>-9.0379981127247058E-2</v>
      </c>
      <c r="O34" s="2149">
        <f t="shared" si="11"/>
        <v>-9.8512384250437041E-2</v>
      </c>
      <c r="P34" s="2149">
        <f t="shared" si="11"/>
        <v>-0.12011115229190703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'4)GS 3Nutz.eig.mech.(a)'!K58</f>
        <v>15.415056400742117</v>
      </c>
      <c r="N36" s="2397">
        <f>'4)GS 3Nutz.eig.mech.(a)'!M58</f>
        <v>5.9141053803339512</v>
      </c>
      <c r="O36" s="2397">
        <f>'4)GS 3Nutz.eig.mech.(a)'!N58</f>
        <v>5.2414597402597405</v>
      </c>
      <c r="P36" s="2397">
        <f>'4)GS 3Nutz.eig.mech.(a)'!O58</f>
        <v>4.2594912801484233</v>
      </c>
      <c r="Q36" s="2397">
        <f>'4)GS 3Nutz.eig.mech.(a)'!P58</f>
        <v>0</v>
      </c>
      <c r="R36" s="2398">
        <f>'4)GS 3Nutz.eig.mech.(a)'!Q58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'4)GS 3Nutz.eig.mech.(a)'!K16</f>
        <v>33.928571428571423</v>
      </c>
      <c r="N37" s="2400">
        <f>'4)GS 3Nutz.eig.mech.(a)'!M16</f>
        <v>15.267857142857141</v>
      </c>
      <c r="O37" s="2400">
        <f>'4)GS 3Nutz.eig.mech.(a)'!N16</f>
        <v>11.875</v>
      </c>
      <c r="P37" s="2400">
        <f>'4)GS 3Nutz.eig.mech.(a)'!O16</f>
        <v>6.7857142857142856</v>
      </c>
      <c r="Q37" s="2400">
        <f>'4)GS 3Nutz.eig.mech.(a)'!P16</f>
        <v>0</v>
      </c>
      <c r="R37" s="2401">
        <f>'4)GS 3Nutz.eig.mech.(a)'!Q16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'4)GS 3Nutz.eig.mech.(a)'!M78</f>
        <v>4.8591666666666669</v>
      </c>
      <c r="O38" s="1997">
        <f>'4)GS 3Nutz.eig.mech.(a)'!N78</f>
        <v>4.8591666666666669</v>
      </c>
      <c r="P38" s="1997">
        <f>'4)GS 3Nutz.eig.mech.(a)'!O78</f>
        <v>4.8591666666666669</v>
      </c>
      <c r="Q38" s="1997">
        <f>'4)GS 3Nutz.eig.mech.(a)'!P78</f>
        <v>4.8591666666666669</v>
      </c>
      <c r="R38" s="1998">
        <f>'4)GS 3Nutz.eig.mech.(a)'!Q78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269.76348701298707</v>
      </c>
      <c r="N39" s="285">
        <f t="shared" si="13"/>
        <v>103.49684415584414</v>
      </c>
      <c r="O39" s="285">
        <f t="shared" si="13"/>
        <v>91.725545454545454</v>
      </c>
      <c r="P39" s="285">
        <f t="shared" si="13"/>
        <v>74.541097402597401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164.86458333333331</v>
      </c>
      <c r="N40" s="285">
        <f>N37*N38</f>
        <v>74.189062499999991</v>
      </c>
      <c r="O40" s="285">
        <f>O37*O38</f>
        <v>57.702604166666667</v>
      </c>
      <c r="P40" s="285">
        <f>P37*P38</f>
        <v>32.97291666666667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'Festk-Masch-Geb'!T44-'Festk-Masch-Geb'!T37-'Festk-Masch-Geb'!T38</f>
        <v>595.46639351851854</v>
      </c>
      <c r="N41" s="285">
        <f>N$6/$M$6*$M$41</f>
        <v>267.95987708333337</v>
      </c>
      <c r="O41" s="285">
        <f>O$6/$M$6*$M$41</f>
        <v>208.41323773148147</v>
      </c>
      <c r="P41" s="285">
        <f>P$6/$M$6*$M$41</f>
        <v>119.09327870370372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40.5</v>
      </c>
      <c r="O43" s="285">
        <f>O$6/$M$6*$M$43</f>
        <v>31.499999999999996</v>
      </c>
      <c r="P43" s="285">
        <f>P$6/$M$6*$M$43</f>
        <v>18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1317.9144638648388</v>
      </c>
      <c r="N45" s="1991">
        <f t="shared" si="14"/>
        <v>575.16478373917755</v>
      </c>
      <c r="O45" s="1991">
        <f t="shared" si="14"/>
        <v>458.57838735269354</v>
      </c>
      <c r="P45" s="1991">
        <f t="shared" si="14"/>
        <v>284.17129277296783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2204.9244343469163</v>
      </c>
      <c r="N48" s="2127">
        <f t="shared" si="16"/>
        <v>957.17773596500058</v>
      </c>
      <c r="O48" s="2041">
        <f t="shared" si="16"/>
        <v>766.31583149158337</v>
      </c>
      <c r="P48" s="2041">
        <f t="shared" si="16"/>
        <v>481.43086689033265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-2204.9244343469163</v>
      </c>
      <c r="N49" s="2125">
        <f t="shared" si="17"/>
        <v>-957.17773596500058</v>
      </c>
      <c r="O49" s="1772">
        <f t="shared" si="17"/>
        <v>-766.31583149158337</v>
      </c>
      <c r="P49" s="1772">
        <f t="shared" si="17"/>
        <v>-481.43086689033265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-0.58894866972086846</v>
      </c>
      <c r="N50" s="2511">
        <f t="shared" si="18"/>
        <v>-0.55345748309760145</v>
      </c>
      <c r="O50" s="2168">
        <f t="shared" si="18"/>
        <v>-0.59004333529028674</v>
      </c>
      <c r="P50" s="2168">
        <f t="shared" si="18"/>
        <v>-0.67273242210111672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121.5</v>
      </c>
      <c r="O51" s="2185">
        <f t="shared" si="19"/>
        <v>94.5</v>
      </c>
      <c r="P51" s="2185">
        <f t="shared" si="19"/>
        <v>54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-1934.9244343469163</v>
      </c>
      <c r="N52" s="2178">
        <f t="shared" si="20"/>
        <v>-835.67773596500058</v>
      </c>
      <c r="O52" s="2081">
        <f t="shared" si="20"/>
        <v>-671.81583149158337</v>
      </c>
      <c r="P52" s="2081">
        <f t="shared" si="20"/>
        <v>-427.43086689033265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-0.51683003456603882</v>
      </c>
      <c r="N53" s="2511">
        <f t="shared" si="21"/>
        <v>-0.48320398505884493</v>
      </c>
      <c r="O53" s="2168">
        <f t="shared" si="21"/>
        <v>-0.51728078375014608</v>
      </c>
      <c r="P53" s="2168">
        <f t="shared" si="21"/>
        <v>-0.5972749612446745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1934.9244343469163</v>
      </c>
      <c r="N55" s="2038">
        <f t="shared" si="22"/>
        <v>835.67773596500058</v>
      </c>
      <c r="O55" s="2038">
        <f t="shared" si="22"/>
        <v>671.81583149158337</v>
      </c>
      <c r="P55" s="2038">
        <f t="shared" si="22"/>
        <v>427.43086689033265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10.804331872603044</v>
      </c>
      <c r="N56" s="2103">
        <f t="shared" si="24"/>
        <v>10.369557519362813</v>
      </c>
      <c r="O56" s="2103">
        <f t="shared" si="24"/>
        <v>10.718057839303025</v>
      </c>
      <c r="P56" s="2103">
        <f t="shared" si="24"/>
        <v>11.933553725668597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29.200896952981193</v>
      </c>
      <c r="N57" s="3427">
        <f>IF($N$7=0,0,N$55/$N$9)</f>
        <v>28.025831133413003</v>
      </c>
      <c r="O57" s="3427">
        <f>IF($O$7=0,0,O$55/$O$9)</f>
        <v>28.967723890008177</v>
      </c>
      <c r="P57" s="3427">
        <f>IF($P$7=0,0,P$55/$P$9)</f>
        <v>32.252847907212427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64.825991235618261</v>
      </c>
      <c r="N58" s="2134">
        <f t="shared" si="25"/>
        <v>62.21734511617688</v>
      </c>
      <c r="O58" s="2134">
        <f t="shared" si="25"/>
        <v>64.308347035818159</v>
      </c>
      <c r="P58" s="2134">
        <f t="shared" si="25"/>
        <v>71.601322354011586</v>
      </c>
      <c r="Q58" s="2134">
        <f t="shared" si="25"/>
        <v>0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0.51683003456603882</v>
      </c>
      <c r="N59" s="2136">
        <f t="shared" si="25"/>
        <v>0.48320398505884493</v>
      </c>
      <c r="O59" s="2136">
        <f t="shared" si="25"/>
        <v>0.51728078375014608</v>
      </c>
      <c r="P59" s="2136">
        <f t="shared" si="25"/>
        <v>0.5972749612446745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0.14356389849056633</v>
      </c>
      <c r="N60" s="2136">
        <f t="shared" si="26"/>
        <v>0.13422332918301247</v>
      </c>
      <c r="O60" s="2136">
        <f t="shared" si="26"/>
        <v>0.14368910659726281</v>
      </c>
      <c r="P60" s="2136">
        <f t="shared" si="26"/>
        <v>0.16590971145685404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0.51683003456603882</v>
      </c>
      <c r="N61" s="2136">
        <f t="shared" si="27"/>
        <v>0.48320398505884493</v>
      </c>
      <c r="O61" s="2136">
        <f t="shared" si="27"/>
        <v>0.51728078375014608</v>
      </c>
      <c r="P61" s="2136">
        <f t="shared" si="27"/>
        <v>0.5972749612446745</v>
      </c>
      <c r="Q61" s="2136">
        <f t="shared" si="27"/>
        <v>0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0.31009802073962328</v>
      </c>
      <c r="N62" s="2513">
        <f t="shared" si="28"/>
        <v>0.28992239103530693</v>
      </c>
      <c r="O62" s="2513">
        <f t="shared" si="28"/>
        <v>0.31036847025008757</v>
      </c>
      <c r="P62" s="2513">
        <f t="shared" si="28"/>
        <v>0.35836497674680468</v>
      </c>
      <c r="Q62" s="2513">
        <f t="shared" si="28"/>
        <v>0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1770.0598510135831</v>
      </c>
      <c r="N63" s="1769">
        <f t="shared" si="29"/>
        <v>761.4886734650006</v>
      </c>
      <c r="O63" s="1769">
        <f t="shared" si="29"/>
        <v>614.11322732491669</v>
      </c>
      <c r="P63" s="1769">
        <f t="shared" si="29"/>
        <v>394.45795022366599</v>
      </c>
      <c r="Q63" s="1769">
        <f t="shared" si="29"/>
        <v>0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26.712844384283464</v>
      </c>
      <c r="N64" s="3427">
        <f>IF($N$7=0,0,N$63/$N$9)</f>
        <v>25.537778564715275</v>
      </c>
      <c r="O64" s="3427">
        <f>IF($O$7=0,0,O$63/$O$9)</f>
        <v>26.479671321310445</v>
      </c>
      <c r="P64" s="3427">
        <f>IF($P$7=0,0,P$63/$P$9)</f>
        <v>29.764795338514695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0.47279370591652148</v>
      </c>
      <c r="N65" s="2169">
        <f t="shared" si="30"/>
        <v>0.44030652697784955</v>
      </c>
      <c r="O65" s="2169">
        <f t="shared" si="30"/>
        <v>0.47285127359482942</v>
      </c>
      <c r="P65" s="2169">
        <f t="shared" si="30"/>
        <v>0.55119991367619803</v>
      </c>
      <c r="Q65" s="2169">
        <f t="shared" si="30"/>
        <v>0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0.2836762235499129</v>
      </c>
      <c r="N66" s="2171">
        <f t="shared" si="30"/>
        <v>0.26418391618670972</v>
      </c>
      <c r="O66" s="2171">
        <f t="shared" si="30"/>
        <v>0.28371076415689761</v>
      </c>
      <c r="P66" s="2171">
        <f t="shared" si="30"/>
        <v>0.33071994820571882</v>
      </c>
      <c r="Q66" s="2171">
        <f t="shared" si="30"/>
        <v>0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581.05294328197965</v>
      </c>
      <c r="N68" s="1772">
        <f t="shared" si="31"/>
        <v>261.36735531856095</v>
      </c>
      <c r="O68" s="1772">
        <f t="shared" si="31"/>
        <v>203.35166030068149</v>
      </c>
      <c r="P68" s="1772">
        <f t="shared" si="31"/>
        <v>116.33392766273724</v>
      </c>
      <c r="Q68" s="1772">
        <f t="shared" si="31"/>
        <v>0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0.15520276008219644</v>
      </c>
      <c r="N69" s="2031">
        <f t="shared" si="32"/>
        <v>0.15112733320384775</v>
      </c>
      <c r="O69" s="2031">
        <f t="shared" si="32"/>
        <v>0.1565755096656245</v>
      </c>
      <c r="P69" s="2031">
        <f t="shared" si="32"/>
        <v>0.16256042209050317</v>
      </c>
      <c r="Q69" s="2031">
        <f t="shared" si="32"/>
        <v>0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1171.1869077316037</v>
      </c>
      <c r="N70" s="1769">
        <f t="shared" si="33"/>
        <v>492.10231814643959</v>
      </c>
      <c r="O70" s="1769">
        <f t="shared" si="33"/>
        <v>404.52456702423524</v>
      </c>
      <c r="P70" s="1769">
        <f t="shared" si="33"/>
        <v>274.56002256092876</v>
      </c>
      <c r="Q70" s="1769">
        <f t="shared" si="33"/>
        <v>0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0.31283111591410634</v>
      </c>
      <c r="N71" s="2168">
        <f t="shared" si="34"/>
        <v>0.28454246290344387</v>
      </c>
      <c r="O71" s="2168">
        <f t="shared" si="34"/>
        <v>0.31147343552755563</v>
      </c>
      <c r="P71" s="2168">
        <f t="shared" si="34"/>
        <v>0.38365929916916969</v>
      </c>
      <c r="Q71" s="2168">
        <f t="shared" si="34"/>
        <v>0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55:B71"/>
    <mergeCell ref="B47:B53"/>
    <mergeCell ref="B28:B34"/>
    <mergeCell ref="B36:B45"/>
    <mergeCell ref="F3:G3"/>
    <mergeCell ref="D19:D23"/>
    <mergeCell ref="B3:B5"/>
    <mergeCell ref="B19:B27"/>
    <mergeCell ref="D24:D26"/>
    <mergeCell ref="B1:H1"/>
    <mergeCell ref="L1:N1"/>
    <mergeCell ref="O1:R1"/>
    <mergeCell ref="I3:M3"/>
    <mergeCell ref="D32:K32"/>
    <mergeCell ref="B6:B13"/>
    <mergeCell ref="D28:K28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27&amp;9
&amp;R&amp;12&amp;F
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1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R1" sqref="R1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1613</v>
      </c>
      <c r="L2" s="4312"/>
      <c r="M2" s="4312"/>
      <c r="N2" s="4312"/>
      <c r="O2" s="4312"/>
      <c r="P2" s="4312"/>
      <c r="Q2" s="4313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1875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90</v>
      </c>
      <c r="L6" s="1676"/>
      <c r="M6" s="520">
        <f>$K$6*M7/100</f>
        <v>31.5</v>
      </c>
      <c r="N6" s="521">
        <f>$K$6*N7/100</f>
        <v>22.5</v>
      </c>
      <c r="O6" s="521">
        <f>$K$6*O7/100</f>
        <v>18</v>
      </c>
      <c r="P6" s="521">
        <f>$K$6*P7/100</f>
        <v>18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35</v>
      </c>
      <c r="N7" s="466">
        <v>25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/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35</v>
      </c>
      <c r="Q10" s="445"/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37</v>
      </c>
      <c r="Q11" s="490"/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>
        <v>6</v>
      </c>
      <c r="Q12" s="646"/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85.5</v>
      </c>
      <c r="L14" s="1684"/>
      <c r="M14" s="251">
        <f>M6*(100-M8)/100</f>
        <v>29.925000000000001</v>
      </c>
      <c r="N14" s="252">
        <f>N6*(100-N8)/100</f>
        <v>21.375</v>
      </c>
      <c r="O14" s="252">
        <f>O6*(100-O8)/100</f>
        <v>17.100000000000001</v>
      </c>
      <c r="P14" s="252">
        <f>P6*(100-P8)/100</f>
        <v>17.100000000000001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244.28571428571431</v>
      </c>
      <c r="L15" s="1684"/>
      <c r="M15" s="251">
        <f>IF(M10=0,0,M14/M10*100)</f>
        <v>85.5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48.857142857142861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40.714285714285722</v>
      </c>
      <c r="L16" s="4311"/>
      <c r="M16" s="2419">
        <f>IF(V5&lt;3,0,IF(M12=0,0,M15/M12))</f>
        <v>14.25</v>
      </c>
      <c r="N16" s="2420">
        <f>IF(W5&lt;3,0,IF(N12=0,0,N15/N12))</f>
        <v>10.178571428571429</v>
      </c>
      <c r="O16" s="2420">
        <f>IF(X5&lt;3,0,IF(O12=0,0,O15/O12))</f>
        <v>8.1428571428571441</v>
      </c>
      <c r="P16" s="2420">
        <f>IF(Y5&lt;3,0,IF(P12=0,0,P15/P12))</f>
        <v>8.1428571428571441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79.515000000000015</v>
      </c>
      <c r="L17" s="1686"/>
      <c r="M17" s="251">
        <f>M14*(100-M9)/100</f>
        <v>27.830249999999999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15.903000000000002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214.90540540540542</v>
      </c>
      <c r="L18" s="1686"/>
      <c r="M18" s="251">
        <f>IF(M11=0,0,M17/M11*100)</f>
        <v>75.216891891891891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42.981081081081086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12.536148648648648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7.1635135135135144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6.1149999999999993</v>
      </c>
      <c r="L20" s="1689"/>
      <c r="M20" s="312">
        <v>6.3</v>
      </c>
      <c r="N20" s="313">
        <v>6.2</v>
      </c>
      <c r="O20" s="313">
        <v>6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10.191666666666666</v>
      </c>
      <c r="L21" s="1689"/>
      <c r="M21" s="515">
        <f>IF($G21=0,0,M20/$G21)</f>
        <v>10.5</v>
      </c>
      <c r="N21" s="516">
        <f>IF($G21=0,0,N20/$G21)</f>
        <v>10.333333333333334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4862.3422499999997</v>
      </c>
      <c r="L22" s="1690"/>
      <c r="M22" s="446">
        <f t="shared" ref="M22:Q23" si="1">M$17*M20*10</f>
        <v>1753.3057499999998</v>
      </c>
      <c r="N22" s="448">
        <f t="shared" si="1"/>
        <v>1232.4825000000001</v>
      </c>
      <c r="O22" s="448">
        <f t="shared" si="1"/>
        <v>954.18000000000006</v>
      </c>
      <c r="P22" s="448">
        <f t="shared" si="1"/>
        <v>922.37400000000002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8103.9037500000004</v>
      </c>
      <c r="L23" s="1691"/>
      <c r="M23" s="447">
        <f t="shared" si="1"/>
        <v>2922.17625</v>
      </c>
      <c r="N23" s="449">
        <f t="shared" si="1"/>
        <v>2054.1375000000003</v>
      </c>
      <c r="O23" s="449">
        <f t="shared" si="1"/>
        <v>1590.3000000000002</v>
      </c>
      <c r="P23" s="449">
        <f t="shared" si="1"/>
        <v>1537.2900000000002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703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>$L26*M7/100</f>
        <v>0</v>
      </c>
      <c r="N26" s="254">
        <f>$L26*N7/100</f>
        <v>0</v>
      </c>
      <c r="O26" s="254">
        <f>$L26*O7/100</f>
        <v>0</v>
      </c>
      <c r="P26" s="254">
        <f>$L26*P7/100</f>
        <v>0</v>
      </c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>$L27*M7/100</f>
        <v>0</v>
      </c>
      <c r="N27" s="254">
        <f>$L27*N7/100</f>
        <v>0</v>
      </c>
      <c r="O27" s="254">
        <f>$L27*O7/100</f>
        <v>0</v>
      </c>
      <c r="P27" s="254">
        <f>$L27*P7/100</f>
        <v>0</v>
      </c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>$L28*M7/100</f>
        <v>0</v>
      </c>
      <c r="N28" s="254">
        <f>$L28*N7/100</f>
        <v>0</v>
      </c>
      <c r="O28" s="254">
        <f>$L28*O7/100</f>
        <v>0</v>
      </c>
      <c r="P28" s="254">
        <f>$L28*P7/100</f>
        <v>0</v>
      </c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4"/>
      <c r="L29" s="1631">
        <f>IF(B29=0,0,VLOOKUP(B29,Ausglleist!$C$8:$O$44,13))</f>
        <v>0</v>
      </c>
      <c r="M29" s="253">
        <f>$L29*M7/100</f>
        <v>0</v>
      </c>
      <c r="N29" s="254">
        <f>$L29*N7/100</f>
        <v>0</v>
      </c>
      <c r="O29" s="254">
        <f>$L29*O7/100</f>
        <v>0</v>
      </c>
      <c r="P29" s="254">
        <f>$L29*P7/100</f>
        <v>0</v>
      </c>
      <c r="Q29" s="3918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3919"/>
      <c r="L30" s="3920">
        <f>L31</f>
        <v>270</v>
      </c>
      <c r="M30" s="3921">
        <f>$L30*M7/100</f>
        <v>94.5</v>
      </c>
      <c r="N30" s="3922">
        <f>$L30*N7/100</f>
        <v>67.5</v>
      </c>
      <c r="O30" s="3922">
        <f>$L30*O7/100</f>
        <v>54</v>
      </c>
      <c r="P30" s="3922">
        <f>$L30*P7/100</f>
        <v>54</v>
      </c>
      <c r="Q30" s="3923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4123" t="str">
        <f>IF(B31=0,0,VLOOKUP(B31,Ausglleist!$R$8:$S$10,2))</f>
        <v>Zahlungsanspruch Ø</v>
      </c>
      <c r="E31" s="3990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8.238999999999999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4.7079999999999993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666.87242999999989</v>
      </c>
      <c r="M34" s="460">
        <f>$L34*M$7/100</f>
        <v>233.40535049999994</v>
      </c>
      <c r="N34" s="461">
        <f>$L34*N$7/100</f>
        <v>166.71810749999997</v>
      </c>
      <c r="O34" s="461">
        <f>$L34*O$7/100</f>
        <v>133.37448599999999</v>
      </c>
      <c r="P34" s="461">
        <f>$L34*P$7/100</f>
        <v>133.37448599999999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2.4</v>
      </c>
      <c r="I36" s="117">
        <v>-45</v>
      </c>
      <c r="J36" s="159"/>
      <c r="K36" s="1703">
        <f>H36*$K$14+I36</f>
        <v>160.19999999999999</v>
      </c>
      <c r="L36" s="1704">
        <f>K36*$F36</f>
        <v>275.15418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85.5</v>
      </c>
      <c r="L37" s="1704">
        <f>K37*$F37</f>
        <v>96.657749999999993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256.5</v>
      </c>
      <c r="L38" s="1704">
        <f>K38*$F38</f>
        <v>269.62424999999996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</v>
      </c>
      <c r="I39" s="120"/>
      <c r="J39" s="161"/>
      <c r="K39" s="1705">
        <f>H39*$K$14+I39</f>
        <v>42.75</v>
      </c>
      <c r="L39" s="1706">
        <f>K39*$F39</f>
        <v>25.436249999999998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4121"/>
      <c r="E42" s="4122"/>
      <c r="F42" s="4122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358.38330299104564</v>
      </c>
      <c r="M43" s="484">
        <f>SUM(Z46:Z56)</f>
        <v>109.20055965262597</v>
      </c>
      <c r="N43" s="484">
        <f>SUM(AA46:AA56)</f>
        <v>90.060616857761403</v>
      </c>
      <c r="O43" s="484">
        <f>SUM(AB46:AB56)</f>
        <v>79.561063240329133</v>
      </c>
      <c r="P43" s="484">
        <f>SUM(AC46:AC56)</f>
        <v>79.561063240329133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5">IF(M46&lt;&gt;0,M46*$H46,0)</f>
        <v>0.20499999999999999</v>
      </c>
      <c r="U46" s="479">
        <f t="shared" ref="U46:U56" si="6">IF(N46&lt;&gt;0,N46*$H46,0)</f>
        <v>0.20499999999999999</v>
      </c>
      <c r="V46" s="479">
        <f t="shared" ref="V46:V56" si="7">IF(O46&lt;&gt;0,O46*$H46,0)</f>
        <v>0.20499999999999999</v>
      </c>
      <c r="W46" s="479">
        <f t="shared" ref="W46:W56" si="8">IF(P46&lt;&gt;0,P46*$H46,0)</f>
        <v>0.20499999999999999</v>
      </c>
      <c r="X46" s="480">
        <f t="shared" ref="X46:X56" si="9">IF(Q46&lt;&gt;0,Q46*$H46,0)</f>
        <v>0</v>
      </c>
      <c r="Y46"/>
      <c r="Z46" s="478">
        <f t="shared" ref="Z46:Z56" si="10">IF(M46&lt;&gt;0,M46*$I46,0)</f>
        <v>2.9804792933999988</v>
      </c>
      <c r="AA46" s="479">
        <f t="shared" ref="AA46:AA56" si="11">IF(N46&lt;&gt;0,N46*$I46,0)</f>
        <v>2.9804792933999988</v>
      </c>
      <c r="AB46" s="479">
        <f t="shared" ref="AB46:AB56" si="12">IF(O46&lt;&gt;0,O46*$I46,0)</f>
        <v>2.9804792933999988</v>
      </c>
      <c r="AC46" s="479">
        <f t="shared" ref="AC46:AC56" si="13">IF(P46&lt;&gt;0,P46*$I46,0)</f>
        <v>2.9804792933999988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5"/>
        <v>0.12</v>
      </c>
      <c r="U47" s="479">
        <f t="shared" si="6"/>
        <v>0.12</v>
      </c>
      <c r="V47" s="479">
        <f t="shared" si="7"/>
        <v>0.12</v>
      </c>
      <c r="W47" s="479">
        <f t="shared" si="8"/>
        <v>0.12</v>
      </c>
      <c r="X47" s="480">
        <f t="shared" si="9"/>
        <v>0</v>
      </c>
      <c r="Y47"/>
      <c r="Z47" s="478">
        <f t="shared" si="10"/>
        <v>2.3643415375999997</v>
      </c>
      <c r="AA47" s="479">
        <f t="shared" si="11"/>
        <v>2.3643415375999997</v>
      </c>
      <c r="AB47" s="479">
        <f t="shared" si="12"/>
        <v>2.3643415375999997</v>
      </c>
      <c r="AC47" s="479">
        <f t="shared" si="13"/>
        <v>2.3643415375999997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4</v>
      </c>
      <c r="K48" s="1651">
        <f t="shared" si="3"/>
        <v>1.48</v>
      </c>
      <c r="L48" s="1704">
        <f t="shared" si="4"/>
        <v>21.802045630399999</v>
      </c>
      <c r="M48" s="317">
        <v>1</v>
      </c>
      <c r="N48" s="318">
        <v>1</v>
      </c>
      <c r="O48" s="318">
        <v>1</v>
      </c>
      <c r="P48" s="318">
        <v>1</v>
      </c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0.37</v>
      </c>
      <c r="W48" s="479">
        <f t="shared" si="8"/>
        <v>0.37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5.4505114075999996</v>
      </c>
      <c r="AC48" s="479">
        <f t="shared" si="13"/>
        <v>5.4505114075999996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3.9</v>
      </c>
      <c r="K49" s="1651">
        <f t="shared" si="3"/>
        <v>1.17</v>
      </c>
      <c r="L49" s="1704">
        <f t="shared" si="4"/>
        <v>72.507413159999999</v>
      </c>
      <c r="M49" s="317">
        <v>1.1000000000000001</v>
      </c>
      <c r="N49" s="318">
        <v>1</v>
      </c>
      <c r="O49" s="318">
        <v>0.9</v>
      </c>
      <c r="P49" s="318">
        <v>0.9</v>
      </c>
      <c r="Q49" s="319"/>
      <c r="R49" s="542"/>
      <c r="S49" s="542"/>
      <c r="T49" s="478">
        <f t="shared" si="5"/>
        <v>0.33</v>
      </c>
      <c r="U49" s="479">
        <f t="shared" si="6"/>
        <v>0.3</v>
      </c>
      <c r="V49" s="479">
        <f t="shared" si="7"/>
        <v>0.27</v>
      </c>
      <c r="W49" s="479">
        <f t="shared" si="8"/>
        <v>0.27</v>
      </c>
      <c r="X49" s="480">
        <f t="shared" si="9"/>
        <v>0</v>
      </c>
      <c r="Y49"/>
      <c r="Z49" s="478">
        <f t="shared" si="10"/>
        <v>20.450808840000001</v>
      </c>
      <c r="AA49" s="479">
        <f t="shared" si="11"/>
        <v>18.5916444</v>
      </c>
      <c r="AB49" s="479">
        <f t="shared" si="12"/>
        <v>16.732479959999999</v>
      </c>
      <c r="AC49" s="479">
        <f t="shared" si="13"/>
        <v>16.732479959999999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4</v>
      </c>
      <c r="K50" s="1651">
        <f t="shared" si="3"/>
        <v>1.4</v>
      </c>
      <c r="L50" s="1704">
        <f t="shared" si="4"/>
        <v>34.310301871999997</v>
      </c>
      <c r="M50" s="317">
        <v>1</v>
      </c>
      <c r="N50" s="318">
        <v>1</v>
      </c>
      <c r="O50" s="318">
        <v>1</v>
      </c>
      <c r="P50" s="318">
        <v>1</v>
      </c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0.35</v>
      </c>
      <c r="W50" s="479">
        <f t="shared" si="8"/>
        <v>0.35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8.5775754679999991</v>
      </c>
      <c r="AC50" s="479">
        <f t="shared" si="13"/>
        <v>8.5775754679999991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4</v>
      </c>
      <c r="K51" s="1651">
        <f t="shared" si="3"/>
        <v>1.04</v>
      </c>
      <c r="L51" s="1704">
        <f t="shared" si="4"/>
        <v>35.576475456000004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0.26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8.8941188640000011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36</v>
      </c>
      <c r="C52" s="104"/>
      <c r="D52" s="137"/>
      <c r="E52" s="8"/>
      <c r="F52" s="8"/>
      <c r="G52" s="468" t="str">
        <f>IF($B52=0,0,VLOOKUP($B52,Arbeitsgänge!$B$27:$T$80,7))</f>
        <v>200 kw</v>
      </c>
      <c r="H52" s="507">
        <f>IF($B52=0,0,VLOOKUP($B52,Arbeitsgänge!$B$27:$O$79,12))</f>
        <v>0.5</v>
      </c>
      <c r="I52" s="469">
        <f>IF($B52=0,0,VLOOKUP($B52,Arbeitsgänge!$B$27:$T$80,14))</f>
        <v>33.706020199999998</v>
      </c>
      <c r="J52" s="593">
        <f t="shared" si="2"/>
        <v>3.1725417439703159</v>
      </c>
      <c r="K52" s="1651">
        <f t="shared" si="3"/>
        <v>1.5862708719851579</v>
      </c>
      <c r="L52" s="1704">
        <f t="shared" si="4"/>
        <v>106.93375610760668</v>
      </c>
      <c r="M52" s="317">
        <f>M15/77</f>
        <v>1.1103896103896105</v>
      </c>
      <c r="N52" s="318">
        <f>N15/77</f>
        <v>0.79313543599257896</v>
      </c>
      <c r="O52" s="318">
        <f>O15/77</f>
        <v>0.63450834879406315</v>
      </c>
      <c r="P52" s="318">
        <f>P15/77</f>
        <v>0.63450834879406315</v>
      </c>
      <c r="Q52" s="319"/>
      <c r="R52" s="542"/>
      <c r="S52" s="542"/>
      <c r="T52" s="478">
        <f t="shared" si="5"/>
        <v>0.55519480519480524</v>
      </c>
      <c r="U52" s="479">
        <f t="shared" si="6"/>
        <v>0.39656771799628948</v>
      </c>
      <c r="V52" s="479">
        <f t="shared" si="7"/>
        <v>0.31725417439703157</v>
      </c>
      <c r="W52" s="479">
        <f t="shared" si="8"/>
        <v>0.31725417439703157</v>
      </c>
      <c r="X52" s="480">
        <f t="shared" si="9"/>
        <v>0</v>
      </c>
      <c r="Y52"/>
      <c r="Z52" s="478">
        <f t="shared" si="10"/>
        <v>37.426814637662339</v>
      </c>
      <c r="AA52" s="479">
        <f t="shared" si="11"/>
        <v>26.733439026901671</v>
      </c>
      <c r="AB52" s="479">
        <f t="shared" si="12"/>
        <v>21.386751221521337</v>
      </c>
      <c r="AC52" s="479">
        <f t="shared" si="13"/>
        <v>21.386751221521337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3.1725417439703159</v>
      </c>
      <c r="K53" s="1651">
        <f t="shared" si="3"/>
        <v>2.538033395176253</v>
      </c>
      <c r="L53" s="1704">
        <f t="shared" si="4"/>
        <v>65.874027441038976</v>
      </c>
      <c r="M53" s="317">
        <f>M15/77</f>
        <v>1.1103896103896105</v>
      </c>
      <c r="N53" s="318">
        <f>N15/77</f>
        <v>0.79313543599257896</v>
      </c>
      <c r="O53" s="318">
        <f>O15/77</f>
        <v>0.63450834879406315</v>
      </c>
      <c r="P53" s="318">
        <f>P15/77</f>
        <v>0.63450834879406315</v>
      </c>
      <c r="Q53" s="319"/>
      <c r="R53" s="542"/>
      <c r="S53" s="542"/>
      <c r="T53" s="478">
        <f t="shared" si="5"/>
        <v>0.88831168831168839</v>
      </c>
      <c r="U53" s="479">
        <f t="shared" si="6"/>
        <v>0.63450834879406326</v>
      </c>
      <c r="V53" s="479">
        <f t="shared" si="7"/>
        <v>0.50760667903525059</v>
      </c>
      <c r="W53" s="479">
        <f t="shared" si="8"/>
        <v>0.50760667903525059</v>
      </c>
      <c r="X53" s="480">
        <f t="shared" si="9"/>
        <v>0</v>
      </c>
      <c r="Y53"/>
      <c r="Z53" s="478">
        <f t="shared" si="10"/>
        <v>23.055909604363638</v>
      </c>
      <c r="AA53" s="479">
        <f t="shared" si="11"/>
        <v>16.468506860259744</v>
      </c>
      <c r="AB53" s="479">
        <f t="shared" si="12"/>
        <v>13.174805488207793</v>
      </c>
      <c r="AC53" s="479">
        <f t="shared" si="13"/>
        <v>13.174805488207793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10.514304267161409</v>
      </c>
      <c r="L57" s="1716"/>
      <c r="M57" s="278">
        <f>SUM(T46:T56)</f>
        <v>3.0785064935064934</v>
      </c>
      <c r="N57" s="508">
        <f>SUM(U46:U56)</f>
        <v>2.6360760667903524</v>
      </c>
      <c r="O57" s="508">
        <f>SUM(V46:V56)</f>
        <v>2.3998608534322821</v>
      </c>
      <c r="P57" s="508">
        <f>SUM(W46:W56)</f>
        <v>2.3998608534322821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18.925747680890538</v>
      </c>
      <c r="L58" s="1718"/>
      <c r="M58" s="270">
        <f>IF(M57+(M57*$G$58/100)&gt;M57+10,M57+10,M57+(M57*$G$58/100))</f>
        <v>5.541311688311688</v>
      </c>
      <c r="N58" s="509">
        <f>IF(N57+(N57*$G$58/100)&gt;(N57+10),N57+10,N57+(N57*$G$58/100))</f>
        <v>4.7449369202226341</v>
      </c>
      <c r="O58" s="509">
        <f>IF(O57+(O57*$G$58/100)&gt;(O57+10),O57+10,O57+(O57*$G$58/100))</f>
        <v>4.319749536178108</v>
      </c>
      <c r="P58" s="509">
        <f>P57+P57*$G$58/100</f>
        <v>4.319749536178108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15.469999999999999</v>
      </c>
      <c r="M59" s="253">
        <f>SUM(T61:T63)</f>
        <v>3.8674999999999997</v>
      </c>
      <c r="N59" s="254">
        <f>SUM(U61:U63)</f>
        <v>3.8674999999999997</v>
      </c>
      <c r="O59" s="254">
        <f>SUM(V61:V63)</f>
        <v>3.8674999999999997</v>
      </c>
      <c r="P59" s="254">
        <f>SUM(W61:W63)</f>
        <v>3.8674999999999997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3060"/>
      <c r="F61" s="4032"/>
      <c r="G61" s="3060">
        <v>65</v>
      </c>
      <c r="H61" s="4031">
        <f>G61*(100+$H$59)/100</f>
        <v>77.349999999999994</v>
      </c>
      <c r="I61" s="3667"/>
      <c r="J61" s="3095">
        <f>SUM(M61:Q61)</f>
        <v>0.2</v>
      </c>
      <c r="K61" s="2618"/>
      <c r="L61" s="2619">
        <f>J61*H61</f>
        <v>15.469999999999999</v>
      </c>
      <c r="M61" s="3111">
        <v>0.05</v>
      </c>
      <c r="N61" s="3088">
        <v>0.05</v>
      </c>
      <c r="O61" s="3088">
        <v>0.05</v>
      </c>
      <c r="P61" s="3088">
        <v>0.05</v>
      </c>
      <c r="Q61" s="2620"/>
      <c r="R61" s="542"/>
      <c r="S61" s="542"/>
      <c r="T61" s="594">
        <f>IF(M61&lt;&gt;0,M61*$H61,0)</f>
        <v>3.8674999999999997</v>
      </c>
      <c r="U61" s="594">
        <f t="shared" ref="U61:X63" si="15">IF(N61&lt;&gt;0,N61*$H61,0)</f>
        <v>3.8674999999999997</v>
      </c>
      <c r="V61" s="594">
        <f t="shared" si="15"/>
        <v>3.8674999999999997</v>
      </c>
      <c r="W61" s="594">
        <f t="shared" si="15"/>
        <v>3.8674999999999997</v>
      </c>
      <c r="X61" s="594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20"/>
      <c r="E62" s="3081"/>
      <c r="F62" s="3081"/>
      <c r="G62" s="4022"/>
      <c r="H62" s="4046"/>
      <c r="I62" s="4030"/>
      <c r="J62" s="3096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5"/>
        <v>0</v>
      </c>
      <c r="V62" s="594">
        <f t="shared" si="15"/>
        <v>0</v>
      </c>
      <c r="W62" s="594">
        <f t="shared" si="15"/>
        <v>0</v>
      </c>
      <c r="X62" s="594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05" t="s">
        <v>708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669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5"/>
        <v>0</v>
      </c>
      <c r="V63" s="594">
        <f t="shared" si="15"/>
        <v>0</v>
      </c>
      <c r="W63" s="594">
        <f t="shared" si="15"/>
        <v>0</v>
      </c>
      <c r="X63" s="594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41.65</v>
      </c>
      <c r="M67" s="253">
        <f t="shared" si="16"/>
        <v>14.577500000000001</v>
      </c>
      <c r="N67" s="254">
        <f t="shared" si="16"/>
        <v>10.4125</v>
      </c>
      <c r="O67" s="254">
        <f t="shared" si="16"/>
        <v>8.33</v>
      </c>
      <c r="P67" s="254">
        <f t="shared" si="16"/>
        <v>8.33</v>
      </c>
      <c r="Q67" s="257">
        <f t="shared" si="16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14.577500000000001</v>
      </c>
      <c r="N69" s="933">
        <f t="shared" si="17"/>
        <v>10.4125</v>
      </c>
      <c r="O69" s="933">
        <f t="shared" si="17"/>
        <v>8.33</v>
      </c>
      <c r="P69" s="933">
        <f t="shared" si="17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4130"/>
      <c r="D71" s="4124"/>
      <c r="E71" s="4125"/>
      <c r="F71" s="4126"/>
      <c r="G71" s="4127"/>
      <c r="H71" s="4128"/>
      <c r="I71" s="4129"/>
      <c r="J71" s="1387"/>
      <c r="K71" s="1729"/>
      <c r="L71" s="1661"/>
      <c r="M71" s="4131"/>
      <c r="N71" s="4132"/>
      <c r="O71" s="4132"/>
      <c r="P71" s="4132"/>
      <c r="Q71" s="4133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40.714285714285722</v>
      </c>
      <c r="L77" s="3321">
        <f t="shared" si="18"/>
        <v>0</v>
      </c>
      <c r="M77" s="3321">
        <f t="shared" si="18"/>
        <v>14.25</v>
      </c>
      <c r="N77" s="3321">
        <f t="shared" si="18"/>
        <v>10.178571428571429</v>
      </c>
      <c r="O77" s="3321">
        <f t="shared" si="18"/>
        <v>8.1428571428571441</v>
      </c>
      <c r="P77" s="3321">
        <f t="shared" si="18"/>
        <v>8.1428571428571441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197.83750000000003</v>
      </c>
      <c r="L79" s="3321"/>
      <c r="M79" s="3321">
        <f>M78*M16</f>
        <v>69.243125000000006</v>
      </c>
      <c r="N79" s="3321">
        <f>N78*N16</f>
        <v>49.459375000000001</v>
      </c>
      <c r="O79" s="3321">
        <f>O78*O16</f>
        <v>39.56750000000001</v>
      </c>
      <c r="P79" s="3321">
        <f>P78*P16</f>
        <v>39.56750000000001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28&amp;9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41" r:id="rId4" name="Drop Down 1">
              <controlPr defaultSize="0" print="0" autoFill="0" autoLine="0" autoPict="0">
                <anchor moveWithCells="1">
                  <from>
                    <xdr:col>12</xdr:col>
                    <xdr:colOff>228600</xdr:colOff>
                    <xdr:row>4</xdr:row>
                    <xdr:rowOff>76200</xdr:rowOff>
                  </from>
                  <to>
                    <xdr:col>12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2" r:id="rId5" name="Drop Down 2">
              <controlPr defaultSize="0" print="0" autoFill="0" autoLine="0" autoPict="0">
                <anchor moveWithCells="1">
                  <from>
                    <xdr:col>13</xdr:col>
                    <xdr:colOff>180975</xdr:colOff>
                    <xdr:row>4</xdr:row>
                    <xdr:rowOff>66675</xdr:rowOff>
                  </from>
                  <to>
                    <xdr:col>13</xdr:col>
                    <xdr:colOff>466725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3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95250</xdr:rowOff>
                  </from>
                  <to>
                    <xdr:col>14</xdr:col>
                    <xdr:colOff>400050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4" r:id="rId7" name="Drop Down 4">
              <controlPr defaultSize="0" print="0" autoFill="0" autoLine="0" autoPict="0">
                <anchor moveWithCells="1">
                  <from>
                    <xdr:col>15</xdr:col>
                    <xdr:colOff>161925</xdr:colOff>
                    <xdr:row>4</xdr:row>
                    <xdr:rowOff>57150</xdr:rowOff>
                  </from>
                  <to>
                    <xdr:col>15</xdr:col>
                    <xdr:colOff>447675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5" r:id="rId8" name="Drop Down 5">
              <controlPr defaultSize="0" print="0" autoFill="0" autoLine="0" autoPict="0">
                <anchor moveWithCells="1">
                  <from>
                    <xdr:col>16</xdr:col>
                    <xdr:colOff>123825</xdr:colOff>
                    <xdr:row>4</xdr:row>
                    <xdr:rowOff>66675</xdr:rowOff>
                  </from>
                  <to>
                    <xdr:col>16</xdr:col>
                    <xdr:colOff>409575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6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7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8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9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0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504825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1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504825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2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504825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3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504825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4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504825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5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6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'5)GS 4Nutz. eig.mech(a)'!H2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'5)GS 4Nutz. eig.mech(a)'!K2</f>
        <v>Wiese; 4 Nutzungen, eigen mech, 4 x Silage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'5)GS 4Nutz. eig.mech(a)'!H3</f>
        <v>4 Nutzungen, eigene Ernte, Ladewagen,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'5)GS 4Nutz. eig.mech(a)'!M5</f>
        <v>Silage</v>
      </c>
      <c r="O5" s="1568" t="str">
        <f>'5)GS 4Nutz. eig.mech(a)'!N5</f>
        <v>Silage</v>
      </c>
      <c r="P5" s="1568" t="str">
        <f>'5)GS 4Nutz. eig.mech(a)'!O5</f>
        <v>Silage</v>
      </c>
      <c r="Q5" s="1568" t="str">
        <f>'5)GS 4Nutz. eig.mech(a)'!P5</f>
        <v>Silage</v>
      </c>
      <c r="R5" s="1573" t="str">
        <f>'5)GS 4Nutz. eig.mech(a)'!Q5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'5)GS 4Nutz. eig.mech(a)'!K6</f>
        <v>90</v>
      </c>
      <c r="N6" s="1821">
        <f>'5)GS 4Nutz. eig.mech(a)'!M6</f>
        <v>31.5</v>
      </c>
      <c r="O6" s="1821">
        <f>'5)GS 4Nutz. eig.mech(a)'!N6</f>
        <v>22.5</v>
      </c>
      <c r="P6" s="1821">
        <f>'5)GS 4Nutz. eig.mech(a)'!O6</f>
        <v>18</v>
      </c>
      <c r="Q6" s="1821">
        <f>'5)GS 4Nutz. eig.mech(a)'!P6</f>
        <v>18</v>
      </c>
      <c r="R6" s="1822">
        <f>'5)GS 4Nutz. eig.mech(a)'!Q6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'5)GS 4Nutz. eig.mech(a)'!K14</f>
        <v>85.5</v>
      </c>
      <c r="N7" s="452">
        <f>'5)GS 4Nutz. eig.mech(a)'!M14</f>
        <v>29.925000000000001</v>
      </c>
      <c r="O7" s="452">
        <f>'5)GS 4Nutz. eig.mech(a)'!N14</f>
        <v>21.375</v>
      </c>
      <c r="P7" s="452">
        <f>'5)GS 4Nutz. eig.mech(a)'!O14</f>
        <v>17.100000000000001</v>
      </c>
      <c r="Q7" s="452">
        <f>'5)GS 4Nutz. eig.mech(a)'!P14</f>
        <v>17.100000000000001</v>
      </c>
      <c r="R7" s="1744">
        <f>'5)GS 4Nutz. eig.mech(a)'!Q14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'5)GS 4Nutz. eig.mech(a)'!K15</f>
        <v>244.28571428571431</v>
      </c>
      <c r="N8" s="473">
        <f>'5)GS 4Nutz. eig.mech(a)'!M15</f>
        <v>85.5</v>
      </c>
      <c r="O8" s="473">
        <f>'5)GS 4Nutz. eig.mech(a)'!N15</f>
        <v>61.071428571428577</v>
      </c>
      <c r="P8" s="473">
        <f>'5)GS 4Nutz. eig.mech(a)'!O15</f>
        <v>48.857142857142861</v>
      </c>
      <c r="Q8" s="473">
        <f>'5)GS 4Nutz. eig.mech(a)'!P15</f>
        <v>48.857142857142861</v>
      </c>
      <c r="R8" s="1583">
        <f>'5)GS 4Nutz. eig.mech(a)'!Q15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'5)GS 4Nutz. eig.mech(a)'!K17</f>
        <v>79.515000000000015</v>
      </c>
      <c r="N9" s="452">
        <f>'5)GS 4Nutz. eig.mech(a)'!M17</f>
        <v>27.830249999999999</v>
      </c>
      <c r="O9" s="452">
        <f>'5)GS 4Nutz. eig.mech(a)'!N17</f>
        <v>19.87875</v>
      </c>
      <c r="P9" s="452">
        <f>'5)GS 4Nutz. eig.mech(a)'!O17</f>
        <v>15.903000000000002</v>
      </c>
      <c r="Q9" s="452">
        <f>'5)GS 4Nutz. eig.mech(a)'!P17</f>
        <v>15.903000000000002</v>
      </c>
      <c r="R9" s="1744">
        <f>'5)GS 4Nutz. eig.mech(a)'!Q17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'5)GS 4Nutz. eig.mech(a)'!K18</f>
        <v>214.90540540540542</v>
      </c>
      <c r="N10" s="1748">
        <f>'5)GS 4Nutz. eig.mech(a)'!M18</f>
        <v>75.216891891891891</v>
      </c>
      <c r="O10" s="1748">
        <f>'5)GS 4Nutz. eig.mech(a)'!N18</f>
        <v>53.726351351351354</v>
      </c>
      <c r="P10" s="1748">
        <f>'5)GS 4Nutz. eig.mech(a)'!O18</f>
        <v>42.981081081081086</v>
      </c>
      <c r="Q10" s="1748">
        <f>'5)GS 4Nutz. eig.mech(a)'!P18</f>
        <v>42.981081081081086</v>
      </c>
      <c r="R10" s="1745">
        <f>'5)GS 4Nutz. eig.mech(a)'!Q18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'5)GS 4Nutz. eig.mech(a)'!K19</f>
        <v>35.817567567567565</v>
      </c>
      <c r="N11" s="2094">
        <f>'5)GS 4Nutz. eig.mech(a)'!M19</f>
        <v>12.536148648648648</v>
      </c>
      <c r="O11" s="2094">
        <f>'5)GS 4Nutz. eig.mech(a)'!N19</f>
        <v>8.9543918918918912</v>
      </c>
      <c r="P11" s="2094">
        <f>'5)GS 4Nutz. eig.mech(a)'!O19</f>
        <v>7.1635135135135144</v>
      </c>
      <c r="Q11" s="2094">
        <f>'5)GS 4Nutz. eig.mech(a)'!P19</f>
        <v>7.1635135135135144</v>
      </c>
      <c r="R11" s="2078">
        <f>'5)GS 4Nutz. eig.mech(a)'!Q19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'5)GS 4Nutz. eig.mech(a)'!K22</f>
        <v>4862.3422499999997</v>
      </c>
      <c r="N12" s="1176">
        <f>'5)GS 4Nutz. eig.mech(a)'!M22</f>
        <v>1753.3057499999998</v>
      </c>
      <c r="O12" s="1176">
        <f>'5)GS 4Nutz. eig.mech(a)'!N22</f>
        <v>1232.4825000000001</v>
      </c>
      <c r="P12" s="1176">
        <f>'5)GS 4Nutz. eig.mech(a)'!O22</f>
        <v>954.18000000000006</v>
      </c>
      <c r="Q12" s="1176">
        <f>'5)GS 4Nutz. eig.mech(a)'!P22</f>
        <v>922.37400000000002</v>
      </c>
      <c r="R12" s="1747">
        <f>'5)GS 4Nutz. eig.mech(a)'!Q22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'5)GS 4Nutz. eig.mech(a)'!K23</f>
        <v>8103.9037500000004</v>
      </c>
      <c r="N13" s="2065">
        <f>'5)GS 4Nutz. eig.mech(a)'!M23</f>
        <v>2922.17625</v>
      </c>
      <c r="O13" s="2065">
        <f>'5)GS 4Nutz. eig.mech(a)'!N23</f>
        <v>2054.1375000000003</v>
      </c>
      <c r="P13" s="2065">
        <f>'5)GS 4Nutz. eig.mech(a)'!O23</f>
        <v>1590.3000000000002</v>
      </c>
      <c r="Q13" s="2065">
        <f>'5)GS 4Nutz. eig.mech(a)'!P23</f>
        <v>1537.2900000000002</v>
      </c>
      <c r="R13" s="2067">
        <f>'5)GS 4Nutz. eig.mech(a)'!Q23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94.5</v>
      </c>
      <c r="O15" s="3340">
        <f t="shared" si="0"/>
        <v>67.5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94.5</v>
      </c>
      <c r="O17" s="2065">
        <f t="shared" si="2"/>
        <v>67.5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'5)GS 4Nutz. eig.mech(a)'!L32</f>
        <v>23.54</v>
      </c>
      <c r="N19" s="2071">
        <f>'5)GS 4Nutz. eig.mech(a)'!M32</f>
        <v>8.238999999999999</v>
      </c>
      <c r="O19" s="2071">
        <f>'5)GS 4Nutz. eig.mech(a)'!N32</f>
        <v>5.8849999999999998</v>
      </c>
      <c r="P19" s="2071">
        <f>'5)GS 4Nutz. eig.mech(a)'!O32</f>
        <v>4.7079999999999993</v>
      </c>
      <c r="Q19" s="2071">
        <f>'5)GS 4Nutz. eig.mech(a)'!P32</f>
        <v>4.7079999999999993</v>
      </c>
      <c r="R19" s="2073">
        <f>'5)GS 4Nutz. eig.mech(a)'!Q32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'5)GS 4Nutz. eig.mech(a)'!L34</f>
        <v>666.87242999999989</v>
      </c>
      <c r="N20" s="285">
        <f>'5)GS 4Nutz. eig.mech(a)'!M34</f>
        <v>233.40535049999994</v>
      </c>
      <c r="O20" s="285">
        <f>'5)GS 4Nutz. eig.mech(a)'!N34</f>
        <v>166.71810749999997</v>
      </c>
      <c r="P20" s="285">
        <f>'5)GS 4Nutz. eig.mech(a)'!O34</f>
        <v>133.37448599999999</v>
      </c>
      <c r="Q20" s="285">
        <f>'5)GS 4Nutz. eig.mech(a)'!P34</f>
        <v>133.37448599999999</v>
      </c>
      <c r="R20" s="1574">
        <f>'5)GS 4Nutz. eig.mech(a)'!Q34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'5)GS 4Nutz. eig.mech(a)'!L40</f>
        <v>0</v>
      </c>
      <c r="N21" s="285">
        <f>'5)GS 4Nutz. eig.mech(a)'!M40</f>
        <v>0</v>
      </c>
      <c r="O21" s="285">
        <f>'5)GS 4Nutz. eig.mech(a)'!N40</f>
        <v>0</v>
      </c>
      <c r="P21" s="285">
        <f>'5)GS 4Nutz. eig.mech(a)'!O40</f>
        <v>0</v>
      </c>
      <c r="Q21" s="285">
        <f>'5)GS 4Nutz. eig.mech(a)'!P40</f>
        <v>0</v>
      </c>
      <c r="R21" s="1574">
        <f>'5)GS 4Nutz. eig.mech(a)'!Q40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'5)GS 4Nutz. eig.mech(a)'!L67</f>
        <v>41.65</v>
      </c>
      <c r="N23" s="285">
        <f>'5)GS 4Nutz. eig.mech(a)'!M67</f>
        <v>14.577500000000001</v>
      </c>
      <c r="O23" s="285">
        <f>'5)GS 4Nutz. eig.mech(a)'!N67</f>
        <v>10.4125</v>
      </c>
      <c r="P23" s="285">
        <f>'5)GS 4Nutz. eig.mech(a)'!O67</f>
        <v>8.33</v>
      </c>
      <c r="Q23" s="285">
        <f>'5)GS 4Nutz. eig.mech(a)'!P67</f>
        <v>8.33</v>
      </c>
      <c r="R23" s="1574">
        <f>'5)GS 4Nutz. eig.mech(a)'!Q67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'5)GS 4Nutz. eig.mech(a)'!L43</f>
        <v>358.38330299104564</v>
      </c>
      <c r="N24" s="285">
        <f>'5)GS 4Nutz. eig.mech(a)'!M43</f>
        <v>109.20055965262597</v>
      </c>
      <c r="O24" s="285">
        <f>'5)GS 4Nutz. eig.mech(a)'!N43</f>
        <v>90.060616857761403</v>
      </c>
      <c r="P24" s="285">
        <f>'5)GS 4Nutz. eig.mech(a)'!O43</f>
        <v>79.561063240329133</v>
      </c>
      <c r="Q24" s="285">
        <f>'5)GS 4Nutz. eig.mech(a)'!P43</f>
        <v>79.561063240329133</v>
      </c>
      <c r="R24" s="1574">
        <f>'5)GS 4Nutz. eig.mech(a)'!Q43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'5)GS 4Nutz. eig.mech(a)'!L59</f>
        <v>15.469999999999999</v>
      </c>
      <c r="N25" s="285">
        <f>'5)GS 4Nutz. eig.mech(a)'!M59</f>
        <v>3.8674999999999997</v>
      </c>
      <c r="O25" s="285">
        <f>'5)GS 4Nutz. eig.mech(a)'!N59</f>
        <v>3.8674999999999997</v>
      </c>
      <c r="P25" s="285">
        <f>'5)GS 4Nutz. eig.mech(a)'!O59</f>
        <v>3.8674999999999997</v>
      </c>
      <c r="Q25" s="285">
        <f>'5)GS 4Nutz. eig.mech(a)'!P59</f>
        <v>3.8674999999999997</v>
      </c>
      <c r="R25" s="1574">
        <f>'5)GS 4Nutz. eig.mech(a)'!Q59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'5)GS 4Nutz. eig.mech(a)'!L64</f>
        <v>0</v>
      </c>
      <c r="N26" s="1979">
        <f>'5)GS 4Nutz. eig.mech(a)'!M64</f>
        <v>0</v>
      </c>
      <c r="O26" s="1979">
        <f>'5)GS 4Nutz. eig.mech(a)'!N64</f>
        <v>0</v>
      </c>
      <c r="P26" s="1979">
        <f>'5)GS 4Nutz. eig.mech(a)'!O64</f>
        <v>0</v>
      </c>
      <c r="Q26" s="1979">
        <f>'5)GS 4Nutz. eig.mech(a)'!P64</f>
        <v>0</v>
      </c>
      <c r="R26" s="1981">
        <f>'5)GS 4Nutz. eig.mech(a)'!Q64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1105.9157329910456</v>
      </c>
      <c r="N27" s="2407">
        <f t="shared" si="4"/>
        <v>369.28991015262596</v>
      </c>
      <c r="O27" s="2407">
        <f t="shared" si="4"/>
        <v>276.94372435776137</v>
      </c>
      <c r="P27" s="2407">
        <f t="shared" si="4"/>
        <v>229.84104924032914</v>
      </c>
      <c r="Q27" s="2407">
        <f t="shared" si="4"/>
        <v>229.84104924032914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-1105.9157329910456</v>
      </c>
      <c r="N28" s="1777">
        <f t="shared" si="5"/>
        <v>-369.28991015262596</v>
      </c>
      <c r="O28" s="1777">
        <f t="shared" si="5"/>
        <v>-276.94372435776137</v>
      </c>
      <c r="P28" s="1777">
        <f t="shared" si="5"/>
        <v>-229.84104924032914</v>
      </c>
      <c r="Q28" s="1777">
        <f t="shared" si="5"/>
        <v>-229.84104924032914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-0.22744506168627798</v>
      </c>
      <c r="N29" s="1874">
        <f t="shared" si="6"/>
        <v>-0.21062493529872128</v>
      </c>
      <c r="O29" s="1874">
        <f t="shared" si="6"/>
        <v>-0.22470398107702247</v>
      </c>
      <c r="P29" s="1874">
        <f t="shared" si="6"/>
        <v>-0.24087808300355187</v>
      </c>
      <c r="Q29" s="1874">
        <f t="shared" si="6"/>
        <v>-0.24918422379677782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94.5</v>
      </c>
      <c r="O30" s="2097">
        <f t="shared" si="7"/>
        <v>67.5</v>
      </c>
      <c r="P30" s="2097">
        <f t="shared" si="7"/>
        <v>54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'5)GS 4Nutz. eig.mech(a)'!L25</f>
        <v>0</v>
      </c>
      <c r="V30" s="3308">
        <f>'5)GS 4Nutz. eig.mech(a)'!M25</f>
        <v>0</v>
      </c>
      <c r="W30" s="3308">
        <f>'5)GS 4Nutz. eig.mech(a)'!N25</f>
        <v>0</v>
      </c>
      <c r="X30" s="3308">
        <f>'5)GS 4Nutz. eig.mech(a)'!O25</f>
        <v>0</v>
      </c>
      <c r="Y30" s="3308">
        <f>'5)GS 4Nutz. eig.mech(a)'!P25</f>
        <v>0</v>
      </c>
      <c r="Z30" s="3308">
        <f>'5)GS 4Nutz. eig.mech(a)'!Q25</f>
        <v>0</v>
      </c>
      <c r="AA30"/>
      <c r="AB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M27*'5)GS 4Nutz. eig.mech(a)'!$L$72*'5)GS 4Nutz. eig.mech(a)'!$Q$72/12/100</f>
        <v>6.9119733311940346</v>
      </c>
      <c r="N31" s="1979">
        <f>N27*'5)GS 4Nutz. eig.mech(a)'!$L$72*'5)GS 4Nutz. eig.mech(a)'!$Q$72/12/100</f>
        <v>2.3080619384539123</v>
      </c>
      <c r="O31" s="1979">
        <f>O27*'5)GS 4Nutz. eig.mech(a)'!$L$72*'5)GS 4Nutz. eig.mech(a)'!$Q$72/12/100</f>
        <v>1.7308982772360084</v>
      </c>
      <c r="P31" s="1979">
        <f>P27*'5)GS 4Nutz. eig.mech(a)'!$L$72*'5)GS 4Nutz. eig.mech(a)'!$Q$72/12/100</f>
        <v>1.436506557752057</v>
      </c>
      <c r="Q31" s="1979">
        <f>Q27*'5)GS 4Nutz. eig.mech(a)'!$L$72*'5)GS 4Nutz. eig.mech(a)'!$Q$72/12/100</f>
        <v>1.436506557752057</v>
      </c>
      <c r="R31" s="1981">
        <f>R27*'5)GS 4Nutz. eig.mech(a)'!$L$72*'5)GS 4Nutz. eig.mech(a)'!$Q$72/12/100</f>
        <v>0</v>
      </c>
      <c r="T31" s="3297" t="s">
        <v>1215</v>
      </c>
      <c r="U31" s="3308">
        <f>'5)GS 4Nutz. eig.mech(a)'!L30</f>
        <v>270</v>
      </c>
      <c r="V31" s="3308">
        <f>'5)GS 4Nutz. eig.mech(a)'!M30</f>
        <v>94.5</v>
      </c>
      <c r="W31" s="3308">
        <f>'5)GS 4Nutz. eig.mech(a)'!N30</f>
        <v>67.5</v>
      </c>
      <c r="X31" s="3308">
        <f>'5)GS 4Nutz. eig.mech(a)'!O30</f>
        <v>54</v>
      </c>
      <c r="Y31" s="3308">
        <f>'5)GS 4Nutz. eig.mech(a)'!P30</f>
        <v>54</v>
      </c>
      <c r="Z31" s="3308">
        <f>'5)GS 4Nutz. eig.mech(a)'!Q30</f>
        <v>0</v>
      </c>
      <c r="AA31"/>
      <c r="AB31"/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-842.82770632223969</v>
      </c>
      <c r="N32" s="1769">
        <f t="shared" si="8"/>
        <v>-277.0979720910799</v>
      </c>
      <c r="O32" s="1769">
        <f t="shared" si="8"/>
        <v>-211.17462263499738</v>
      </c>
      <c r="P32" s="1769">
        <f t="shared" si="8"/>
        <v>-177.27755579808121</v>
      </c>
      <c r="Q32" s="1769">
        <f t="shared" si="8"/>
        <v>-177.27755579808121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94.5</v>
      </c>
      <c r="W32" s="429">
        <f t="shared" si="9"/>
        <v>67.5</v>
      </c>
      <c r="X32" s="429">
        <f t="shared" si="9"/>
        <v>54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-0.17333779955992193</v>
      </c>
      <c r="N33" s="1581">
        <f t="shared" si="10"/>
        <v>-0.15804315481830819</v>
      </c>
      <c r="O33" s="1581">
        <f t="shared" si="10"/>
        <v>-0.17134086904682003</v>
      </c>
      <c r="P33" s="1581">
        <f t="shared" si="10"/>
        <v>-0.18579047537999246</v>
      </c>
      <c r="Q33" s="1581">
        <f t="shared" si="10"/>
        <v>-0.19219704349654393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-0.10400267973595313</v>
      </c>
      <c r="N34" s="2149">
        <f t="shared" si="11"/>
        <v>-9.4825892890984892E-2</v>
      </c>
      <c r="O34" s="2149">
        <f t="shared" si="11"/>
        <v>-0.102804521428092</v>
      </c>
      <c r="P34" s="2149">
        <f t="shared" si="11"/>
        <v>-0.11147428522799546</v>
      </c>
      <c r="Q34" s="2149">
        <f t="shared" si="11"/>
        <v>-0.11531822609792634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'5)GS 4Nutz. eig.mech(a)'!K58</f>
        <v>18.925747680890538</v>
      </c>
      <c r="N36" s="2397">
        <f>'5)GS 4Nutz. eig.mech(a)'!M58</f>
        <v>5.541311688311688</v>
      </c>
      <c r="O36" s="2397">
        <f>'5)GS 4Nutz. eig.mech(a)'!N58</f>
        <v>4.7449369202226341</v>
      </c>
      <c r="P36" s="2397">
        <f>'5)GS 4Nutz. eig.mech(a)'!O58</f>
        <v>4.319749536178108</v>
      </c>
      <c r="Q36" s="2397">
        <f>'5)GS 4Nutz. eig.mech(a)'!P58</f>
        <v>4.319749536178108</v>
      </c>
      <c r="R36" s="2398">
        <f>'5)GS 4Nutz. eig.mech(a)'!Q58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'5)GS 4Nutz. eig.mech(a)'!K16</f>
        <v>40.714285714285722</v>
      </c>
      <c r="N37" s="2400">
        <f>'5)GS 4Nutz. eig.mech(a)'!M16</f>
        <v>14.25</v>
      </c>
      <c r="O37" s="2400">
        <f>'5)GS 4Nutz. eig.mech(a)'!N16</f>
        <v>10.178571428571429</v>
      </c>
      <c r="P37" s="2400">
        <f>'5)GS 4Nutz. eig.mech(a)'!O16</f>
        <v>8.1428571428571441</v>
      </c>
      <c r="Q37" s="2400">
        <f>'5)GS 4Nutz. eig.mech(a)'!P16</f>
        <v>8.1428571428571441</v>
      </c>
      <c r="R37" s="2401">
        <f>'5)GS 4Nutz. eig.mech(a)'!Q16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'5)GS 4Nutz. eig.mech(a)'!M78</f>
        <v>4.8591666666666669</v>
      </c>
      <c r="O38" s="1997">
        <f>'5)GS 4Nutz. eig.mech(a)'!N78</f>
        <v>4.8591666666666669</v>
      </c>
      <c r="P38" s="1997">
        <f>'5)GS 4Nutz. eig.mech(a)'!O78</f>
        <v>4.8591666666666669</v>
      </c>
      <c r="Q38" s="1997">
        <f>'5)GS 4Nutz. eig.mech(a)'!P78</f>
        <v>4.8591666666666669</v>
      </c>
      <c r="R38" s="1998">
        <f>'5)GS 4Nutz. eig.mech(a)'!Q78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331.20058441558444</v>
      </c>
      <c r="N39" s="285">
        <f t="shared" si="13"/>
        <v>96.972954545454542</v>
      </c>
      <c r="O39" s="285">
        <f t="shared" si="13"/>
        <v>83.036396103896095</v>
      </c>
      <c r="P39" s="285">
        <f t="shared" si="13"/>
        <v>75.59561688311689</v>
      </c>
      <c r="Q39" s="285">
        <f t="shared" si="13"/>
        <v>75.59561688311689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197.83750000000003</v>
      </c>
      <c r="N40" s="285">
        <f>N37*N38</f>
        <v>69.243125000000006</v>
      </c>
      <c r="O40" s="285">
        <f>O37*O38</f>
        <v>49.459375000000001</v>
      </c>
      <c r="P40" s="285">
        <f>P37*P38</f>
        <v>39.56750000000001</v>
      </c>
      <c r="Q40" s="285">
        <f>Q37*Q38</f>
        <v>39.56750000000001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'Festk-Masch-Geb'!T44-'Festk-Masch-Geb'!T37-'Festk-Masch-Geb'!T38</f>
        <v>595.46639351851854</v>
      </c>
      <c r="N41" s="285">
        <f>N$6/$M$6*$M$41</f>
        <v>208.41323773148147</v>
      </c>
      <c r="O41" s="285">
        <f>O$6/$M$6*$M$41</f>
        <v>148.86659837962964</v>
      </c>
      <c r="P41" s="285">
        <f>P$6/$M$6*$M$41</f>
        <v>119.09327870370372</v>
      </c>
      <c r="Q41" s="285">
        <f>Q$6/$M$6*$M$41</f>
        <v>119.09327870370372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24.156999999999996</v>
      </c>
      <c r="O42" s="285">
        <f>O$6/$M$6*$M$42</f>
        <v>17.254999999999999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73.5</v>
      </c>
      <c r="O43" s="285">
        <f>O$6/$M$6*$M$43</f>
        <v>52.5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45.08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1532.324477934103</v>
      </c>
      <c r="N45" s="1991">
        <f t="shared" si="14"/>
        <v>517.366317276936</v>
      </c>
      <c r="O45" s="1991">
        <f t="shared" si="14"/>
        <v>383.31736948352574</v>
      </c>
      <c r="P45" s="1991">
        <f t="shared" si="14"/>
        <v>315.82039558682061</v>
      </c>
      <c r="Q45" s="1991">
        <f t="shared" si="14"/>
        <v>315.82039558682061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2645.1521842563425</v>
      </c>
      <c r="N48" s="2127">
        <f t="shared" si="16"/>
        <v>888.9642893680159</v>
      </c>
      <c r="O48" s="2041">
        <f t="shared" si="16"/>
        <v>661.99199211852306</v>
      </c>
      <c r="P48" s="2041">
        <f t="shared" si="16"/>
        <v>547.09795138490176</v>
      </c>
      <c r="Q48" s="2041">
        <f t="shared" si="16"/>
        <v>547.09795138490176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-2645.1521842563425</v>
      </c>
      <c r="N49" s="2125">
        <f t="shared" si="17"/>
        <v>-888.9642893680159</v>
      </c>
      <c r="O49" s="1772">
        <f t="shared" si="17"/>
        <v>-661.99199211852306</v>
      </c>
      <c r="P49" s="1772">
        <f t="shared" si="17"/>
        <v>-547.09795138490176</v>
      </c>
      <c r="Q49" s="1772">
        <f t="shared" si="17"/>
        <v>-547.09795138490176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-0.54400781521628649</v>
      </c>
      <c r="N50" s="2511">
        <f t="shared" si="18"/>
        <v>-0.50702182968829934</v>
      </c>
      <c r="O50" s="2168">
        <f t="shared" si="18"/>
        <v>-0.53712080465120038</v>
      </c>
      <c r="P50" s="2168">
        <f t="shared" si="18"/>
        <v>-0.57336975348980457</v>
      </c>
      <c r="Q50" s="2168">
        <f t="shared" si="18"/>
        <v>-0.59314112429979782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94.5</v>
      </c>
      <c r="O51" s="2185">
        <f t="shared" si="19"/>
        <v>67.5</v>
      </c>
      <c r="P51" s="2185">
        <f t="shared" si="19"/>
        <v>54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-2375.1521842563425</v>
      </c>
      <c r="N52" s="2178">
        <f t="shared" si="20"/>
        <v>-794.4642893680159</v>
      </c>
      <c r="O52" s="2081">
        <f t="shared" si="20"/>
        <v>-594.49199211852306</v>
      </c>
      <c r="P52" s="2081">
        <f t="shared" si="20"/>
        <v>-493.09795138490176</v>
      </c>
      <c r="Q52" s="2081">
        <f t="shared" si="20"/>
        <v>-493.09795138490176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-0.48847902145439115</v>
      </c>
      <c r="N53" s="2511">
        <f t="shared" si="21"/>
        <v>-0.45312364336226924</v>
      </c>
      <c r="O53" s="2168">
        <f t="shared" si="21"/>
        <v>-0.48235329273926653</v>
      </c>
      <c r="P53" s="2168">
        <f t="shared" si="21"/>
        <v>-0.51677665784747295</v>
      </c>
      <c r="Q53" s="2168">
        <f t="shared" si="21"/>
        <v>-0.53459654260083411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2375.1521842563425</v>
      </c>
      <c r="N55" s="2038">
        <f t="shared" si="22"/>
        <v>794.4642893680159</v>
      </c>
      <c r="O55" s="2038">
        <f t="shared" si="22"/>
        <v>594.49199211852306</v>
      </c>
      <c r="P55" s="2038">
        <f t="shared" si="22"/>
        <v>493.09795138490176</v>
      </c>
      <c r="Q55" s="2038">
        <f t="shared" si="22"/>
        <v>493.09795138490176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11.052082099916326</v>
      </c>
      <c r="N56" s="2103">
        <f t="shared" si="24"/>
        <v>10.562312126774495</v>
      </c>
      <c r="O56" s="2103">
        <f t="shared" si="24"/>
        <v>11.065184535438773</v>
      </c>
      <c r="P56" s="2103">
        <f t="shared" si="24"/>
        <v>11.472441804213899</v>
      </c>
      <c r="Q56" s="2103">
        <f t="shared" si="24"/>
        <v>11.472441804213899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29.870492161936014</v>
      </c>
      <c r="N57" s="3427">
        <f>IF($N$7=0,0,N$55/$N$9)</f>
        <v>28.546789531822959</v>
      </c>
      <c r="O57" s="3427">
        <f>IF($O$7=0,0,O$55/$O$9)</f>
        <v>29.905904149834523</v>
      </c>
      <c r="P57" s="3427">
        <f>IF($P$7=0,0,P$55/$P$9)</f>
        <v>31.006599470848375</v>
      </c>
      <c r="Q57" s="3427">
        <f>IF($Q$7=0,0,Q$55/$Q$9)</f>
        <v>31.006599470848375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66.312492599497972</v>
      </c>
      <c r="N58" s="2134">
        <f t="shared" si="25"/>
        <v>63.373872760646968</v>
      </c>
      <c r="O58" s="2134">
        <f t="shared" si="25"/>
        <v>66.391107212632647</v>
      </c>
      <c r="P58" s="2134">
        <f t="shared" si="25"/>
        <v>68.83465082528339</v>
      </c>
      <c r="Q58" s="2134">
        <f t="shared" si="25"/>
        <v>68.83465082528339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0.48847902145439115</v>
      </c>
      <c r="N59" s="2136">
        <f t="shared" si="25"/>
        <v>0.45312364336226924</v>
      </c>
      <c r="O59" s="2136">
        <f t="shared" si="25"/>
        <v>0.48235329273926653</v>
      </c>
      <c r="P59" s="2136">
        <f t="shared" si="25"/>
        <v>0.51677665784747295</v>
      </c>
      <c r="Q59" s="2136">
        <f t="shared" si="25"/>
        <v>0.53459654260083411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0.13568861707066421</v>
      </c>
      <c r="N60" s="2136">
        <f t="shared" si="26"/>
        <v>0.12586767871174145</v>
      </c>
      <c r="O60" s="2136">
        <f t="shared" si="26"/>
        <v>0.13398702576090737</v>
      </c>
      <c r="P60" s="2136">
        <f t="shared" si="26"/>
        <v>0.14354907162429803</v>
      </c>
      <c r="Q60" s="2136">
        <f t="shared" si="26"/>
        <v>0.14849903961134281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0.48847902145439115</v>
      </c>
      <c r="N61" s="2136">
        <f t="shared" si="27"/>
        <v>0.45312364336226924</v>
      </c>
      <c r="O61" s="2136">
        <f t="shared" si="27"/>
        <v>0.48235329273926653</v>
      </c>
      <c r="P61" s="2136">
        <f t="shared" si="27"/>
        <v>0.51677665784747295</v>
      </c>
      <c r="Q61" s="2136">
        <f t="shared" si="27"/>
        <v>0.53459654260083411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0.29308741287263468</v>
      </c>
      <c r="N62" s="2513">
        <f t="shared" si="28"/>
        <v>0.27187418601736152</v>
      </c>
      <c r="O62" s="2513">
        <f t="shared" si="28"/>
        <v>0.28941197564355986</v>
      </c>
      <c r="P62" s="2513">
        <f t="shared" si="28"/>
        <v>0.31006599470848373</v>
      </c>
      <c r="Q62" s="2513">
        <f t="shared" si="28"/>
        <v>0.32075792556050042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2177.3146842563424</v>
      </c>
      <c r="N63" s="1769">
        <f t="shared" si="29"/>
        <v>725.22116436801593</v>
      </c>
      <c r="O63" s="1769">
        <f t="shared" si="29"/>
        <v>545.03261711852304</v>
      </c>
      <c r="P63" s="1769">
        <f t="shared" si="29"/>
        <v>453.53045138490177</v>
      </c>
      <c r="Q63" s="1769">
        <f t="shared" si="29"/>
        <v>453.53045138490177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27.382439593238281</v>
      </c>
      <c r="N64" s="3427">
        <f>IF($N$7=0,0,N$63/$N$9)</f>
        <v>26.058736963125231</v>
      </c>
      <c r="O64" s="3427">
        <f>IF($O$7=0,0,O$63/$O$9)</f>
        <v>27.417851581136794</v>
      </c>
      <c r="P64" s="3427">
        <f>IF($P$7=0,0,P$63/$P$9)</f>
        <v>28.518546902150646</v>
      </c>
      <c r="Q64" s="3427">
        <f>IF($Q$7=0,0,Q$63/$Q$9)</f>
        <v>28.518546902150646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0.44779132613635797</v>
      </c>
      <c r="N65" s="2169">
        <f t="shared" si="30"/>
        <v>0.4136307454464323</v>
      </c>
      <c r="O65" s="2169">
        <f t="shared" si="30"/>
        <v>0.44222341259898051</v>
      </c>
      <c r="P65" s="2169">
        <f t="shared" si="30"/>
        <v>0.47530911503584411</v>
      </c>
      <c r="Q65" s="2169">
        <f t="shared" si="30"/>
        <v>0.49169908451983874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0.26867479568181474</v>
      </c>
      <c r="N66" s="2171">
        <f t="shared" si="30"/>
        <v>0.24817844726785934</v>
      </c>
      <c r="O66" s="2171">
        <f t="shared" si="30"/>
        <v>0.26533404755938828</v>
      </c>
      <c r="P66" s="2171">
        <f t="shared" si="30"/>
        <v>0.28518546902150643</v>
      </c>
      <c r="Q66" s="2171">
        <f t="shared" si="30"/>
        <v>0.29501945071190322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738.97440333119391</v>
      </c>
      <c r="N68" s="1772">
        <f t="shared" si="31"/>
        <v>258.52991243845389</v>
      </c>
      <c r="O68" s="1772">
        <f t="shared" si="31"/>
        <v>184.74650577723597</v>
      </c>
      <c r="P68" s="1772">
        <f t="shared" si="31"/>
        <v>147.84899255775207</v>
      </c>
      <c r="Q68" s="1772">
        <f t="shared" si="31"/>
        <v>147.84899255775207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0.15197910088110189</v>
      </c>
      <c r="N69" s="2031">
        <f t="shared" si="32"/>
        <v>0.1474528401212703</v>
      </c>
      <c r="O69" s="2031">
        <f t="shared" si="32"/>
        <v>0.14989787341989519</v>
      </c>
      <c r="P69" s="2031">
        <f t="shared" si="32"/>
        <v>0.15494874400820816</v>
      </c>
      <c r="Q69" s="2031">
        <f t="shared" si="32"/>
        <v>0.16029180414642225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1300.5202809251487</v>
      </c>
      <c r="N70" s="1769">
        <f t="shared" si="33"/>
        <v>418.45425192956202</v>
      </c>
      <c r="O70" s="1769">
        <f t="shared" si="33"/>
        <v>325.83111134128717</v>
      </c>
      <c r="P70" s="1769">
        <f t="shared" si="33"/>
        <v>278.11745882714979</v>
      </c>
      <c r="Q70" s="1769">
        <f t="shared" si="33"/>
        <v>278.11745882714979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0.26746786097279529</v>
      </c>
      <c r="N71" s="2168">
        <f t="shared" si="34"/>
        <v>0.23866587554940835</v>
      </c>
      <c r="O71" s="2168">
        <f t="shared" si="34"/>
        <v>0.26436976698759385</v>
      </c>
      <c r="P71" s="2168">
        <f t="shared" si="34"/>
        <v>0.29147273976309479</v>
      </c>
      <c r="Q71" s="2168">
        <f t="shared" si="34"/>
        <v>0.30152352389285669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D32:K32"/>
    <mergeCell ref="B55:B71"/>
    <mergeCell ref="B47:B53"/>
    <mergeCell ref="B28:B34"/>
    <mergeCell ref="B36:B45"/>
    <mergeCell ref="B1:H1"/>
    <mergeCell ref="L1:N1"/>
    <mergeCell ref="O1:R1"/>
    <mergeCell ref="I3:M3"/>
    <mergeCell ref="D28:K28"/>
    <mergeCell ref="B6:B13"/>
    <mergeCell ref="B3:B5"/>
    <mergeCell ref="B19:B27"/>
    <mergeCell ref="D19:D23"/>
    <mergeCell ref="D24:D26"/>
    <mergeCell ref="F3:G3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verticalDpi="300" r:id="rId1"/>
  <headerFooter alignWithMargins="0">
    <oddFooter>&amp;L&amp;12LEL Schwäbisch Gmünd (Abtlg. II)
LAZBW Aulendorf&amp;C&amp;12 29&amp;9
&amp;R&amp;12&amp;F
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5">
    <tabColor rgb="FFFFFF00"/>
    <pageSetUpPr fitToPage="1"/>
  </sheetPr>
  <dimension ref="A1:AS83"/>
  <sheetViews>
    <sheetView showGridLines="0" showZeros="0" topLeftCell="B1" zoomScaleNormal="100" workbookViewId="0">
      <pane xSplit="11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R1" sqref="R1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971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1873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 t="str">
        <f>VLOOKUP($Y$5,$S$4:$T$9,2)</f>
        <v>Silage</v>
      </c>
      <c r="Q5" s="886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7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732"/>
      <c r="M10" s="412">
        <v>35</v>
      </c>
      <c r="N10" s="412">
        <v>35</v>
      </c>
      <c r="O10" s="412">
        <v>35</v>
      </c>
      <c r="P10" s="412">
        <v>35</v>
      </c>
      <c r="Q10" s="882">
        <v>35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2520">
        <v>37</v>
      </c>
      <c r="N11" s="413">
        <v>37</v>
      </c>
      <c r="O11" s="413">
        <v>37</v>
      </c>
      <c r="P11" s="413">
        <v>37</v>
      </c>
      <c r="Q11" s="2521">
        <v>37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6.0000000000000018</v>
      </c>
      <c r="L12" s="1679"/>
      <c r="M12" s="881">
        <v>6</v>
      </c>
      <c r="N12" s="881">
        <v>6</v>
      </c>
      <c r="O12" s="881">
        <v>6</v>
      </c>
      <c r="P12" s="881">
        <v>6</v>
      </c>
      <c r="Q12" s="883">
        <v>6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2.2200000000000002</v>
      </c>
      <c r="Q13" s="643">
        <f>Q12*Q11/100</f>
        <v>2.2200000000000002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339.28571428571422</v>
      </c>
      <c r="L15" s="1684"/>
      <c r="M15" s="251">
        <f>IF(M10=0,0,M14/M10*100)</f>
        <v>101.78571428571428</v>
      </c>
      <c r="N15" s="252">
        <f>IF(N10=0,0,N14/N10*100)</f>
        <v>67.857142857142861</v>
      </c>
      <c r="O15" s="252">
        <f>IF(O10=0,0,O14/O10*100)</f>
        <v>67.857142857142861</v>
      </c>
      <c r="P15" s="252">
        <f>IF(P10=0,0,P14/P10*100)</f>
        <v>50.892857142857139</v>
      </c>
      <c r="Q15" s="256">
        <f>IF(Q10=0,0,Q14/Q10*100)</f>
        <v>50.892857142857139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56.547619047619037</v>
      </c>
      <c r="L16" s="4311"/>
      <c r="M16" s="2419">
        <f>IF(V5&lt;3,0,IF(M12=0,0,M15/M12))</f>
        <v>16.964285714285712</v>
      </c>
      <c r="N16" s="2420">
        <f>IF(W5&lt;3,0,IF(N12=0,0,N15/N12))</f>
        <v>11.30952380952381</v>
      </c>
      <c r="O16" s="2420">
        <f>IF(X5&lt;3,0,IF(O12=0,0,O15/O12))</f>
        <v>11.30952380952381</v>
      </c>
      <c r="P16" s="2420">
        <f>IF(Y5&lt;3,0,IF(P12=0,0,P15/P12))</f>
        <v>8.4821428571428559</v>
      </c>
      <c r="Q16" s="2421">
        <f>IF(Z5&lt;3,0,IF(Q12=0,0,1/Q12*Q15))</f>
        <v>8.4821428571428559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110.4375</v>
      </c>
      <c r="L17" s="1686"/>
      <c r="M17" s="251">
        <f>M14*(100-M9)/100</f>
        <v>33.131250000000001</v>
      </c>
      <c r="N17" s="254">
        <f>N14*(100-N9)/100</f>
        <v>22.087499999999999</v>
      </c>
      <c r="O17" s="254">
        <f>O14*(100-O9)/100</f>
        <v>22.087499999999999</v>
      </c>
      <c r="P17" s="254">
        <f>P14*(100-P9)/100</f>
        <v>16.565625000000001</v>
      </c>
      <c r="Q17" s="257">
        <f>Q14*(100-Q9)/100</f>
        <v>16.565625000000001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298.47972972972968</v>
      </c>
      <c r="L18" s="1686"/>
      <c r="M18" s="251">
        <f>IF(M11=0,0,M17/M11*100)</f>
        <v>89.543918918918919</v>
      </c>
      <c r="N18" s="254">
        <f>IF(N11=0,0,N17/N11*100)</f>
        <v>59.695945945945937</v>
      </c>
      <c r="O18" s="254">
        <f>IF(O11=0,0,O17/O11*100)</f>
        <v>59.695945945945937</v>
      </c>
      <c r="P18" s="254">
        <f>IF(P11=0,0,P17/P11*100)</f>
        <v>44.77195945945946</v>
      </c>
      <c r="Q18" s="257">
        <f>IF(Q11=0,0,Q17/Q11*100)</f>
        <v>44.77195945945946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49.746621621621614</v>
      </c>
      <c r="L19" s="1688"/>
      <c r="M19" s="504">
        <f>IF(M12=0,0,1/M12*M18)</f>
        <v>14.923986486486486</v>
      </c>
      <c r="N19" s="505">
        <f>IF(N12=0,0,1/N12*N18)</f>
        <v>9.9493243243243228</v>
      </c>
      <c r="O19" s="505">
        <f>IF(O12=0,0,1/O12*O18)</f>
        <v>9.9493243243243228</v>
      </c>
      <c r="P19" s="505">
        <f>IF(P12=0,0,1/P12*P18)</f>
        <v>7.461993243243243</v>
      </c>
      <c r="Q19" s="506">
        <f>IF(Q12=0,0,1/Q12*Q18)</f>
        <v>7.461993243243243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6.0200000000000005</v>
      </c>
      <c r="L20" s="1689"/>
      <c r="M20" s="312">
        <v>6.2</v>
      </c>
      <c r="N20" s="313">
        <v>6.1</v>
      </c>
      <c r="O20" s="313">
        <v>6</v>
      </c>
      <c r="P20" s="313">
        <v>5.8</v>
      </c>
      <c r="Q20" s="314">
        <v>5.8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10.033333333333335</v>
      </c>
      <c r="L21" s="1689"/>
      <c r="M21" s="515">
        <f>IF($G21=0,0,M20/$G21)</f>
        <v>10.333333333333334</v>
      </c>
      <c r="N21" s="516">
        <f>IF($G21=0,0,N20/$G21)</f>
        <v>10.166666666666666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9.6666666666666661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6648.3374999999996</v>
      </c>
      <c r="L22" s="1690"/>
      <c r="M22" s="446">
        <f t="shared" ref="M22:Q23" si="1">M$17*M20*10</f>
        <v>2054.1375000000003</v>
      </c>
      <c r="N22" s="448">
        <f t="shared" si="1"/>
        <v>1347.3374999999999</v>
      </c>
      <c r="O22" s="448">
        <f t="shared" si="1"/>
        <v>1325.2499999999998</v>
      </c>
      <c r="P22" s="448">
        <f t="shared" si="1"/>
        <v>960.80624999999998</v>
      </c>
      <c r="Q22" s="450">
        <f t="shared" si="1"/>
        <v>960.80624999999998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11080.5625</v>
      </c>
      <c r="L23" s="1691"/>
      <c r="M23" s="447">
        <f t="shared" si="1"/>
        <v>3423.5625000000005</v>
      </c>
      <c r="N23" s="449">
        <f t="shared" si="1"/>
        <v>2245.5625</v>
      </c>
      <c r="O23" s="449">
        <f t="shared" si="1"/>
        <v>2208.75</v>
      </c>
      <c r="P23" s="449">
        <f t="shared" si="1"/>
        <v>1601.34375</v>
      </c>
      <c r="Q23" s="451">
        <f t="shared" si="1"/>
        <v>1601.34375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54">
        <f t="shared" ref="P26:P29" si="5">$L26*$P$7/100</f>
        <v>0</v>
      </c>
      <c r="Q26" s="257">
        <f t="shared" ref="Q26:Q29" si="6">$L26*$Q$7/100</f>
        <v>0</v>
      </c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54">
        <f t="shared" si="5"/>
        <v>0</v>
      </c>
      <c r="Q27" s="257">
        <f t="shared" si="6"/>
        <v>0</v>
      </c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54">
        <f t="shared" si="5"/>
        <v>0</v>
      </c>
      <c r="Q28" s="257">
        <f t="shared" si="6"/>
        <v>0</v>
      </c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495">
        <f t="shared" si="5"/>
        <v>0</v>
      </c>
      <c r="Q29" s="496">
        <f t="shared" si="6"/>
        <v>0</v>
      </c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440.90317075503003</v>
      </c>
      <c r="M43" s="484">
        <f>SUM(Z46:Z56)</f>
        <v>117.79294994966901</v>
      </c>
      <c r="N43" s="484">
        <f>SUM(AA46:AA56)</f>
        <v>93.791868901246005</v>
      </c>
      <c r="O43" s="484">
        <f>SUM(AB46:AB56)</f>
        <v>93.791868901246005</v>
      </c>
      <c r="P43" s="484">
        <f>SUM(AC46:AC56)</f>
        <v>67.763241501434507</v>
      </c>
      <c r="Q43" s="1483">
        <f>SUM(AD46:AD56)</f>
        <v>67.763241501434507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7">SUM(M46:Q46)</f>
        <v>1</v>
      </c>
      <c r="K46" s="1651">
        <f t="shared" ref="K46:K56" si="8">J46*H46</f>
        <v>0.82</v>
      </c>
      <c r="L46" s="1704">
        <f t="shared" ref="L46:L56" si="9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X56" si="10">IF(M46&lt;&gt;0,M46*$H46,0)</f>
        <v>0.16400000000000001</v>
      </c>
      <c r="U46" s="479">
        <f t="shared" si="10"/>
        <v>0.16400000000000001</v>
      </c>
      <c r="V46" s="479">
        <f t="shared" si="10"/>
        <v>0.16400000000000001</v>
      </c>
      <c r="W46" s="479">
        <f t="shared" si="10"/>
        <v>0.16400000000000001</v>
      </c>
      <c r="X46" s="480">
        <f t="shared" si="10"/>
        <v>0.16400000000000001</v>
      </c>
      <c r="Y46"/>
      <c r="Z46" s="478">
        <f t="shared" ref="Z46:AD56" si="11">IF(M46&lt;&gt;0,M46*$I46,0)</f>
        <v>2.3843834347199993</v>
      </c>
      <c r="AA46" s="479">
        <f t="shared" si="11"/>
        <v>2.3843834347199993</v>
      </c>
      <c r="AB46" s="479">
        <f t="shared" si="11"/>
        <v>2.3843834347199993</v>
      </c>
      <c r="AC46" s="479">
        <f t="shared" si="11"/>
        <v>2.3843834347199993</v>
      </c>
      <c r="AD46" s="480">
        <f t="shared" si="11"/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7"/>
        <v>1</v>
      </c>
      <c r="K47" s="1651">
        <f t="shared" si="8"/>
        <v>0.48</v>
      </c>
      <c r="L47" s="1704">
        <f t="shared" si="9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10"/>
        <v>9.6000000000000002E-2</v>
      </c>
      <c r="U47" s="479">
        <f t="shared" si="10"/>
        <v>9.6000000000000002E-2</v>
      </c>
      <c r="V47" s="479">
        <f t="shared" si="10"/>
        <v>9.6000000000000002E-2</v>
      </c>
      <c r="W47" s="479">
        <f t="shared" si="10"/>
        <v>9.6000000000000002E-2</v>
      </c>
      <c r="X47" s="480">
        <f t="shared" si="10"/>
        <v>9.6000000000000002E-2</v>
      </c>
      <c r="Y47"/>
      <c r="Z47" s="478">
        <f t="shared" si="11"/>
        <v>1.8914732300799999</v>
      </c>
      <c r="AA47" s="479">
        <f t="shared" si="11"/>
        <v>1.8914732300799999</v>
      </c>
      <c r="AB47" s="479">
        <f t="shared" si="11"/>
        <v>1.8914732300799999</v>
      </c>
      <c r="AC47" s="479">
        <f t="shared" si="11"/>
        <v>1.8914732300799999</v>
      </c>
      <c r="AD47" s="480">
        <f t="shared" si="11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7"/>
        <v>3</v>
      </c>
      <c r="K48" s="1651">
        <f t="shared" si="8"/>
        <v>1.1099999999999999</v>
      </c>
      <c r="L48" s="1704">
        <f t="shared" si="9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10"/>
        <v>0.37</v>
      </c>
      <c r="U48" s="479">
        <f t="shared" si="10"/>
        <v>0.37</v>
      </c>
      <c r="V48" s="479">
        <f t="shared" si="10"/>
        <v>0.37</v>
      </c>
      <c r="W48" s="479">
        <f t="shared" si="10"/>
        <v>0</v>
      </c>
      <c r="X48" s="480">
        <f t="shared" si="10"/>
        <v>0</v>
      </c>
      <c r="Y48"/>
      <c r="Z48" s="478">
        <f t="shared" si="11"/>
        <v>5.4505114075999996</v>
      </c>
      <c r="AA48" s="479">
        <f t="shared" si="11"/>
        <v>5.4505114075999996</v>
      </c>
      <c r="AB48" s="479">
        <f t="shared" si="11"/>
        <v>5.4505114075999996</v>
      </c>
      <c r="AC48" s="479">
        <f t="shared" si="11"/>
        <v>0</v>
      </c>
      <c r="AD48" s="480">
        <f t="shared" si="11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7"/>
        <v>5</v>
      </c>
      <c r="K49" s="1651">
        <f t="shared" si="8"/>
        <v>1.5</v>
      </c>
      <c r="L49" s="1704">
        <f t="shared" si="9"/>
        <v>92.958222000000006</v>
      </c>
      <c r="M49" s="317">
        <v>1</v>
      </c>
      <c r="N49" s="318">
        <v>1</v>
      </c>
      <c r="O49" s="318">
        <v>1</v>
      </c>
      <c r="P49" s="318">
        <v>1</v>
      </c>
      <c r="Q49" s="319">
        <v>1</v>
      </c>
      <c r="R49" s="542"/>
      <c r="S49" s="542"/>
      <c r="T49" s="478">
        <f t="shared" si="10"/>
        <v>0.3</v>
      </c>
      <c r="U49" s="479">
        <f t="shared" si="10"/>
        <v>0.3</v>
      </c>
      <c r="V49" s="479">
        <f t="shared" si="10"/>
        <v>0.3</v>
      </c>
      <c r="W49" s="479">
        <f t="shared" si="10"/>
        <v>0.3</v>
      </c>
      <c r="X49" s="480">
        <f t="shared" si="10"/>
        <v>0.3</v>
      </c>
      <c r="Y49"/>
      <c r="Z49" s="478">
        <f t="shared" si="11"/>
        <v>18.5916444</v>
      </c>
      <c r="AA49" s="479">
        <f t="shared" si="11"/>
        <v>18.5916444</v>
      </c>
      <c r="AB49" s="479">
        <f t="shared" si="11"/>
        <v>18.5916444</v>
      </c>
      <c r="AC49" s="479">
        <f t="shared" si="11"/>
        <v>18.5916444</v>
      </c>
      <c r="AD49" s="480">
        <f t="shared" si="11"/>
        <v>18.5916444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7"/>
        <v>3</v>
      </c>
      <c r="K50" s="1651">
        <f t="shared" si="8"/>
        <v>1.0499999999999998</v>
      </c>
      <c r="L50" s="1704">
        <f t="shared" si="9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10"/>
        <v>0.35</v>
      </c>
      <c r="U50" s="479">
        <f t="shared" si="10"/>
        <v>0.35</v>
      </c>
      <c r="V50" s="479">
        <f t="shared" si="10"/>
        <v>0.35</v>
      </c>
      <c r="W50" s="479">
        <f t="shared" si="10"/>
        <v>0</v>
      </c>
      <c r="X50" s="480">
        <f t="shared" si="10"/>
        <v>0</v>
      </c>
      <c r="Y50"/>
      <c r="Z50" s="478">
        <f t="shared" si="11"/>
        <v>8.5775754679999991</v>
      </c>
      <c r="AA50" s="479">
        <f t="shared" si="11"/>
        <v>8.5775754679999991</v>
      </c>
      <c r="AB50" s="479">
        <f t="shared" si="11"/>
        <v>8.5775754679999991</v>
      </c>
      <c r="AC50" s="479">
        <f t="shared" si="11"/>
        <v>0</v>
      </c>
      <c r="AD50" s="480">
        <f t="shared" si="11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7"/>
        <v>5</v>
      </c>
      <c r="K51" s="1651">
        <f t="shared" si="8"/>
        <v>1.3</v>
      </c>
      <c r="L51" s="1704">
        <f t="shared" si="9"/>
        <v>44.470594320000004</v>
      </c>
      <c r="M51" s="317">
        <v>1</v>
      </c>
      <c r="N51" s="318">
        <v>1</v>
      </c>
      <c r="O51" s="318">
        <v>1</v>
      </c>
      <c r="P51" s="318">
        <v>1</v>
      </c>
      <c r="Q51" s="319">
        <v>1</v>
      </c>
      <c r="R51" s="542"/>
      <c r="S51" s="542"/>
      <c r="T51" s="478">
        <f t="shared" si="10"/>
        <v>0.26</v>
      </c>
      <c r="U51" s="479">
        <f t="shared" si="10"/>
        <v>0.26</v>
      </c>
      <c r="V51" s="479">
        <f t="shared" si="10"/>
        <v>0.26</v>
      </c>
      <c r="W51" s="479">
        <f t="shared" si="10"/>
        <v>0.26</v>
      </c>
      <c r="X51" s="480">
        <f t="shared" si="10"/>
        <v>0.26</v>
      </c>
      <c r="Y51"/>
      <c r="Z51" s="478">
        <f t="shared" si="11"/>
        <v>8.8941188640000011</v>
      </c>
      <c r="AA51" s="479">
        <f t="shared" si="11"/>
        <v>8.8941188640000011</v>
      </c>
      <c r="AB51" s="479">
        <f t="shared" si="11"/>
        <v>8.8941188640000011</v>
      </c>
      <c r="AC51" s="479">
        <f t="shared" si="11"/>
        <v>8.8941188640000011</v>
      </c>
      <c r="AD51" s="480">
        <f t="shared" si="11"/>
        <v>8.8941188640000011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36</v>
      </c>
      <c r="C52" s="104"/>
      <c r="D52" s="137"/>
      <c r="E52" s="8"/>
      <c r="F52" s="8"/>
      <c r="G52" s="468" t="str">
        <f>IF($B52=0,0,VLOOKUP($B52,Arbeitsgänge!$B$27:$T$80,7))</f>
        <v>200 kw</v>
      </c>
      <c r="H52" s="507">
        <f>IF($B52=0,0,VLOOKUP($B52,Arbeitsgänge!$B$27:$O$79,12))</f>
        <v>0.5</v>
      </c>
      <c r="I52" s="469">
        <f>IF($B52=0,0,VLOOKUP($B52,Arbeitsgänge!$B$27:$T$80,14))</f>
        <v>33.706020199999998</v>
      </c>
      <c r="J52" s="593">
        <f t="shared" si="7"/>
        <v>4.4063079777365495</v>
      </c>
      <c r="K52" s="1651">
        <f t="shared" si="8"/>
        <v>2.2031539888682747</v>
      </c>
      <c r="L52" s="1704">
        <f t="shared" si="9"/>
        <v>148.51910570500928</v>
      </c>
      <c r="M52" s="317">
        <f>M15/77</f>
        <v>1.3218923933209648</v>
      </c>
      <c r="N52" s="318">
        <f>N15/77</f>
        <v>0.88126159554730987</v>
      </c>
      <c r="O52" s="318">
        <f>O15/77</f>
        <v>0.88126159554730987</v>
      </c>
      <c r="P52" s="318">
        <f>P15/77</f>
        <v>0.66094619666048238</v>
      </c>
      <c r="Q52" s="319">
        <f>Q15/77</f>
        <v>0.66094619666048238</v>
      </c>
      <c r="R52" s="542"/>
      <c r="S52" s="542"/>
      <c r="T52" s="478">
        <f t="shared" ref="T52:X55" si="12">IF(M52&lt;&gt;0,M52*$H52,0)</f>
        <v>0.66094619666048238</v>
      </c>
      <c r="U52" s="479">
        <f t="shared" si="12"/>
        <v>0.44063079777365494</v>
      </c>
      <c r="V52" s="479">
        <f t="shared" si="12"/>
        <v>0.44063079777365494</v>
      </c>
      <c r="W52" s="479">
        <f t="shared" si="12"/>
        <v>0.33047309833024119</v>
      </c>
      <c r="X52" s="480">
        <f t="shared" si="12"/>
        <v>0.33047309833024119</v>
      </c>
      <c r="Y52"/>
      <c r="Z52" s="478">
        <f t="shared" ref="Z52:AD55" si="13">IF(M52&lt;&gt;0,M52*$I52,0)</f>
        <v>44.55573171150278</v>
      </c>
      <c r="AA52" s="479">
        <f t="shared" si="13"/>
        <v>29.703821141001853</v>
      </c>
      <c r="AB52" s="479">
        <f t="shared" si="13"/>
        <v>29.703821141001853</v>
      </c>
      <c r="AC52" s="479">
        <f t="shared" si="13"/>
        <v>22.27786585575139</v>
      </c>
      <c r="AD52" s="480">
        <f t="shared" si="13"/>
        <v>22.27786585575139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7"/>
        <v>4.4063079777365495</v>
      </c>
      <c r="K53" s="1651">
        <f t="shared" si="8"/>
        <v>3.5250463821892399</v>
      </c>
      <c r="L53" s="1704">
        <f t="shared" si="9"/>
        <v>91.491704779220782</v>
      </c>
      <c r="M53" s="317">
        <f>M15/77</f>
        <v>1.3218923933209648</v>
      </c>
      <c r="N53" s="318">
        <f>N15/77</f>
        <v>0.88126159554730987</v>
      </c>
      <c r="O53" s="318">
        <f>O15/77</f>
        <v>0.88126159554730987</v>
      </c>
      <c r="P53" s="318">
        <f>P15/77</f>
        <v>0.66094619666048238</v>
      </c>
      <c r="Q53" s="319">
        <f>Q15/77</f>
        <v>0.66094619666048238</v>
      </c>
      <c r="R53" s="542"/>
      <c r="S53" s="542"/>
      <c r="T53" s="478">
        <f t="shared" si="12"/>
        <v>1.0575139146567718</v>
      </c>
      <c r="U53" s="479">
        <f t="shared" si="12"/>
        <v>0.70500927643784794</v>
      </c>
      <c r="V53" s="479">
        <f t="shared" si="12"/>
        <v>0.70500927643784794</v>
      </c>
      <c r="W53" s="479">
        <f t="shared" si="12"/>
        <v>0.5287569573283859</v>
      </c>
      <c r="X53" s="480">
        <f t="shared" si="12"/>
        <v>0.5287569573283859</v>
      </c>
      <c r="Y53"/>
      <c r="Z53" s="478">
        <f t="shared" si="13"/>
        <v>27.447511433766234</v>
      </c>
      <c r="AA53" s="479">
        <f t="shared" si="13"/>
        <v>18.298340955844157</v>
      </c>
      <c r="AB53" s="479">
        <f t="shared" si="13"/>
        <v>18.298340955844157</v>
      </c>
      <c r="AC53" s="479">
        <f t="shared" si="13"/>
        <v>13.723755716883117</v>
      </c>
      <c r="AD53" s="480">
        <f t="shared" si="13"/>
        <v>13.723755716883117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7"/>
        <v>0</v>
      </c>
      <c r="K54" s="1651">
        <f t="shared" si="8"/>
        <v>0</v>
      </c>
      <c r="L54" s="1704">
        <f t="shared" si="9"/>
        <v>0</v>
      </c>
      <c r="M54" s="317"/>
      <c r="N54" s="318"/>
      <c r="O54" s="318"/>
      <c r="P54" s="318"/>
      <c r="Q54" s="319"/>
      <c r="R54" s="542"/>
      <c r="S54" s="542"/>
      <c r="T54" s="478">
        <f t="shared" si="12"/>
        <v>0</v>
      </c>
      <c r="U54" s="479">
        <f t="shared" si="12"/>
        <v>0</v>
      </c>
      <c r="V54" s="479">
        <f t="shared" si="12"/>
        <v>0</v>
      </c>
      <c r="W54" s="479">
        <f t="shared" si="12"/>
        <v>0</v>
      </c>
      <c r="X54" s="480">
        <f t="shared" si="12"/>
        <v>0</v>
      </c>
      <c r="Y54"/>
      <c r="Z54" s="478">
        <f t="shared" si="13"/>
        <v>0</v>
      </c>
      <c r="AA54" s="479">
        <f t="shared" si="13"/>
        <v>0</v>
      </c>
      <c r="AB54" s="479">
        <f t="shared" si="13"/>
        <v>0</v>
      </c>
      <c r="AC54" s="479">
        <f t="shared" si="13"/>
        <v>0</v>
      </c>
      <c r="AD54" s="480">
        <f t="shared" si="13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7"/>
        <v>0</v>
      </c>
      <c r="K55" s="1651">
        <f t="shared" si="8"/>
        <v>0</v>
      </c>
      <c r="L55" s="1704">
        <f t="shared" si="9"/>
        <v>0</v>
      </c>
      <c r="M55" s="317"/>
      <c r="N55" s="318"/>
      <c r="O55" s="318"/>
      <c r="P55" s="318"/>
      <c r="Q55" s="319"/>
      <c r="R55" s="542"/>
      <c r="S55" s="542"/>
      <c r="T55" s="478">
        <f t="shared" si="12"/>
        <v>0</v>
      </c>
      <c r="U55" s="479">
        <f t="shared" si="12"/>
        <v>0</v>
      </c>
      <c r="V55" s="479">
        <f t="shared" si="12"/>
        <v>0</v>
      </c>
      <c r="W55" s="479">
        <f t="shared" si="12"/>
        <v>0</v>
      </c>
      <c r="X55" s="480">
        <f t="shared" si="12"/>
        <v>0</v>
      </c>
      <c r="Y55"/>
      <c r="Z55" s="478">
        <f t="shared" si="13"/>
        <v>0</v>
      </c>
      <c r="AA55" s="479">
        <f t="shared" si="13"/>
        <v>0</v>
      </c>
      <c r="AB55" s="479">
        <f t="shared" si="13"/>
        <v>0</v>
      </c>
      <c r="AC55" s="479">
        <f t="shared" si="13"/>
        <v>0</v>
      </c>
      <c r="AD55" s="480">
        <f t="shared" si="13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7"/>
        <v>0</v>
      </c>
      <c r="K56" s="1652">
        <f t="shared" si="8"/>
        <v>0</v>
      </c>
      <c r="L56" s="1714">
        <f t="shared" si="9"/>
        <v>0</v>
      </c>
      <c r="M56" s="320"/>
      <c r="N56" s="321"/>
      <c r="O56" s="321"/>
      <c r="P56" s="321"/>
      <c r="Q56" s="322"/>
      <c r="R56" s="542"/>
      <c r="S56" s="542"/>
      <c r="T56" s="481">
        <f t="shared" si="10"/>
        <v>0</v>
      </c>
      <c r="U56" s="482">
        <f t="shared" si="10"/>
        <v>0</v>
      </c>
      <c r="V56" s="482">
        <f t="shared" si="10"/>
        <v>0</v>
      </c>
      <c r="W56" s="482">
        <f t="shared" si="10"/>
        <v>0</v>
      </c>
      <c r="X56" s="483">
        <f t="shared" si="10"/>
        <v>0</v>
      </c>
      <c r="Y56"/>
      <c r="Z56" s="481">
        <f t="shared" si="11"/>
        <v>0</v>
      </c>
      <c r="AA56" s="482">
        <f t="shared" si="11"/>
        <v>0</v>
      </c>
      <c r="AB56" s="482">
        <f t="shared" si="11"/>
        <v>0</v>
      </c>
      <c r="AC56" s="482">
        <f t="shared" si="11"/>
        <v>0</v>
      </c>
      <c r="AD56" s="483">
        <f t="shared" si="11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11.988200371057513</v>
      </c>
      <c r="L57" s="1716"/>
      <c r="M57" s="278">
        <f>SUM(T46:T56)</f>
        <v>3.258460111317254</v>
      </c>
      <c r="N57" s="508">
        <f>SUM(U46:U56)</f>
        <v>2.685640074211503</v>
      </c>
      <c r="O57" s="508">
        <f>SUM(V46:V56)</f>
        <v>2.685640074211503</v>
      </c>
      <c r="P57" s="508">
        <f>SUM(W46:W56)</f>
        <v>1.679230055658627</v>
      </c>
      <c r="Q57" s="510">
        <f>SUM(X46:X56)</f>
        <v>1.679230055658627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21.578760667903524</v>
      </c>
      <c r="L58" s="1718"/>
      <c r="M58" s="270">
        <f>IF(M57+(M57*$G$58/100)&gt;M57+10,M57+10,M57+(M57*$G$58/100))</f>
        <v>5.8652282003710567</v>
      </c>
      <c r="N58" s="509">
        <f>IF(N57+(N57*$G$58/100)&gt;(N57+10),N57+10,N57+(N57*$G$58/100))</f>
        <v>4.8341521335807052</v>
      </c>
      <c r="O58" s="509">
        <f>IF(O57+(O57*$G$58/100)&gt;(O57+10),O57+10,O57+(O57*$G$58/100))</f>
        <v>4.8341521335807052</v>
      </c>
      <c r="P58" s="509">
        <f>P57+P57*$G$58/100</f>
        <v>3.0226141001855287</v>
      </c>
      <c r="Q58" s="511">
        <f>Q57+Q57*$G$58/100</f>
        <v>3.0226141001855287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15.469999999999999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3.0939999999999999</v>
      </c>
      <c r="Q59" s="257">
        <f>SUM(X61:X63)</f>
        <v>3.0939999999999999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4134"/>
      <c r="D61" s="4019" t="s">
        <v>309</v>
      </c>
      <c r="E61" s="4044"/>
      <c r="F61" s="4044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4">IF(N61&lt;&gt;0,N61*$H61,0)</f>
        <v>3.0939999999999999</v>
      </c>
      <c r="V61" s="594">
        <f t="shared" si="14"/>
        <v>3.0939999999999999</v>
      </c>
      <c r="W61" s="594">
        <f t="shared" si="14"/>
        <v>3.0939999999999999</v>
      </c>
      <c r="X61" s="594">
        <f t="shared" si="14"/>
        <v>3.0939999999999999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4135"/>
      <c r="D62" s="4020"/>
      <c r="E62" s="4136"/>
      <c r="F62" s="4136"/>
      <c r="G62" s="4022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4"/>
        <v>0</v>
      </c>
      <c r="V62" s="594">
        <f t="shared" si="14"/>
        <v>0</v>
      </c>
      <c r="W62" s="594">
        <f t="shared" si="14"/>
        <v>0</v>
      </c>
      <c r="X62" s="594">
        <f t="shared" si="14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4"/>
        <v>0</v>
      </c>
      <c r="V63" s="594">
        <f t="shared" si="14"/>
        <v>0</v>
      </c>
      <c r="W63" s="594">
        <f t="shared" si="14"/>
        <v>0</v>
      </c>
      <c r="X63" s="594">
        <f t="shared" si="14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3486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5">SUM(L69:L70)</f>
        <v>41.650000000000006</v>
      </c>
      <c r="M67" s="253">
        <f t="shared" si="15"/>
        <v>12.494999999999999</v>
      </c>
      <c r="N67" s="254">
        <f t="shared" si="15"/>
        <v>8.33</v>
      </c>
      <c r="O67" s="254">
        <f t="shared" si="15"/>
        <v>8.33</v>
      </c>
      <c r="P67" s="254">
        <f t="shared" si="15"/>
        <v>6.2474999999999996</v>
      </c>
      <c r="Q67" s="257">
        <f t="shared" si="15"/>
        <v>6.2474999999999996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52"/>
      <c r="B69" s="937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41.650000000000006</v>
      </c>
      <c r="M69" s="1386">
        <f>IF(AND($B69&lt;3,V$5=1),M$7*$I69/100,IF(AND($B69=3,V$5=3),M$7*$I69/100,0))</f>
        <v>12.494999999999999</v>
      </c>
      <c r="N69" s="933">
        <f t="shared" ref="N69:P70" si="16">IF(AND($B69&lt;3,W$5=1),N$7*$I69/100,IF(AND($B69=3,W$5=3),N$7*$I69/100,0))</f>
        <v>8.33</v>
      </c>
      <c r="O69" s="933">
        <f t="shared" si="16"/>
        <v>8.33</v>
      </c>
      <c r="P69" s="933">
        <f t="shared" si="16"/>
        <v>6.2474999999999996</v>
      </c>
      <c r="Q69" s="934">
        <f>IF(AND($B69&lt;3,Z$5=1),Q7*$I69/100,IF(AND($B69=3,Z$5=3),Q7*$I69/100,0))</f>
        <v>6.2474999999999996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6"/>
        <v>0</v>
      </c>
      <c r="O70" s="933">
        <f t="shared" si="16"/>
        <v>0</v>
      </c>
      <c r="P70" s="933">
        <f t="shared" si="16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7">K16</f>
        <v>56.547619047619037</v>
      </c>
      <c r="L77" s="3321">
        <f t="shared" si="17"/>
        <v>0</v>
      </c>
      <c r="M77" s="3321">
        <f t="shared" si="17"/>
        <v>16.964285714285712</v>
      </c>
      <c r="N77" s="3321">
        <f t="shared" si="17"/>
        <v>11.30952380952381</v>
      </c>
      <c r="O77" s="3321">
        <f t="shared" si="17"/>
        <v>11.30952380952381</v>
      </c>
      <c r="P77" s="3321">
        <f t="shared" si="17"/>
        <v>8.4821428571428559</v>
      </c>
      <c r="Q77" s="3321">
        <f t="shared" si="17"/>
        <v>8.4821428571428559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233.55815972222223</v>
      </c>
      <c r="L79" s="3321"/>
      <c r="M79" s="3321">
        <f>M78*M16</f>
        <v>82.432291666666657</v>
      </c>
      <c r="N79" s="3321">
        <f>N78*N16</f>
        <v>54.954861111111114</v>
      </c>
      <c r="O79" s="3321">
        <f>O78*O16</f>
        <v>54.954861111111114</v>
      </c>
      <c r="P79" s="3321">
        <f>P78*P16</f>
        <v>41.216145833333329</v>
      </c>
      <c r="Q79" s="3321">
        <f>Q78*Q16</f>
        <v>41.216145833333329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32&amp;9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print="0" autoFill="0" autoLine="0" autoPict="0">
                <anchor moveWithCells="1">
                  <from>
                    <xdr:col>12</xdr:col>
                    <xdr:colOff>104775</xdr:colOff>
                    <xdr:row>4</xdr:row>
                    <xdr:rowOff>9525</xdr:rowOff>
                  </from>
                  <to>
                    <xdr:col>12</xdr:col>
                    <xdr:colOff>504825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defaultSize="0" print="0" autoFill="0" autoLine="0" autoPict="0">
                <anchor moveWithCells="1">
                  <from>
                    <xdr:col>13</xdr:col>
                    <xdr:colOff>133350</xdr:colOff>
                    <xdr:row>4</xdr:row>
                    <xdr:rowOff>38100</xdr:rowOff>
                  </from>
                  <to>
                    <xdr:col>13</xdr:col>
                    <xdr:colOff>533400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Drop Down 3">
              <controlPr defaultSize="0" print="0" autoFill="0" autoLine="0" autoPict="0">
                <anchor moveWithCells="1">
                  <from>
                    <xdr:col>14</xdr:col>
                    <xdr:colOff>76200</xdr:colOff>
                    <xdr:row>4</xdr:row>
                    <xdr:rowOff>47625</xdr:rowOff>
                  </from>
                  <to>
                    <xdr:col>14</xdr:col>
                    <xdr:colOff>485775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Drop Down 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4</xdr:row>
                    <xdr:rowOff>57150</xdr:rowOff>
                  </from>
                  <to>
                    <xdr:col>15</xdr:col>
                    <xdr:colOff>485775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Drop Down 5">
              <controlPr defaultSize="0" print="0" autoFill="0" autoLine="0" autoPict="0">
                <anchor moveWithCells="1">
                  <from>
                    <xdr:col>16</xdr:col>
                    <xdr:colOff>66675</xdr:colOff>
                    <xdr:row>4</xdr:row>
                    <xdr:rowOff>47625</xdr:rowOff>
                  </from>
                  <to>
                    <xdr:col>16</xdr:col>
                    <xdr:colOff>476250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Drop Down 6">
              <controlPr defaultSize="0" autoLine="0" autoPict="0">
                <anchor moveWithCells="1">
                  <from>
                    <xdr:col>2</xdr:col>
                    <xdr:colOff>9525</xdr:colOff>
                    <xdr:row>45</xdr:row>
                    <xdr:rowOff>9525</xdr:rowOff>
                  </from>
                  <to>
                    <xdr:col>5</xdr:col>
                    <xdr:colOff>514350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504825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S1" sqref="S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0.71093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'6)GS 5Nutz.eig.mech(a)'!H2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'6)GS 5Nutz.eig.mech(a)'!K2</f>
        <v>Wiese; 5 Nutzungen (5 x Silage)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'6)GS 5Nutz.eig.mech(a)'!H3</f>
        <v>5x Silage, eigene Ernte LW 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'6)GS 5Nutz.eig.mech(a)'!M5</f>
        <v>Silage</v>
      </c>
      <c r="O5" s="1568" t="str">
        <f>'6)GS 5Nutz.eig.mech(a)'!N5</f>
        <v>Silage</v>
      </c>
      <c r="P5" s="1568" t="str">
        <f>'6)GS 5Nutz.eig.mech(a)'!O5</f>
        <v>Silage</v>
      </c>
      <c r="Q5" s="1568" t="str">
        <f>'6)GS 5Nutz.eig.mech(a)'!P5</f>
        <v>Silage</v>
      </c>
      <c r="R5" s="1573" t="str">
        <f>'6)GS 5Nutz.eig.mech(a)'!Q5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'6)GS 5Nutz.eig.mech(a)'!K6</f>
        <v>125</v>
      </c>
      <c r="N6" s="1821">
        <f>'6)GS 5Nutz.eig.mech(a)'!M6</f>
        <v>37.5</v>
      </c>
      <c r="O6" s="1821">
        <f>'6)GS 5Nutz.eig.mech(a)'!N6</f>
        <v>25</v>
      </c>
      <c r="P6" s="1821">
        <f>'6)GS 5Nutz.eig.mech(a)'!O6</f>
        <v>25</v>
      </c>
      <c r="Q6" s="1821">
        <f>'6)GS 5Nutz.eig.mech(a)'!P6</f>
        <v>18.75</v>
      </c>
      <c r="R6" s="1822">
        <f>'6)GS 5Nutz.eig.mech(a)'!Q6</f>
        <v>18.75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'6)GS 5Nutz.eig.mech(a)'!K14</f>
        <v>118.75</v>
      </c>
      <c r="N7" s="452">
        <f>'6)GS 5Nutz.eig.mech(a)'!M14</f>
        <v>35.625</v>
      </c>
      <c r="O7" s="452">
        <f>'6)GS 5Nutz.eig.mech(a)'!N14</f>
        <v>23.75</v>
      </c>
      <c r="P7" s="452">
        <f>'6)GS 5Nutz.eig.mech(a)'!O14</f>
        <v>23.75</v>
      </c>
      <c r="Q7" s="452">
        <f>'6)GS 5Nutz.eig.mech(a)'!P14</f>
        <v>17.8125</v>
      </c>
      <c r="R7" s="1744">
        <f>'6)GS 5Nutz.eig.mech(a)'!Q14</f>
        <v>17.8125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'6)GS 5Nutz.eig.mech(a)'!K15</f>
        <v>339.28571428571422</v>
      </c>
      <c r="N8" s="473">
        <f>'6)GS 5Nutz.eig.mech(a)'!M15</f>
        <v>101.78571428571428</v>
      </c>
      <c r="O8" s="473">
        <f>'6)GS 5Nutz.eig.mech(a)'!N15</f>
        <v>67.857142857142861</v>
      </c>
      <c r="P8" s="473">
        <f>'6)GS 5Nutz.eig.mech(a)'!O15</f>
        <v>67.857142857142861</v>
      </c>
      <c r="Q8" s="473">
        <f>'6)GS 5Nutz.eig.mech(a)'!P15</f>
        <v>50.892857142857139</v>
      </c>
      <c r="R8" s="1583">
        <f>'6)GS 5Nutz.eig.mech(a)'!Q15</f>
        <v>50.892857142857139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'6)GS 5Nutz.eig.mech(a)'!K17</f>
        <v>110.4375</v>
      </c>
      <c r="N9" s="452">
        <f>'6)GS 5Nutz.eig.mech(a)'!M17</f>
        <v>33.131250000000001</v>
      </c>
      <c r="O9" s="452">
        <f>'6)GS 5Nutz.eig.mech(a)'!N17</f>
        <v>22.087499999999999</v>
      </c>
      <c r="P9" s="452">
        <f>'6)GS 5Nutz.eig.mech(a)'!O17</f>
        <v>22.087499999999999</v>
      </c>
      <c r="Q9" s="452">
        <f>'6)GS 5Nutz.eig.mech(a)'!P17</f>
        <v>16.565625000000001</v>
      </c>
      <c r="R9" s="1744">
        <f>'6)GS 5Nutz.eig.mech(a)'!Q17</f>
        <v>16.565625000000001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'6)GS 5Nutz.eig.mech(a)'!K18</f>
        <v>298.47972972972968</v>
      </c>
      <c r="N10" s="1748">
        <f>'6)GS 5Nutz.eig.mech(a)'!M18</f>
        <v>89.543918918918919</v>
      </c>
      <c r="O10" s="1748">
        <f>'6)GS 5Nutz.eig.mech(a)'!N18</f>
        <v>59.695945945945937</v>
      </c>
      <c r="P10" s="1748">
        <f>'6)GS 5Nutz.eig.mech(a)'!O18</f>
        <v>59.695945945945937</v>
      </c>
      <c r="Q10" s="1748">
        <f>'6)GS 5Nutz.eig.mech(a)'!P18</f>
        <v>44.77195945945946</v>
      </c>
      <c r="R10" s="1745">
        <f>'6)GS 5Nutz.eig.mech(a)'!Q18</f>
        <v>44.77195945945946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'6)GS 5Nutz.eig.mech(a)'!K19</f>
        <v>49.746621621621614</v>
      </c>
      <c r="N11" s="2094">
        <f>'6)GS 5Nutz.eig.mech(a)'!M19</f>
        <v>14.923986486486486</v>
      </c>
      <c r="O11" s="2094">
        <f>'6)GS 5Nutz.eig.mech(a)'!N19</f>
        <v>9.9493243243243228</v>
      </c>
      <c r="P11" s="2094">
        <f>'6)GS 5Nutz.eig.mech(a)'!O19</f>
        <v>9.9493243243243228</v>
      </c>
      <c r="Q11" s="2094">
        <f>'6)GS 5Nutz.eig.mech(a)'!P19</f>
        <v>7.461993243243243</v>
      </c>
      <c r="R11" s="2078">
        <f>'6)GS 5Nutz.eig.mech(a)'!Q19</f>
        <v>7.461993243243243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'6)GS 5Nutz.eig.mech(a)'!K22</f>
        <v>6648.3374999999996</v>
      </c>
      <c r="N12" s="1176">
        <f>'6)GS 5Nutz.eig.mech(a)'!M22</f>
        <v>2054.1375000000003</v>
      </c>
      <c r="O12" s="1176">
        <f>'6)GS 5Nutz.eig.mech(a)'!N22</f>
        <v>1347.3374999999999</v>
      </c>
      <c r="P12" s="1176">
        <f>'6)GS 5Nutz.eig.mech(a)'!O22</f>
        <v>1325.2499999999998</v>
      </c>
      <c r="Q12" s="1176">
        <f>'6)GS 5Nutz.eig.mech(a)'!P22</f>
        <v>960.80624999999998</v>
      </c>
      <c r="R12" s="1747">
        <f>'6)GS 5Nutz.eig.mech(a)'!Q22</f>
        <v>960.80624999999998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'6)GS 5Nutz.eig.mech(a)'!K23</f>
        <v>11080.5625</v>
      </c>
      <c r="N13" s="2065">
        <f>'6)GS 5Nutz.eig.mech(a)'!M23</f>
        <v>3423.5625000000005</v>
      </c>
      <c r="O13" s="2065">
        <f>'6)GS 5Nutz.eig.mech(a)'!N23</f>
        <v>2245.5625</v>
      </c>
      <c r="P13" s="2065">
        <f>'6)GS 5Nutz.eig.mech(a)'!O23</f>
        <v>2208.75</v>
      </c>
      <c r="Q13" s="2065">
        <f>'6)GS 5Nutz.eig.mech(a)'!P23</f>
        <v>1601.34375</v>
      </c>
      <c r="R13" s="2067">
        <f>'6)GS 5Nutz.eig.mech(a)'!Q23</f>
        <v>1601.34375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'6)GS 5Nutz.eig.mech(a)'!L32</f>
        <v>23.54</v>
      </c>
      <c r="N19" s="2071">
        <f>'6)GS 5Nutz.eig.mech(a)'!M32</f>
        <v>7.0619999999999994</v>
      </c>
      <c r="O19" s="2071">
        <f>'6)GS 5Nutz.eig.mech(a)'!N32</f>
        <v>4.7079999999999993</v>
      </c>
      <c r="P19" s="2071">
        <f>'6)GS 5Nutz.eig.mech(a)'!O32</f>
        <v>4.7079999999999993</v>
      </c>
      <c r="Q19" s="2071">
        <f>'6)GS 5Nutz.eig.mech(a)'!P32</f>
        <v>3.5309999999999997</v>
      </c>
      <c r="R19" s="2073">
        <f>'6)GS 5Nutz.eig.mech(a)'!Q32</f>
        <v>3.5309999999999997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6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'6)GS 5Nutz.eig.mech(a)'!L34</f>
        <v>1026.2212916666667</v>
      </c>
      <c r="N20" s="285">
        <f>'6)GS 5Nutz.eig.mech(a)'!M34</f>
        <v>307.86638750000003</v>
      </c>
      <c r="O20" s="285">
        <f>'6)GS 5Nutz.eig.mech(a)'!N34</f>
        <v>205.24425833333333</v>
      </c>
      <c r="P20" s="285">
        <f>'6)GS 5Nutz.eig.mech(a)'!O34</f>
        <v>205.24425833333333</v>
      </c>
      <c r="Q20" s="285">
        <f>'6)GS 5Nutz.eig.mech(a)'!P34</f>
        <v>153.93319375000002</v>
      </c>
      <c r="R20" s="1574">
        <f>'6)GS 5Nutz.eig.mech(a)'!Q34</f>
        <v>153.93319375000002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'6)GS 5Nutz.eig.mech(a)'!L40</f>
        <v>0</v>
      </c>
      <c r="N21" s="285">
        <f>'6)GS 5Nutz.eig.mech(a)'!M40</f>
        <v>0</v>
      </c>
      <c r="O21" s="285">
        <f>'6)GS 5Nutz.eig.mech(a)'!N40</f>
        <v>0</v>
      </c>
      <c r="P21" s="285">
        <f>'6)GS 5Nutz.eig.mech(a)'!O40</f>
        <v>0</v>
      </c>
      <c r="Q21" s="285">
        <f>'6)GS 5Nutz.eig.mech(a)'!P40</f>
        <v>0</v>
      </c>
      <c r="R21" s="1574">
        <f>'6)GS 5Nutz.eig.mech(a)'!Q40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'6)GS 5Nutz.eig.mech(a)'!L67</f>
        <v>41.650000000000006</v>
      </c>
      <c r="N23" s="285">
        <f>'6)GS 5Nutz.eig.mech(a)'!M67</f>
        <v>12.494999999999999</v>
      </c>
      <c r="O23" s="285">
        <f>'6)GS 5Nutz.eig.mech(a)'!N67</f>
        <v>8.33</v>
      </c>
      <c r="P23" s="285">
        <f>'6)GS 5Nutz.eig.mech(a)'!O67</f>
        <v>8.33</v>
      </c>
      <c r="Q23" s="285">
        <f>'6)GS 5Nutz.eig.mech(a)'!P67</f>
        <v>6.2474999999999996</v>
      </c>
      <c r="R23" s="1574">
        <f>'6)GS 5Nutz.eig.mech(a)'!Q67</f>
        <v>6.2474999999999996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'6)GS 5Nutz.eig.mech(a)'!L43</f>
        <v>440.90317075503003</v>
      </c>
      <c r="N24" s="285">
        <f>'6)GS 5Nutz.eig.mech(a)'!M43</f>
        <v>117.79294994966901</v>
      </c>
      <c r="O24" s="285">
        <f>'6)GS 5Nutz.eig.mech(a)'!N43</f>
        <v>93.791868901246005</v>
      </c>
      <c r="P24" s="285">
        <f>'6)GS 5Nutz.eig.mech(a)'!O43</f>
        <v>93.791868901246005</v>
      </c>
      <c r="Q24" s="285">
        <f>'6)GS 5Nutz.eig.mech(a)'!P43</f>
        <v>67.763241501434507</v>
      </c>
      <c r="R24" s="1574">
        <f>'6)GS 5Nutz.eig.mech(a)'!Q43</f>
        <v>67.763241501434507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'6)GS 5Nutz.eig.mech(a)'!L59</f>
        <v>15.469999999999999</v>
      </c>
      <c r="N25" s="285">
        <f>'6)GS 5Nutz.eig.mech(a)'!M59</f>
        <v>3.0939999999999999</v>
      </c>
      <c r="O25" s="285">
        <f>'6)GS 5Nutz.eig.mech(a)'!N59</f>
        <v>3.0939999999999999</v>
      </c>
      <c r="P25" s="285">
        <f>'6)GS 5Nutz.eig.mech(a)'!O59</f>
        <v>3.0939999999999999</v>
      </c>
      <c r="Q25" s="285">
        <f>'6)GS 5Nutz.eig.mech(a)'!P59</f>
        <v>3.0939999999999999</v>
      </c>
      <c r="R25" s="1574">
        <f>'6)GS 5Nutz.eig.mech(a)'!Q59</f>
        <v>3.0939999999999999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'6)GS 5Nutz.eig.mech(a)'!L64</f>
        <v>0</v>
      </c>
      <c r="N26" s="1979">
        <f>'6)GS 5Nutz.eig.mech(a)'!M64</f>
        <v>0</v>
      </c>
      <c r="O26" s="1979">
        <f>'6)GS 5Nutz.eig.mech(a)'!N64</f>
        <v>0</v>
      </c>
      <c r="P26" s="1979">
        <f>'6)GS 5Nutz.eig.mech(a)'!O64</f>
        <v>0</v>
      </c>
      <c r="Q26" s="1979">
        <f>'6)GS 5Nutz.eig.mech(a)'!P64</f>
        <v>0</v>
      </c>
      <c r="R26" s="1981">
        <f>'6)GS 5Nutz.eig.mech(a)'!Q64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1547.7844624216968</v>
      </c>
      <c r="N27" s="2407">
        <f t="shared" si="4"/>
        <v>448.31033744966902</v>
      </c>
      <c r="O27" s="2407">
        <f t="shared" si="4"/>
        <v>315.16812723457934</v>
      </c>
      <c r="P27" s="2407">
        <f t="shared" si="4"/>
        <v>315.16812723457934</v>
      </c>
      <c r="Q27" s="2407">
        <f t="shared" si="4"/>
        <v>234.56893525143454</v>
      </c>
      <c r="R27" s="2525">
        <f t="shared" si="4"/>
        <v>234.56893525143454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-1547.7844624216968</v>
      </c>
      <c r="N28" s="1777">
        <f t="shared" si="5"/>
        <v>-448.31033744966902</v>
      </c>
      <c r="O28" s="1777">
        <f t="shared" si="5"/>
        <v>-315.16812723457934</v>
      </c>
      <c r="P28" s="1777">
        <f t="shared" si="5"/>
        <v>-315.16812723457934</v>
      </c>
      <c r="Q28" s="1777">
        <f t="shared" si="5"/>
        <v>-234.56893525143454</v>
      </c>
      <c r="R28" s="1871">
        <f t="shared" si="5"/>
        <v>-234.56893525143454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-0.2328077451575972</v>
      </c>
      <c r="N29" s="1874">
        <f t="shared" si="7"/>
        <v>-0.21824748219126955</v>
      </c>
      <c r="O29" s="1874">
        <f t="shared" si="7"/>
        <v>-0.23391921269509636</v>
      </c>
      <c r="P29" s="1874">
        <f t="shared" si="7"/>
        <v>-0.23781786624001464</v>
      </c>
      <c r="Q29" s="1874">
        <f t="shared" si="7"/>
        <v>-0.24413760344651644</v>
      </c>
      <c r="R29" s="2410">
        <f t="shared" si="7"/>
        <v>-0.24413760344651644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54</v>
      </c>
      <c r="P30" s="2097">
        <f t="shared" si="8"/>
        <v>54</v>
      </c>
      <c r="Q30" s="2097">
        <f t="shared" si="8"/>
        <v>40.5</v>
      </c>
      <c r="R30" s="1744">
        <f t="shared" si="8"/>
        <v>40.5</v>
      </c>
      <c r="T30" s="3297" t="s">
        <v>1216</v>
      </c>
      <c r="U30" s="3308">
        <f>'6)GS 5Nutz.eig.mech(a)'!L25</f>
        <v>0</v>
      </c>
      <c r="V30" s="3308">
        <f>'6)GS 5Nutz.eig.mech(a)'!M25</f>
        <v>0</v>
      </c>
      <c r="W30" s="3308">
        <f>'6)GS 5Nutz.eig.mech(a)'!N25</f>
        <v>0</v>
      </c>
      <c r="X30" s="3308">
        <f>'6)GS 5Nutz.eig.mech(a)'!O25</f>
        <v>0</v>
      </c>
      <c r="Y30" s="3308">
        <f>'6)GS 5Nutz.eig.mech(a)'!P25</f>
        <v>0</v>
      </c>
      <c r="Z30" s="3308">
        <f>'6)GS 5Nutz.eig.mech(a)'!Q25</f>
        <v>0</v>
      </c>
      <c r="AA30"/>
      <c r="AB30"/>
      <c r="AC30"/>
      <c r="AD30"/>
      <c r="AE30"/>
      <c r="AF30"/>
      <c r="AG30"/>
      <c r="AH30"/>
      <c r="AI30"/>
      <c r="AJ30"/>
      <c r="AK30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M27*'6)GS 5Nutz.eig.mech(a)'!$L$72*'6)GS 5Nutz.eig.mech(a)'!$Q$72/12/100</f>
        <v>9.6736528901356049</v>
      </c>
      <c r="N31" s="1979">
        <f>N27*'6)GS 5Nutz.eig.mech(a)'!$L$72*'6)GS 5Nutz.eig.mech(a)'!$Q$72/12/100</f>
        <v>2.8019396090604314</v>
      </c>
      <c r="O31" s="1979">
        <f>O27*'6)GS 5Nutz.eig.mech(a)'!$L$72*'6)GS 5Nutz.eig.mech(a)'!$Q$72/12/100</f>
        <v>1.9698007952161212</v>
      </c>
      <c r="P31" s="1979">
        <f>P27*'6)GS 5Nutz.eig.mech(a)'!$L$72*'6)GS 5Nutz.eig.mech(a)'!$Q$72/12/100</f>
        <v>1.9698007952161212</v>
      </c>
      <c r="Q31" s="1979">
        <f>Q27*'6)GS 5Nutz.eig.mech(a)'!$L$72*'6)GS 5Nutz.eig.mech(a)'!$Q$72/12/100</f>
        <v>1.466055845321466</v>
      </c>
      <c r="R31" s="1981">
        <f>R27*'6)GS 5Nutz.eig.mech(a)'!$L$72*'6)GS 5Nutz.eig.mech(a)'!$Q$72/12/100</f>
        <v>1.466055845321466</v>
      </c>
      <c r="T31" s="3297" t="s">
        <v>1215</v>
      </c>
      <c r="U31" s="3308">
        <f>'6)GS 5Nutz.eig.mech(a)'!L30</f>
        <v>270</v>
      </c>
      <c r="V31" s="3308">
        <f>'6)GS 5Nutz.eig.mech(a)'!M30</f>
        <v>81</v>
      </c>
      <c r="W31" s="3308">
        <f>'6)GS 5Nutz.eig.mech(a)'!N30</f>
        <v>54</v>
      </c>
      <c r="X31" s="3308">
        <f>'6)GS 5Nutz.eig.mech(a)'!O30</f>
        <v>54</v>
      </c>
      <c r="Y31" s="3308">
        <f>'6)GS 5Nutz.eig.mech(a)'!P30</f>
        <v>40.5</v>
      </c>
      <c r="Z31" s="3308">
        <f>'6)GS 5Nutz.eig.mech(a)'!Q30</f>
        <v>40.5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-1287.4581153118324</v>
      </c>
      <c r="N32" s="1769">
        <f t="shared" si="9"/>
        <v>-370.11227705872943</v>
      </c>
      <c r="O32" s="1769">
        <f t="shared" si="9"/>
        <v>-263.13792802979549</v>
      </c>
      <c r="P32" s="1769">
        <f t="shared" si="9"/>
        <v>-263.13792802979549</v>
      </c>
      <c r="Q32" s="1769">
        <f t="shared" si="9"/>
        <v>-195.53499109675602</v>
      </c>
      <c r="R32" s="1776">
        <f t="shared" si="9"/>
        <v>-195.53499109675602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54</v>
      </c>
      <c r="X32" s="429">
        <f t="shared" si="10"/>
        <v>54</v>
      </c>
      <c r="Y32" s="429">
        <f t="shared" si="10"/>
        <v>40.5</v>
      </c>
      <c r="Z32" s="429">
        <f t="shared" si="10"/>
        <v>40.5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-0.19365113689126531</v>
      </c>
      <c r="N33" s="1581">
        <f t="shared" si="11"/>
        <v>-0.18017892037837263</v>
      </c>
      <c r="O33" s="1581">
        <f t="shared" si="11"/>
        <v>-0.19530216299167472</v>
      </c>
      <c r="P33" s="1581">
        <f t="shared" si="11"/>
        <v>-0.19855719904153596</v>
      </c>
      <c r="Q33" s="1581">
        <f t="shared" si="11"/>
        <v>-0.20351136464480327</v>
      </c>
      <c r="R33" s="2404">
        <f t="shared" si="11"/>
        <v>-0.20351136464480327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-0.11619068213475918</v>
      </c>
      <c r="N34" s="2149">
        <f t="shared" si="12"/>
        <v>-0.10810735222702357</v>
      </c>
      <c r="O34" s="2149">
        <f t="shared" si="12"/>
        <v>-0.11718129779500482</v>
      </c>
      <c r="P34" s="2149">
        <f t="shared" si="12"/>
        <v>-0.11913431942492156</v>
      </c>
      <c r="Q34" s="2149">
        <f t="shared" si="12"/>
        <v>-0.12210681878688197</v>
      </c>
      <c r="R34" s="2412">
        <f t="shared" si="12"/>
        <v>-0.12210681878688197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'6)GS 5Nutz.eig.mech(a)'!K58</f>
        <v>21.578760667903524</v>
      </c>
      <c r="N36" s="2397">
        <f>'6)GS 5Nutz.eig.mech(a)'!M58</f>
        <v>5.8652282003710567</v>
      </c>
      <c r="O36" s="2397">
        <f>'6)GS 5Nutz.eig.mech(a)'!N58</f>
        <v>4.8341521335807052</v>
      </c>
      <c r="P36" s="2397">
        <f>'6)GS 5Nutz.eig.mech(a)'!O58</f>
        <v>4.8341521335807052</v>
      </c>
      <c r="Q36" s="2397">
        <f>'6)GS 5Nutz.eig.mech(a)'!P58</f>
        <v>3.0226141001855287</v>
      </c>
      <c r="R36" s="2398">
        <f>'6)GS 5Nutz.eig.mech(a)'!Q58</f>
        <v>3.0226141001855287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'6)GS 5Nutz.eig.mech(a)'!K16</f>
        <v>56.547619047619037</v>
      </c>
      <c r="N37" s="2400">
        <f>'6)GS 5Nutz.eig.mech(a)'!M16</f>
        <v>16.964285714285712</v>
      </c>
      <c r="O37" s="2400">
        <f>'6)GS 5Nutz.eig.mech(a)'!N16</f>
        <v>11.30952380952381</v>
      </c>
      <c r="P37" s="2400">
        <f>'6)GS 5Nutz.eig.mech(a)'!O16</f>
        <v>11.30952380952381</v>
      </c>
      <c r="Q37" s="2400">
        <f>'6)GS 5Nutz.eig.mech(a)'!P16</f>
        <v>8.4821428571428559</v>
      </c>
      <c r="R37" s="2401">
        <f>'6)GS 5Nutz.eig.mech(a)'!Q16</f>
        <v>8.4821428571428559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'6)GS 5Nutz.eig.mech(a)'!M78</f>
        <v>4.8591666666666669</v>
      </c>
      <c r="O38" s="1997">
        <f>'6)GS 5Nutz.eig.mech(a)'!N78</f>
        <v>4.8591666666666669</v>
      </c>
      <c r="P38" s="1997">
        <f>'6)GS 5Nutz.eig.mech(a)'!O78</f>
        <v>4.8591666666666669</v>
      </c>
      <c r="Q38" s="1997">
        <f>'6)GS 5Nutz.eig.mech(a)'!P78</f>
        <v>4.8591666666666669</v>
      </c>
      <c r="R38" s="1998">
        <f>'6)GS 5Nutz.eig.mech(a)'!Q78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377.62831168831167</v>
      </c>
      <c r="N39" s="285">
        <f t="shared" si="14"/>
        <v>102.64149350649349</v>
      </c>
      <c r="O39" s="285">
        <f t="shared" si="14"/>
        <v>84.597662337662342</v>
      </c>
      <c r="P39" s="285">
        <f t="shared" si="14"/>
        <v>84.597662337662342</v>
      </c>
      <c r="Q39" s="285">
        <f t="shared" si="14"/>
        <v>52.895746753246755</v>
      </c>
      <c r="R39" s="1574">
        <f t="shared" si="14"/>
        <v>52.895746753246755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274.77430555555554</v>
      </c>
      <c r="N40" s="285">
        <f>N37*N38</f>
        <v>82.432291666666657</v>
      </c>
      <c r="O40" s="285">
        <f>O37*O38</f>
        <v>54.954861111111114</v>
      </c>
      <c r="P40" s="285">
        <f>P37*P38</f>
        <v>54.954861111111114</v>
      </c>
      <c r="Q40" s="285">
        <f>Q37*Q38</f>
        <v>41.216145833333329</v>
      </c>
      <c r="R40" s="1574">
        <f>R37*R38</f>
        <v>41.216145833333329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'Festk-Masch-Geb'!T44-'Festk-Masch-Geb'!T37-'Festk-Masch-Geb'!T38</f>
        <v>595.46639351851854</v>
      </c>
      <c r="N41" s="285">
        <f>N$6/$M$6*$M$41</f>
        <v>178.63991805555557</v>
      </c>
      <c r="O41" s="285">
        <f>O$6/$M$6*$M$41</f>
        <v>119.09327870370372</v>
      </c>
      <c r="P41" s="285">
        <f>P$6/$M$6*$M$41</f>
        <v>119.09327870370372</v>
      </c>
      <c r="Q41" s="285">
        <f>Q$6/$M$6*$M$41</f>
        <v>89.319959027777784</v>
      </c>
      <c r="R41" s="1574">
        <f>R$6/$M$6*$M$41</f>
        <v>89.319959027777784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1655.6890107623856</v>
      </c>
      <c r="N45" s="1991">
        <f t="shared" si="15"/>
        <v>486.05970322871576</v>
      </c>
      <c r="O45" s="1991">
        <f t="shared" si="15"/>
        <v>340.20980215247715</v>
      </c>
      <c r="P45" s="1991">
        <f t="shared" si="15"/>
        <v>340.20980215247715</v>
      </c>
      <c r="Q45" s="1991">
        <f t="shared" si="15"/>
        <v>244.60485161435787</v>
      </c>
      <c r="R45" s="1994">
        <f t="shared" si="15"/>
        <v>244.60485161435787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3213.1471260742182</v>
      </c>
      <c r="N48" s="2127">
        <f t="shared" si="17"/>
        <v>937.17198028744519</v>
      </c>
      <c r="O48" s="2041">
        <f t="shared" si="17"/>
        <v>657.3477301822727</v>
      </c>
      <c r="P48" s="2041">
        <f t="shared" si="17"/>
        <v>657.3477301822727</v>
      </c>
      <c r="Q48" s="2041">
        <f t="shared" si="17"/>
        <v>480.63984271111389</v>
      </c>
      <c r="R48" s="2080">
        <f t="shared" si="17"/>
        <v>480.63984271111389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-3213.1471260742182</v>
      </c>
      <c r="N49" s="2125">
        <f t="shared" si="18"/>
        <v>-937.17198028744519</v>
      </c>
      <c r="O49" s="1772">
        <f t="shared" si="18"/>
        <v>-657.3477301822727</v>
      </c>
      <c r="P49" s="1772">
        <f t="shared" si="18"/>
        <v>-657.3477301822727</v>
      </c>
      <c r="Q49" s="1772">
        <f t="shared" si="18"/>
        <v>-480.63984271111389</v>
      </c>
      <c r="R49" s="1773">
        <f t="shared" si="18"/>
        <v>-480.63984271111389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-0.48330084416957148</v>
      </c>
      <c r="N50" s="2511">
        <f t="shared" si="19"/>
        <v>-0.456236245279318</v>
      </c>
      <c r="O50" s="2168">
        <f t="shared" si="19"/>
        <v>-0.48788646510786848</v>
      </c>
      <c r="P50" s="2168">
        <f t="shared" si="19"/>
        <v>-0.49601790619299968</v>
      </c>
      <c r="Q50" s="2168">
        <f t="shared" si="19"/>
        <v>-0.5002463740333849</v>
      </c>
      <c r="R50" s="2187">
        <f t="shared" si="19"/>
        <v>-0.5002463740333849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54</v>
      </c>
      <c r="P51" s="2185">
        <f t="shared" si="20"/>
        <v>54</v>
      </c>
      <c r="Q51" s="2185">
        <f t="shared" si="20"/>
        <v>40.5</v>
      </c>
      <c r="R51" s="2186">
        <f t="shared" si="20"/>
        <v>40.5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-2943.1471260742182</v>
      </c>
      <c r="N52" s="2178">
        <f t="shared" si="21"/>
        <v>-856.17198028744519</v>
      </c>
      <c r="O52" s="2081">
        <f t="shared" si="21"/>
        <v>-603.3477301822727</v>
      </c>
      <c r="P52" s="2081">
        <f t="shared" si="21"/>
        <v>-603.3477301822727</v>
      </c>
      <c r="Q52" s="2081">
        <f t="shared" si="21"/>
        <v>-440.13984271111389</v>
      </c>
      <c r="R52" s="2082">
        <f t="shared" si="21"/>
        <v>-440.13984271111389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-0.44268918749600461</v>
      </c>
      <c r="N53" s="2511">
        <f t="shared" si="22"/>
        <v>-0.41680363670272563</v>
      </c>
      <c r="O53" s="2168">
        <f t="shared" si="22"/>
        <v>-0.44780742032510246</v>
      </c>
      <c r="P53" s="2168">
        <f t="shared" si="22"/>
        <v>-0.45527087733052091</v>
      </c>
      <c r="Q53" s="2168">
        <f t="shared" si="22"/>
        <v>-0.45809427521013096</v>
      </c>
      <c r="R53" s="2187">
        <f t="shared" si="22"/>
        <v>-0.45809427521013096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2943.1471260742182</v>
      </c>
      <c r="N55" s="2038">
        <f t="shared" si="23"/>
        <v>856.17198028744519</v>
      </c>
      <c r="O55" s="2038">
        <f t="shared" si="23"/>
        <v>603.3477301822727</v>
      </c>
      <c r="P55" s="2038">
        <f t="shared" si="23"/>
        <v>603.3477301822727</v>
      </c>
      <c r="Q55" s="2038">
        <f t="shared" si="23"/>
        <v>440.13984271111389</v>
      </c>
      <c r="R55" s="2039">
        <f t="shared" si="23"/>
        <v>440.13984271111389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9.8604589622860068</v>
      </c>
      <c r="N56" s="2103">
        <f t="shared" si="25"/>
        <v>9.561475425960527</v>
      </c>
      <c r="O56" s="2103">
        <f t="shared" si="25"/>
        <v>10.107013476737563</v>
      </c>
      <c r="P56" s="2103">
        <f t="shared" si="25"/>
        <v>10.107013476737563</v>
      </c>
      <c r="Q56" s="2103">
        <f t="shared" si="25"/>
        <v>9.8307031460094105</v>
      </c>
      <c r="R56" s="2104">
        <f t="shared" si="25"/>
        <v>9.8307031460094105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26.649889087259474</v>
      </c>
      <c r="N57" s="3427">
        <f>IF($N$7=0,0,N$55/$N$9)</f>
        <v>25.841825475568992</v>
      </c>
      <c r="O57" s="3427">
        <f>IF($O$7=0,0,O$55/$O$9)</f>
        <v>27.316252639831252</v>
      </c>
      <c r="P57" s="3427">
        <f>IF($P$7=0,0,P$55/$P$9)</f>
        <v>27.316252639831252</v>
      </c>
      <c r="Q57" s="3427">
        <f>IF($Q$7=0,0,Q$55/$Q$9)</f>
        <v>26.569467962187595</v>
      </c>
      <c r="R57" s="3428">
        <f>IF($R$7=0,0,R$55/$R$9)</f>
        <v>26.569467962187595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59.162753773716041</v>
      </c>
      <c r="N58" s="2134">
        <f t="shared" si="26"/>
        <v>57.368852555763169</v>
      </c>
      <c r="O58" s="2134">
        <f t="shared" si="26"/>
        <v>60.642080860425381</v>
      </c>
      <c r="P58" s="2134">
        <f t="shared" si="26"/>
        <v>60.642080860425381</v>
      </c>
      <c r="Q58" s="2134">
        <f t="shared" si="26"/>
        <v>58.984218876056467</v>
      </c>
      <c r="R58" s="2135">
        <f t="shared" si="26"/>
        <v>58.984218876056467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0.44268918749600461</v>
      </c>
      <c r="N59" s="2136">
        <f t="shared" si="26"/>
        <v>0.41680363670272563</v>
      </c>
      <c r="O59" s="2136">
        <f t="shared" si="26"/>
        <v>0.44780742032510246</v>
      </c>
      <c r="P59" s="2136">
        <f t="shared" si="26"/>
        <v>0.45527087733052091</v>
      </c>
      <c r="Q59" s="2136">
        <f t="shared" si="26"/>
        <v>0.45809427521013096</v>
      </c>
      <c r="R59" s="2137">
        <f t="shared" si="26"/>
        <v>0.45809427521013096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0.12296921874889018</v>
      </c>
      <c r="N60" s="2136">
        <f t="shared" si="27"/>
        <v>0.11577878797297934</v>
      </c>
      <c r="O60" s="2136">
        <f t="shared" si="27"/>
        <v>0.12439095009030623</v>
      </c>
      <c r="P60" s="2136">
        <f t="shared" si="27"/>
        <v>0.12646413259181138</v>
      </c>
      <c r="Q60" s="2136">
        <f t="shared" si="27"/>
        <v>0.12724840978059193</v>
      </c>
      <c r="R60" s="2137">
        <f t="shared" si="27"/>
        <v>0.12724840978059193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0.44268918749600461</v>
      </c>
      <c r="N61" s="2136">
        <f t="shared" si="28"/>
        <v>0.41680363670272563</v>
      </c>
      <c r="O61" s="2136">
        <f t="shared" si="28"/>
        <v>0.44780742032510246</v>
      </c>
      <c r="P61" s="2136">
        <f t="shared" si="28"/>
        <v>0.45527087733052091</v>
      </c>
      <c r="Q61" s="2136">
        <f t="shared" si="28"/>
        <v>0.45809427521013096</v>
      </c>
      <c r="R61" s="2137">
        <f t="shared" si="28"/>
        <v>0.45809427521013096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0.26561351249760273</v>
      </c>
      <c r="N62" s="2513">
        <f t="shared" si="29"/>
        <v>0.2500821820216354</v>
      </c>
      <c r="O62" s="2513">
        <f t="shared" si="29"/>
        <v>0.26868445219506149</v>
      </c>
      <c r="P62" s="2513">
        <f t="shared" si="29"/>
        <v>0.27316252639831251</v>
      </c>
      <c r="Q62" s="2513">
        <f t="shared" si="29"/>
        <v>0.27485656512607859</v>
      </c>
      <c r="R62" s="2514">
        <f t="shared" si="29"/>
        <v>0.27485656512607859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2668.3728205186626</v>
      </c>
      <c r="N63" s="1769">
        <f t="shared" si="30"/>
        <v>773.73968862077857</v>
      </c>
      <c r="O63" s="1769">
        <f t="shared" si="30"/>
        <v>548.39286907116161</v>
      </c>
      <c r="P63" s="1769">
        <f t="shared" si="30"/>
        <v>548.39286907116161</v>
      </c>
      <c r="Q63" s="1769">
        <f t="shared" si="30"/>
        <v>398.92369687778057</v>
      </c>
      <c r="R63" s="1776">
        <f t="shared" si="30"/>
        <v>398.92369687778057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24.161836518561746</v>
      </c>
      <c r="N64" s="3427">
        <f>IF($N$7=0,0,N$63/$N$9)</f>
        <v>23.353772906871264</v>
      </c>
      <c r="O64" s="3427">
        <f>IF($O$7=0,0,O$63/$O$9)</f>
        <v>24.828200071133523</v>
      </c>
      <c r="P64" s="3427">
        <f>IF($P$7=0,0,P$63/$P$9)</f>
        <v>24.828200071133523</v>
      </c>
      <c r="Q64" s="3427">
        <f>IF($Q$7=0,0,Q$63/$Q$9)</f>
        <v>24.081415393489866</v>
      </c>
      <c r="R64" s="3428">
        <f>IF($R$7=0,0,R$63/$R$9)</f>
        <v>24.081415393489866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0.40135941060733799</v>
      </c>
      <c r="N65" s="2169">
        <f t="shared" si="31"/>
        <v>0.37667375656243968</v>
      </c>
      <c r="O65" s="2169">
        <f t="shared" si="31"/>
        <v>0.40701967329727085</v>
      </c>
      <c r="P65" s="2169">
        <f t="shared" si="31"/>
        <v>0.41380333451889206</v>
      </c>
      <c r="Q65" s="2169">
        <f t="shared" si="31"/>
        <v>0.41519681712913564</v>
      </c>
      <c r="R65" s="2172">
        <f t="shared" si="31"/>
        <v>0.41519681712913564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0.24081564636440275</v>
      </c>
      <c r="N66" s="2171">
        <f t="shared" si="31"/>
        <v>0.22600425393746382</v>
      </c>
      <c r="O66" s="2171">
        <f t="shared" si="31"/>
        <v>0.24421180397836248</v>
      </c>
      <c r="P66" s="2171">
        <f t="shared" si="31"/>
        <v>0.24828200071133519</v>
      </c>
      <c r="Q66" s="2171">
        <f t="shared" si="31"/>
        <v>0.24911809027748139</v>
      </c>
      <c r="R66" s="2173">
        <f t="shared" si="31"/>
        <v>0.24911809027748139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1101.0849445568024</v>
      </c>
      <c r="N68" s="1772">
        <f t="shared" si="32"/>
        <v>330.22532710906046</v>
      </c>
      <c r="O68" s="1772">
        <f t="shared" si="32"/>
        <v>220.25205912854946</v>
      </c>
      <c r="P68" s="1772">
        <f t="shared" si="32"/>
        <v>220.25205912854946</v>
      </c>
      <c r="Q68" s="1772">
        <f t="shared" si="32"/>
        <v>165.1777495953215</v>
      </c>
      <c r="R68" s="1773">
        <f t="shared" si="32"/>
        <v>165.1777495953215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0.16561808791397886</v>
      </c>
      <c r="N69" s="2031">
        <f t="shared" si="33"/>
        <v>0.16076106254282413</v>
      </c>
      <c r="O69" s="2031">
        <f t="shared" si="33"/>
        <v>0.16347207669091782</v>
      </c>
      <c r="P69" s="2031">
        <f t="shared" si="33"/>
        <v>0.16619661130243313</v>
      </c>
      <c r="Q69" s="2031">
        <f t="shared" si="33"/>
        <v>0.17191577344060938</v>
      </c>
      <c r="R69" s="2032">
        <f t="shared" si="33"/>
        <v>0.17191577344060938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1429.4678759618603</v>
      </c>
      <c r="N70" s="1769">
        <f t="shared" si="34"/>
        <v>402.16836151171805</v>
      </c>
      <c r="O70" s="1769">
        <f t="shared" si="34"/>
        <v>300.57680994261204</v>
      </c>
      <c r="P70" s="1769">
        <f t="shared" si="34"/>
        <v>300.57680994261204</v>
      </c>
      <c r="Q70" s="1769">
        <f t="shared" si="34"/>
        <v>213.07294728245904</v>
      </c>
      <c r="R70" s="1776">
        <f t="shared" si="34"/>
        <v>213.07294728245904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0.21501132816465174</v>
      </c>
      <c r="N71" s="2168">
        <f t="shared" si="35"/>
        <v>0.19578453804174159</v>
      </c>
      <c r="O71" s="2168">
        <f t="shared" si="35"/>
        <v>0.22308947085834996</v>
      </c>
      <c r="P71" s="2168">
        <f t="shared" si="35"/>
        <v>0.22680762870598914</v>
      </c>
      <c r="Q71" s="2168">
        <f t="shared" si="35"/>
        <v>0.22176473902252306</v>
      </c>
      <c r="R71" s="2187">
        <f t="shared" si="35"/>
        <v>0.22176473902252306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33&amp;9
&amp;R&amp;12&amp;F
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3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1614</v>
      </c>
      <c r="L2" s="4312"/>
      <c r="M2" s="4312"/>
      <c r="N2" s="4312"/>
      <c r="O2" s="4312"/>
      <c r="P2" s="4312"/>
      <c r="Q2" s="4313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1876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75</v>
      </c>
      <c r="L6" s="1676"/>
      <c r="M6" s="520">
        <f>$K$6*M7/100</f>
        <v>33.75</v>
      </c>
      <c r="N6" s="521">
        <f>$K$6*N7/100</f>
        <v>26.25</v>
      </c>
      <c r="O6" s="521">
        <f>$K$6*O7/100</f>
        <v>15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32.0625</v>
      </c>
      <c r="N14" s="252">
        <f>N6*(100-N8)/100</f>
        <v>24.9375</v>
      </c>
      <c r="O14" s="252">
        <f>O6*(100-O8)/100</f>
        <v>14.25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203.57142857142856</v>
      </c>
      <c r="L15" s="1684"/>
      <c r="M15" s="251">
        <f>IF(M10=0,0,M14/M10*100)</f>
        <v>91.607142857142847</v>
      </c>
      <c r="N15" s="252">
        <f>IF(N10=0,0,N14/N10*100)</f>
        <v>71.25</v>
      </c>
      <c r="O15" s="252">
        <f>IF(O10=0,0,O14/O10*100)</f>
        <v>40.714285714285715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33.928571428571423</v>
      </c>
      <c r="L16" s="4311"/>
      <c r="M16" s="2419">
        <f>IF(V5&lt;3,0,IF(M12=0,0,M15/M12))</f>
        <v>15.267857142857141</v>
      </c>
      <c r="N16" s="2420">
        <f>IF(W5&lt;3,0,IF(N12=0,0,N15/N12))</f>
        <v>11.875</v>
      </c>
      <c r="O16" s="2420">
        <f>IF(X5&lt;3,0,IF(O12=0,0,O15/O12))</f>
        <v>6.7857142857142856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29.818124999999998</v>
      </c>
      <c r="N17" s="254">
        <f>N14*(100-N9)/100</f>
        <v>23.191875</v>
      </c>
      <c r="O17" s="254">
        <f>O14*(100-O9)/100</f>
        <v>13.2525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179.08783783783781</v>
      </c>
      <c r="L18" s="1686"/>
      <c r="M18" s="251">
        <f>IF(M11=0,0,M17/M11*100)</f>
        <v>80.589527027027017</v>
      </c>
      <c r="N18" s="254">
        <f>IF(N11=0,0,N17/N11*100)</f>
        <v>62.680743243243242</v>
      </c>
      <c r="O18" s="254">
        <f>IF(O11=0,0,O17/O11*100)</f>
        <v>35.817567567567565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13.431587837837835</v>
      </c>
      <c r="N19" s="505">
        <f>IF(N12=0,0,1/N12*N18)</f>
        <v>10.44679054054054</v>
      </c>
      <c r="O19" s="505">
        <f>IF(O12=0,0,1/O12*O18)</f>
        <v>5.9695945945945939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5.6499999999999986</v>
      </c>
      <c r="L20" s="1689"/>
      <c r="M20" s="312">
        <v>5.8</v>
      </c>
      <c r="N20" s="313">
        <v>5.6</v>
      </c>
      <c r="O20" s="313">
        <v>5.4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9.4166666666666679</v>
      </c>
      <c r="L21" s="1689"/>
      <c r="M21" s="515">
        <f>IF($G21=0,0,M20/$G21)</f>
        <v>9.6666666666666661</v>
      </c>
      <c r="N21" s="516">
        <f>IF($G21=0,0,N20/$G21)</f>
        <v>9.3333333333333339</v>
      </c>
      <c r="O21" s="516">
        <f>IF($G21=0,0,O20/$G21)</f>
        <v>9.0000000000000018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3743.8312500000002</v>
      </c>
      <c r="L22" s="1690"/>
      <c r="M22" s="446">
        <f t="shared" ref="M22:Q23" si="1">M$17*M20*10</f>
        <v>1729.4512499999998</v>
      </c>
      <c r="N22" s="448">
        <f t="shared" si="1"/>
        <v>1298.7449999999999</v>
      </c>
      <c r="O22" s="448">
        <f t="shared" si="1"/>
        <v>715.63499999999999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6239.71875</v>
      </c>
      <c r="L23" s="1691"/>
      <c r="M23" s="447">
        <f t="shared" si="1"/>
        <v>2882.4187499999998</v>
      </c>
      <c r="N23" s="449">
        <f t="shared" si="1"/>
        <v>2164.5750000000003</v>
      </c>
      <c r="O23" s="449">
        <f t="shared" si="1"/>
        <v>1192.7250000000001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10.593</v>
      </c>
      <c r="N32" s="461">
        <f>$L32*N$7/100</f>
        <v>8.238999999999999</v>
      </c>
      <c r="O32" s="461">
        <f>$L32*O$7/100</f>
        <v>4.7079999999999993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510.35356458333325</v>
      </c>
      <c r="M34" s="460">
        <f>$L34*M$7/100</f>
        <v>229.65910406249998</v>
      </c>
      <c r="N34" s="461">
        <f>$L34*N$7/100</f>
        <v>178.62374760416662</v>
      </c>
      <c r="O34" s="461">
        <f>$L34*O$7/100</f>
        <v>102.07071291666665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-40</v>
      </c>
      <c r="J36" s="159"/>
      <c r="K36" s="1703">
        <f>H36*$K$14+I36</f>
        <v>116.75</v>
      </c>
      <c r="L36" s="1704">
        <f>K36*$F36</f>
        <v>200.52590833333335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0.38</v>
      </c>
      <c r="I39" s="120"/>
      <c r="J39" s="161"/>
      <c r="K39" s="1705">
        <f>H39*$K$14+I39</f>
        <v>27.074999999999999</v>
      </c>
      <c r="L39" s="1706">
        <f>K39*$F39</f>
        <v>16.109624999999998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145.70704090955999</v>
      </c>
      <c r="M43" s="484">
        <f>SUM(Z46:Z56)</f>
        <v>50.428178076519998</v>
      </c>
      <c r="N43" s="484">
        <f>SUM(AA46:AA56)</f>
        <v>48.569013636519998</v>
      </c>
      <c r="O43" s="484">
        <f>SUM(AB46:AB56)</f>
        <v>46.709849196519997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0.99</v>
      </c>
      <c r="K46" s="1651">
        <f t="shared" ref="K46:K56" si="6">J46*H46</f>
        <v>0.81179999999999997</v>
      </c>
      <c r="L46" s="1704">
        <f t="shared" ref="L46:L56" si="7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X48" si="8">IF(M46&lt;&gt;0,M46*$H46,0)</f>
        <v>0.27060000000000001</v>
      </c>
      <c r="U46" s="479">
        <f t="shared" si="8"/>
        <v>0.27060000000000001</v>
      </c>
      <c r="V46" s="479">
        <f t="shared" si="8"/>
        <v>0.27060000000000001</v>
      </c>
      <c r="W46" s="479">
        <f t="shared" si="8"/>
        <v>0</v>
      </c>
      <c r="X46" s="480">
        <f t="shared" si="8"/>
        <v>0</v>
      </c>
      <c r="Y46"/>
      <c r="Z46" s="478">
        <f t="shared" ref="Z46:AD48" si="9">IF(M46&lt;&gt;0,M46*$I46,0)</f>
        <v>3.9342326672879988</v>
      </c>
      <c r="AA46" s="479">
        <f t="shared" si="9"/>
        <v>3.9342326672879988</v>
      </c>
      <c r="AB46" s="479">
        <f t="shared" si="9"/>
        <v>3.9342326672879988</v>
      </c>
      <c r="AC46" s="479">
        <f t="shared" si="9"/>
        <v>0</v>
      </c>
      <c r="AD46" s="480">
        <f t="shared" si="9"/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0.99</v>
      </c>
      <c r="K47" s="1651">
        <f t="shared" si="6"/>
        <v>0.47519999999999996</v>
      </c>
      <c r="L47" s="1704">
        <f t="shared" si="7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8"/>
        <v>0.15840000000000001</v>
      </c>
      <c r="U47" s="479">
        <f t="shared" si="8"/>
        <v>0.15840000000000001</v>
      </c>
      <c r="V47" s="479">
        <f t="shared" si="8"/>
        <v>0.15840000000000001</v>
      </c>
      <c r="W47" s="479">
        <f t="shared" si="8"/>
        <v>0</v>
      </c>
      <c r="X47" s="480">
        <f t="shared" si="8"/>
        <v>0</v>
      </c>
      <c r="Y47"/>
      <c r="Z47" s="478">
        <f t="shared" si="9"/>
        <v>3.1209308296319995</v>
      </c>
      <c r="AA47" s="479">
        <f t="shared" si="9"/>
        <v>3.1209308296319995</v>
      </c>
      <c r="AB47" s="479">
        <f t="shared" si="9"/>
        <v>3.1209308296319995</v>
      </c>
      <c r="AC47" s="479">
        <f t="shared" si="9"/>
        <v>0</v>
      </c>
      <c r="AD47" s="480">
        <f t="shared" si="9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3</v>
      </c>
      <c r="K48" s="1651">
        <f t="shared" si="6"/>
        <v>1.1099999999999999</v>
      </c>
      <c r="L48" s="1704">
        <f t="shared" si="7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8"/>
        <v>0.37</v>
      </c>
      <c r="U48" s="479">
        <f t="shared" si="8"/>
        <v>0.37</v>
      </c>
      <c r="V48" s="479">
        <f t="shared" si="8"/>
        <v>0.37</v>
      </c>
      <c r="W48" s="479">
        <f t="shared" si="8"/>
        <v>0</v>
      </c>
      <c r="X48" s="480">
        <f t="shared" si="8"/>
        <v>0</v>
      </c>
      <c r="Y48"/>
      <c r="Z48" s="478">
        <f t="shared" si="9"/>
        <v>5.4505114075999996</v>
      </c>
      <c r="AA48" s="479">
        <f t="shared" si="9"/>
        <v>5.4505114075999996</v>
      </c>
      <c r="AB48" s="479">
        <f t="shared" si="9"/>
        <v>5.4505114075999996</v>
      </c>
      <c r="AC48" s="479">
        <f t="shared" si="9"/>
        <v>0</v>
      </c>
      <c r="AD48" s="480">
        <f t="shared" si="9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5"/>
        <v>3</v>
      </c>
      <c r="K49" s="1651">
        <f>J49*H49</f>
        <v>0.89999999999999991</v>
      </c>
      <c r="L49" s="1704">
        <f>J49*I49</f>
        <v>55.7749332</v>
      </c>
      <c r="M49" s="317">
        <v>1.1000000000000001</v>
      </c>
      <c r="N49" s="318">
        <v>1</v>
      </c>
      <c r="O49" s="318">
        <v>0.9</v>
      </c>
      <c r="P49" s="318"/>
      <c r="Q49" s="319"/>
      <c r="R49" s="542"/>
      <c r="S49" s="542"/>
      <c r="T49" s="478">
        <f t="shared" ref="T49:T55" si="10">IF(M49&lt;&gt;0,M49*$H49,0)</f>
        <v>0.33</v>
      </c>
      <c r="U49" s="479">
        <f t="shared" ref="U49:U55" si="11">IF(N49&lt;&gt;0,N49*$H49,0)</f>
        <v>0.3</v>
      </c>
      <c r="V49" s="479">
        <f t="shared" ref="V49:V55" si="12">IF(O49&lt;&gt;0,O49*$H49,0)</f>
        <v>0.27</v>
      </c>
      <c r="W49" s="479">
        <f t="shared" ref="W49:W55" si="13">IF(P49&lt;&gt;0,P49*$H49,0)</f>
        <v>0</v>
      </c>
      <c r="X49" s="480">
        <f t="shared" ref="X49:X55" si="14">IF(Q49&lt;&gt;0,Q49*$H49,0)</f>
        <v>0</v>
      </c>
      <c r="Y49"/>
      <c r="Z49" s="478">
        <f t="shared" ref="Z49:Z55" si="15">IF(M49&lt;&gt;0,M49*$I49,0)</f>
        <v>20.450808840000001</v>
      </c>
      <c r="AA49" s="479">
        <f t="shared" ref="AA49:AA55" si="16">IF(N49&lt;&gt;0,N49*$I49,0)</f>
        <v>18.5916444</v>
      </c>
      <c r="AB49" s="479">
        <f t="shared" ref="AB49:AB55" si="17">IF(O49&lt;&gt;0,O49*$I49,0)</f>
        <v>16.732479959999999</v>
      </c>
      <c r="AC49" s="479">
        <f t="shared" ref="AC49:AC55" si="18">IF(P49&lt;&gt;0,P49*$I49,0)</f>
        <v>0</v>
      </c>
      <c r="AD49" s="480">
        <f t="shared" ref="AD49:AD55" si="19">IF(Q49&lt;&gt;0,Q49*$I49,0)</f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5"/>
        <v>3</v>
      </c>
      <c r="K50" s="1651">
        <f t="shared" si="6"/>
        <v>1.0499999999999998</v>
      </c>
      <c r="L50" s="1704">
        <f t="shared" si="7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10"/>
        <v>0.35</v>
      </c>
      <c r="U50" s="479">
        <f t="shared" si="11"/>
        <v>0.35</v>
      </c>
      <c r="V50" s="479">
        <f t="shared" si="12"/>
        <v>0.35</v>
      </c>
      <c r="W50" s="479">
        <f t="shared" si="13"/>
        <v>0</v>
      </c>
      <c r="X50" s="480">
        <f t="shared" si="14"/>
        <v>0</v>
      </c>
      <c r="Y50"/>
      <c r="Z50" s="478">
        <f t="shared" si="15"/>
        <v>8.5775754679999991</v>
      </c>
      <c r="AA50" s="479">
        <f t="shared" si="16"/>
        <v>8.5775754679999991</v>
      </c>
      <c r="AB50" s="479">
        <f t="shared" si="17"/>
        <v>8.5775754679999991</v>
      </c>
      <c r="AC50" s="479">
        <f t="shared" si="18"/>
        <v>0</v>
      </c>
      <c r="AD50" s="480">
        <f t="shared" si="1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5"/>
        <v>3</v>
      </c>
      <c r="K51" s="1651">
        <f t="shared" si="6"/>
        <v>0.78</v>
      </c>
      <c r="L51" s="1704">
        <f t="shared" si="7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10"/>
        <v>0.26</v>
      </c>
      <c r="U51" s="479">
        <f t="shared" si="11"/>
        <v>0.26</v>
      </c>
      <c r="V51" s="479">
        <f t="shared" si="12"/>
        <v>0.26</v>
      </c>
      <c r="W51" s="479">
        <f t="shared" si="13"/>
        <v>0</v>
      </c>
      <c r="X51" s="480">
        <f t="shared" si="14"/>
        <v>0</v>
      </c>
      <c r="Y51"/>
      <c r="Z51" s="478">
        <f t="shared" si="15"/>
        <v>8.8941188640000011</v>
      </c>
      <c r="AA51" s="479">
        <f t="shared" si="16"/>
        <v>8.8941188640000011</v>
      </c>
      <c r="AB51" s="479">
        <f t="shared" si="17"/>
        <v>8.8941188640000011</v>
      </c>
      <c r="AC51" s="479">
        <f t="shared" si="18"/>
        <v>0</v>
      </c>
      <c r="AD51" s="480">
        <f t="shared" si="1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5"/>
        <v>0</v>
      </c>
      <c r="K52" s="1651">
        <f t="shared" si="6"/>
        <v>0</v>
      </c>
      <c r="L52" s="1704">
        <f t="shared" si="7"/>
        <v>0</v>
      </c>
      <c r="M52" s="317"/>
      <c r="N52" s="318"/>
      <c r="O52" s="318"/>
      <c r="P52" s="318"/>
      <c r="Q52" s="319"/>
      <c r="R52" s="542"/>
      <c r="S52" s="542"/>
      <c r="T52" s="478">
        <f t="shared" si="10"/>
        <v>0</v>
      </c>
      <c r="U52" s="479">
        <f t="shared" si="11"/>
        <v>0</v>
      </c>
      <c r="V52" s="479">
        <f t="shared" si="12"/>
        <v>0</v>
      </c>
      <c r="W52" s="479">
        <f t="shared" si="13"/>
        <v>0</v>
      </c>
      <c r="X52" s="480">
        <f t="shared" si="14"/>
        <v>0</v>
      </c>
      <c r="Y52"/>
      <c r="Z52" s="478">
        <f t="shared" si="15"/>
        <v>0</v>
      </c>
      <c r="AA52" s="479">
        <f t="shared" si="16"/>
        <v>0</v>
      </c>
      <c r="AB52" s="479">
        <f t="shared" si="17"/>
        <v>0</v>
      </c>
      <c r="AC52" s="479">
        <f t="shared" si="18"/>
        <v>0</v>
      </c>
      <c r="AD52" s="480">
        <f t="shared" si="19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10"/>
        <v>0</v>
      </c>
      <c r="U53" s="479">
        <f t="shared" si="11"/>
        <v>0</v>
      </c>
      <c r="V53" s="479">
        <f t="shared" si="12"/>
        <v>0</v>
      </c>
      <c r="W53" s="479">
        <f t="shared" si="13"/>
        <v>0</v>
      </c>
      <c r="X53" s="480">
        <f t="shared" si="14"/>
        <v>0</v>
      </c>
      <c r="Y53"/>
      <c r="Z53" s="478">
        <f t="shared" si="15"/>
        <v>0</v>
      </c>
      <c r="AA53" s="479">
        <f t="shared" si="16"/>
        <v>0</v>
      </c>
      <c r="AB53" s="479">
        <f t="shared" si="17"/>
        <v>0</v>
      </c>
      <c r="AC53" s="479">
        <f t="shared" si="18"/>
        <v>0</v>
      </c>
      <c r="AD53" s="480">
        <f t="shared" si="19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10"/>
        <v>0</v>
      </c>
      <c r="U54" s="479">
        <f t="shared" si="11"/>
        <v>0</v>
      </c>
      <c r="V54" s="479">
        <f t="shared" si="12"/>
        <v>0</v>
      </c>
      <c r="W54" s="479">
        <f t="shared" si="13"/>
        <v>0</v>
      </c>
      <c r="X54" s="480">
        <f t="shared" si="14"/>
        <v>0</v>
      </c>
      <c r="Y54"/>
      <c r="Z54" s="478">
        <f t="shared" si="15"/>
        <v>0</v>
      </c>
      <c r="AA54" s="479">
        <f t="shared" si="16"/>
        <v>0</v>
      </c>
      <c r="AB54" s="479">
        <f t="shared" si="17"/>
        <v>0</v>
      </c>
      <c r="AC54" s="479">
        <f t="shared" si="18"/>
        <v>0</v>
      </c>
      <c r="AD54" s="480">
        <f t="shared" si="19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10"/>
        <v>0</v>
      </c>
      <c r="U55" s="479">
        <f t="shared" si="11"/>
        <v>0</v>
      </c>
      <c r="V55" s="479">
        <f t="shared" si="12"/>
        <v>0</v>
      </c>
      <c r="W55" s="479">
        <f t="shared" si="13"/>
        <v>0</v>
      </c>
      <c r="X55" s="480">
        <f t="shared" si="14"/>
        <v>0</v>
      </c>
      <c r="Y55"/>
      <c r="Z55" s="478">
        <f t="shared" si="15"/>
        <v>0</v>
      </c>
      <c r="AA55" s="479">
        <f t="shared" si="16"/>
        <v>0</v>
      </c>
      <c r="AB55" s="479">
        <f t="shared" si="17"/>
        <v>0</v>
      </c>
      <c r="AC55" s="479">
        <f t="shared" si="18"/>
        <v>0</v>
      </c>
      <c r="AD55" s="480">
        <f t="shared" si="19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5"/>
        <v>0</v>
      </c>
      <c r="K56" s="1652">
        <f t="shared" si="6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5.1269999999999998</v>
      </c>
      <c r="L57" s="1716"/>
      <c r="M57" s="278">
        <f>SUM(T46:T56)</f>
        <v>1.7390000000000001</v>
      </c>
      <c r="N57" s="508">
        <f>SUM(U46:U56)</f>
        <v>1.7089999999999999</v>
      </c>
      <c r="O57" s="508">
        <f>SUM(V46:V56)</f>
        <v>1.679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9.2286000000000001</v>
      </c>
      <c r="L58" s="1718"/>
      <c r="M58" s="270">
        <f>IF(M57+(M57*$G$58/100)&gt;M57+10,M57+10,M57+(M57*$G$58/100))</f>
        <v>3.1302000000000003</v>
      </c>
      <c r="N58" s="509">
        <f>IF(N57+(N57*$G$58/100)&gt;(N57+10),N57+10,N57+(N57*$G$58/100))</f>
        <v>3.0762</v>
      </c>
      <c r="O58" s="509">
        <f>IF(O57+(O57*$G$58/100)&gt;(O57+10),O57+10,O57+(O57*$G$58/100))</f>
        <v>3.0221999999999998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355.39349999999996</v>
      </c>
      <c r="M59" s="253">
        <f>SUM(T61:T63)</f>
        <v>129.76949999999999</v>
      </c>
      <c r="N59" s="254">
        <f>SUM(U61:U63)</f>
        <v>118.4645</v>
      </c>
      <c r="O59" s="254">
        <f>SUM(V61:V63)</f>
        <v>107.15950000000001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2615"/>
      <c r="F61" s="2615"/>
      <c r="G61" s="3060">
        <v>65</v>
      </c>
      <c r="H61" s="3663">
        <f>G61*(100+$H$59)/100</f>
        <v>77.349999999999994</v>
      </c>
      <c r="I61" s="2615"/>
      <c r="J61" s="3095">
        <f>SUM(M61:Q61)</f>
        <v>0.21000000000000002</v>
      </c>
      <c r="K61" s="2618"/>
      <c r="L61" s="2619">
        <f>J61*H61</f>
        <v>16.243500000000001</v>
      </c>
      <c r="M61" s="3111">
        <v>7.0000000000000007E-2</v>
      </c>
      <c r="N61" s="3088">
        <v>7.0000000000000007E-2</v>
      </c>
      <c r="O61" s="3088">
        <v>7.0000000000000007E-2</v>
      </c>
      <c r="P61" s="3088"/>
      <c r="Q61" s="2620"/>
      <c r="R61" s="542"/>
      <c r="S61" s="542"/>
      <c r="T61" s="594">
        <f>IF(M61&lt;&gt;0,M61*$H61,0)</f>
        <v>5.4145000000000003</v>
      </c>
      <c r="U61" s="594">
        <f t="shared" ref="U61:X63" si="20">IF(N61&lt;&gt;0,N61*$H61,0)</f>
        <v>5.4145000000000003</v>
      </c>
      <c r="V61" s="594">
        <f t="shared" si="20"/>
        <v>5.4145000000000003</v>
      </c>
      <c r="W61" s="594">
        <f t="shared" si="20"/>
        <v>0</v>
      </c>
      <c r="X61" s="594">
        <f t="shared" si="20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/>
      <c r="C62" s="354"/>
      <c r="D62" s="3440" t="s">
        <v>1368</v>
      </c>
      <c r="E62" s="3081"/>
      <c r="F62" s="3081"/>
      <c r="G62" s="3441">
        <v>95</v>
      </c>
      <c r="H62" s="3664">
        <f>G62*(100+$H$59)/100</f>
        <v>113.05</v>
      </c>
      <c r="I62" s="3091"/>
      <c r="J62" s="3096">
        <f>SUM(M62:Q62)</f>
        <v>3</v>
      </c>
      <c r="K62" s="2304"/>
      <c r="L62" s="3069">
        <f>J62*H62</f>
        <v>339.15</v>
      </c>
      <c r="M62" s="3442">
        <v>1.1000000000000001</v>
      </c>
      <c r="N62" s="3443">
        <v>1</v>
      </c>
      <c r="O62" s="3443">
        <v>0.9</v>
      </c>
      <c r="P62" s="3443"/>
      <c r="Q62" s="3444"/>
      <c r="R62" s="542"/>
      <c r="S62" s="542"/>
      <c r="T62" s="594">
        <f>IF(M62&lt;&gt;0,M62*$H62,0)</f>
        <v>124.355</v>
      </c>
      <c r="U62" s="594">
        <f t="shared" si="20"/>
        <v>113.05</v>
      </c>
      <c r="V62" s="594">
        <f t="shared" si="20"/>
        <v>101.745</v>
      </c>
      <c r="W62" s="594">
        <f t="shared" si="20"/>
        <v>0</v>
      </c>
      <c r="X62" s="594">
        <f t="shared" si="20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20"/>
        <v>0</v>
      </c>
      <c r="V63" s="594">
        <f t="shared" si="20"/>
        <v>0</v>
      </c>
      <c r="W63" s="594">
        <f t="shared" si="20"/>
        <v>0</v>
      </c>
      <c r="X63" s="594">
        <f t="shared" si="20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21">SUM(L69:L70)</f>
        <v>41.65</v>
      </c>
      <c r="M67" s="253">
        <f t="shared" si="21"/>
        <v>18.7425</v>
      </c>
      <c r="N67" s="254">
        <f t="shared" si="21"/>
        <v>14.577500000000001</v>
      </c>
      <c r="O67" s="254">
        <f t="shared" si="21"/>
        <v>8.33</v>
      </c>
      <c r="P67" s="254">
        <f t="shared" si="21"/>
        <v>0</v>
      </c>
      <c r="Q67" s="257">
        <f t="shared" si="2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>IF(AND($B69&lt;3,V$5=1),M$7*$I69/100,IF(AND($B69=3,V$5=3),M$7*$I69/100,0))</f>
        <v>18.7425</v>
      </c>
      <c r="N69" s="933">
        <f t="shared" ref="N69:P70" si="22">IF(AND($B69&lt;3,W$5=1),N$7*$I69/100,IF(AND($B69=3,W$5=3),N$7*$I69/100,0))</f>
        <v>14.577500000000001</v>
      </c>
      <c r="O69" s="933">
        <f t="shared" si="22"/>
        <v>8.33</v>
      </c>
      <c r="P69" s="933">
        <f t="shared" si="22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22"/>
        <v>0</v>
      </c>
      <c r="O70" s="933">
        <f t="shared" si="22"/>
        <v>0</v>
      </c>
      <c r="P70" s="933">
        <f t="shared" si="2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3">K16</f>
        <v>33.928571428571423</v>
      </c>
      <c r="L77" s="3321">
        <f t="shared" si="23"/>
        <v>0</v>
      </c>
      <c r="M77" s="3321">
        <f t="shared" si="23"/>
        <v>15.267857142857141</v>
      </c>
      <c r="N77" s="3321">
        <f t="shared" si="23"/>
        <v>11.875</v>
      </c>
      <c r="O77" s="3321">
        <f t="shared" si="23"/>
        <v>6.7857142857142856</v>
      </c>
      <c r="P77" s="3321">
        <f t="shared" si="23"/>
        <v>0</v>
      </c>
      <c r="Q77" s="3321">
        <f t="shared" si="23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164.86458333333331</v>
      </c>
      <c r="L79" s="3321"/>
      <c r="M79" s="3321">
        <f>M78*M16</f>
        <v>74.189062499999991</v>
      </c>
      <c r="N79" s="3321">
        <f>N78*N16</f>
        <v>57.702604166666667</v>
      </c>
      <c r="O79" s="3321">
        <f>O78*O16</f>
        <v>32.97291666666667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4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'7)GS 3Nutz.Fremdmech(a)'!H2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'7)GS 3Nutz.Fremdmech(a)'!K2</f>
        <v>Wiese; 3 Nutzungen, Fremdernte, 3 x Silage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'7)GS 3Nutz.Fremdmech(a)'!H3</f>
        <v>3 x Silage, Eigenmechanisierung bis Schwaden, Ernte LU LW,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'7)GS 3Nutz.Fremdmech(a)'!M5</f>
        <v>Silage</v>
      </c>
      <c r="O5" s="1568" t="str">
        <f>'7)GS 3Nutz.Fremdmech(a)'!N5</f>
        <v>Silage</v>
      </c>
      <c r="P5" s="1568" t="str">
        <f>'7)GS 3Nutz.Fremdmech(a)'!O5</f>
        <v>Silage</v>
      </c>
      <c r="Q5" s="1568" t="str">
        <f>'7)GS 3Nutz.Fremdmech(a)'!P5</f>
        <v>Silage</v>
      </c>
      <c r="R5" s="1573" t="str">
        <f>'7)GS 3Nutz.Fremdmech(a)'!Q5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'7)GS 3Nutz.Fremdmech(a)'!K6</f>
        <v>75</v>
      </c>
      <c r="N6" s="1821">
        <f>'7)GS 3Nutz.Fremdmech(a)'!M6</f>
        <v>33.75</v>
      </c>
      <c r="O6" s="1821">
        <f>'7)GS 3Nutz.Fremdmech(a)'!N6</f>
        <v>26.25</v>
      </c>
      <c r="P6" s="1821">
        <f>'7)GS 3Nutz.Fremdmech(a)'!O6</f>
        <v>15</v>
      </c>
      <c r="Q6" s="1821">
        <f>'7)GS 3Nutz.Fremdmech(a)'!P6</f>
        <v>0</v>
      </c>
      <c r="R6" s="1822">
        <f>'7)GS 3Nutz.Fremdmech(a)'!Q6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'7)GS 3Nutz.Fremdmech(a)'!K14</f>
        <v>71.25</v>
      </c>
      <c r="N7" s="452">
        <f>'7)GS 3Nutz.Fremdmech(a)'!M14</f>
        <v>32.0625</v>
      </c>
      <c r="O7" s="452">
        <f>'7)GS 3Nutz.Fremdmech(a)'!N14</f>
        <v>24.9375</v>
      </c>
      <c r="P7" s="452">
        <f>'7)GS 3Nutz.Fremdmech(a)'!O14</f>
        <v>14.25</v>
      </c>
      <c r="Q7" s="452">
        <f>'7)GS 3Nutz.Fremdmech(a)'!P14</f>
        <v>0</v>
      </c>
      <c r="R7" s="1744">
        <f>'7)GS 3Nutz.Fremdmech(a)'!Q14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'7)GS 3Nutz.Fremdmech(a)'!K15</f>
        <v>203.57142857142856</v>
      </c>
      <c r="N8" s="473">
        <f>'7)GS 3Nutz.Fremdmech(a)'!M15</f>
        <v>91.607142857142847</v>
      </c>
      <c r="O8" s="473">
        <f>'7)GS 3Nutz.Fremdmech(a)'!N15</f>
        <v>71.25</v>
      </c>
      <c r="P8" s="473">
        <f>'7)GS 3Nutz.Fremdmech(a)'!O15</f>
        <v>40.714285714285715</v>
      </c>
      <c r="Q8" s="473">
        <f>'7)GS 3Nutz.Fremdmech(a)'!P15</f>
        <v>0</v>
      </c>
      <c r="R8" s="1583">
        <f>'7)GS 3Nutz.Fremdmech(a)'!Q15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'7)GS 3Nutz.Fremdmech(a)'!K17</f>
        <v>66.262500000000003</v>
      </c>
      <c r="N9" s="452">
        <f>'7)GS 3Nutz.Fremdmech(a)'!M17</f>
        <v>29.818124999999998</v>
      </c>
      <c r="O9" s="452">
        <f>'7)GS 3Nutz.Fremdmech(a)'!N17</f>
        <v>23.191875</v>
      </c>
      <c r="P9" s="452">
        <f>'7)GS 3Nutz.Fremdmech(a)'!O17</f>
        <v>13.2525</v>
      </c>
      <c r="Q9" s="452">
        <f>'7)GS 3Nutz.Fremdmech(a)'!P17</f>
        <v>0</v>
      </c>
      <c r="R9" s="1744">
        <f>'7)GS 3Nutz.Fremdmech(a)'!Q17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'7)GS 3Nutz.Fremdmech(a)'!K18</f>
        <v>179.08783783783781</v>
      </c>
      <c r="N10" s="1748">
        <f>'7)GS 3Nutz.Fremdmech(a)'!M18</f>
        <v>80.589527027027017</v>
      </c>
      <c r="O10" s="1748">
        <f>'7)GS 3Nutz.Fremdmech(a)'!N18</f>
        <v>62.680743243243242</v>
      </c>
      <c r="P10" s="1748">
        <f>'7)GS 3Nutz.Fremdmech(a)'!O18</f>
        <v>35.817567567567565</v>
      </c>
      <c r="Q10" s="1748">
        <f>'7)GS 3Nutz.Fremdmech(a)'!P18</f>
        <v>0</v>
      </c>
      <c r="R10" s="1745">
        <f>'7)GS 3Nutz.Fremdmech(a)'!Q18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'7)GS 3Nutz.Fremdmech(a)'!K19</f>
        <v>29.847972972972968</v>
      </c>
      <c r="N11" s="2094">
        <f>'7)GS 3Nutz.Fremdmech(a)'!M19</f>
        <v>13.431587837837835</v>
      </c>
      <c r="O11" s="2094">
        <f>'7)GS 3Nutz.Fremdmech(a)'!N19</f>
        <v>10.44679054054054</v>
      </c>
      <c r="P11" s="2094">
        <f>'7)GS 3Nutz.Fremdmech(a)'!O19</f>
        <v>5.9695945945945939</v>
      </c>
      <c r="Q11" s="2094">
        <f>'7)GS 3Nutz.Fremdmech(a)'!P19</f>
        <v>0</v>
      </c>
      <c r="R11" s="2078">
        <f>'7)GS 3Nutz.Fremdmech(a)'!Q19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'7)GS 3Nutz.Fremdmech(a)'!K22</f>
        <v>3743.8312500000002</v>
      </c>
      <c r="N12" s="1176">
        <f>'7)GS 3Nutz.Fremdmech(a)'!M22</f>
        <v>1729.4512499999998</v>
      </c>
      <c r="O12" s="1176">
        <f>'7)GS 3Nutz.Fremdmech(a)'!N22</f>
        <v>1298.7449999999999</v>
      </c>
      <c r="P12" s="1176">
        <f>'7)GS 3Nutz.Fremdmech(a)'!O22</f>
        <v>715.63499999999999</v>
      </c>
      <c r="Q12" s="1176">
        <f>'7)GS 3Nutz.Fremdmech(a)'!P22</f>
        <v>0</v>
      </c>
      <c r="R12" s="1747">
        <f>'7)GS 3Nutz.Fremdmech(a)'!Q22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'7)GS 3Nutz.Fremdmech(a)'!K23</f>
        <v>6239.71875</v>
      </c>
      <c r="N13" s="2065">
        <f>'7)GS 3Nutz.Fremdmech(a)'!M23</f>
        <v>2882.4187499999998</v>
      </c>
      <c r="O13" s="2065">
        <f>'7)GS 3Nutz.Fremdmech(a)'!N23</f>
        <v>2164.5750000000003</v>
      </c>
      <c r="P13" s="2065">
        <f>'7)GS 3Nutz.Fremdmech(a)'!O23</f>
        <v>1192.7250000000001</v>
      </c>
      <c r="Q13" s="2065">
        <f>'7)GS 3Nutz.Fremdmech(a)'!P23</f>
        <v>0</v>
      </c>
      <c r="R13" s="2067">
        <f>'7)GS 3Nutz.Fremdmech(a)'!Q23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'7)GS 3Nutz.Fremdmech(a)'!L32</f>
        <v>23.54</v>
      </c>
      <c r="N19" s="2071">
        <f>'7)GS 3Nutz.Fremdmech(a)'!M32</f>
        <v>10.593</v>
      </c>
      <c r="O19" s="2071">
        <f>'7)GS 3Nutz.Fremdmech(a)'!N32</f>
        <v>8.238999999999999</v>
      </c>
      <c r="P19" s="2071">
        <f>'7)GS 3Nutz.Fremdmech(a)'!O32</f>
        <v>4.7079999999999993</v>
      </c>
      <c r="Q19" s="2071">
        <f>'7)GS 3Nutz.Fremdmech(a)'!P32</f>
        <v>0</v>
      </c>
      <c r="R19" s="2073">
        <f>'7)GS 3Nutz.Fremdmech(a)'!Q32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'7)GS 3Nutz.Fremdmech(a)'!L34</f>
        <v>510.35356458333325</v>
      </c>
      <c r="N20" s="285">
        <f>'7)GS 3Nutz.Fremdmech(a)'!M34</f>
        <v>229.65910406249998</v>
      </c>
      <c r="O20" s="285">
        <f>'7)GS 3Nutz.Fremdmech(a)'!N34</f>
        <v>178.62374760416662</v>
      </c>
      <c r="P20" s="285">
        <f>'7)GS 3Nutz.Fremdmech(a)'!O34</f>
        <v>102.07071291666665</v>
      </c>
      <c r="Q20" s="285">
        <f>'7)GS 3Nutz.Fremdmech(a)'!P34</f>
        <v>0</v>
      </c>
      <c r="R20" s="1574">
        <f>'7)GS 3Nutz.Fremdmech(a)'!Q34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'7)GS 3Nutz.Fremdmech(a)'!L40</f>
        <v>0</v>
      </c>
      <c r="N21" s="285">
        <f>'7)GS 3Nutz.Fremdmech(a)'!M40</f>
        <v>0</v>
      </c>
      <c r="O21" s="285">
        <f>'7)GS 3Nutz.Fremdmech(a)'!N40</f>
        <v>0</v>
      </c>
      <c r="P21" s="285">
        <f>'7)GS 3Nutz.Fremdmech(a)'!O40</f>
        <v>0</v>
      </c>
      <c r="Q21" s="285">
        <f>'7)GS 3Nutz.Fremdmech(a)'!P40</f>
        <v>0</v>
      </c>
      <c r="R21" s="1574">
        <f>'7)GS 3Nutz.Fremdmech(a)'!Q40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'7)GS 3Nutz.Fremdmech(a)'!L67</f>
        <v>41.65</v>
      </c>
      <c r="N23" s="285">
        <f>'7)GS 3Nutz.Fremdmech(a)'!M67</f>
        <v>18.7425</v>
      </c>
      <c r="O23" s="285">
        <f>'7)GS 3Nutz.Fremdmech(a)'!N67</f>
        <v>14.577500000000001</v>
      </c>
      <c r="P23" s="285">
        <f>'7)GS 3Nutz.Fremdmech(a)'!O67</f>
        <v>8.33</v>
      </c>
      <c r="Q23" s="285">
        <f>'7)GS 3Nutz.Fremdmech(a)'!P67</f>
        <v>0</v>
      </c>
      <c r="R23" s="1574">
        <f>'7)GS 3Nutz.Fremdmech(a)'!Q67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'7)GS 3Nutz.Fremdmech(a)'!L43</f>
        <v>145.70704090955999</v>
      </c>
      <c r="N24" s="285">
        <f>'7)GS 3Nutz.Fremdmech(a)'!M43</f>
        <v>50.428178076519998</v>
      </c>
      <c r="O24" s="285">
        <f>'7)GS 3Nutz.Fremdmech(a)'!N43</f>
        <v>48.569013636519998</v>
      </c>
      <c r="P24" s="285">
        <f>'7)GS 3Nutz.Fremdmech(a)'!O43</f>
        <v>46.709849196519997</v>
      </c>
      <c r="Q24" s="285">
        <f>'7)GS 3Nutz.Fremdmech(a)'!P43</f>
        <v>0</v>
      </c>
      <c r="R24" s="1574">
        <f>'7)GS 3Nutz.Fremdmech(a)'!Q43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'7)GS 3Nutz.Fremdmech(a)'!L59</f>
        <v>355.39349999999996</v>
      </c>
      <c r="N25" s="285">
        <f>'7)GS 3Nutz.Fremdmech(a)'!M59</f>
        <v>129.76949999999999</v>
      </c>
      <c r="O25" s="285">
        <f>'7)GS 3Nutz.Fremdmech(a)'!N59</f>
        <v>118.4645</v>
      </c>
      <c r="P25" s="285">
        <f>'7)GS 3Nutz.Fremdmech(a)'!O59</f>
        <v>107.15950000000001</v>
      </c>
      <c r="Q25" s="285">
        <f>'7)GS 3Nutz.Fremdmech(a)'!P59</f>
        <v>0</v>
      </c>
      <c r="R25" s="1574">
        <f>'7)GS 3Nutz.Fremdmech(a)'!Q59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'7)GS 3Nutz.Fremdmech(a)'!L64</f>
        <v>0</v>
      </c>
      <c r="N26" s="1979">
        <f>'7)GS 3Nutz.Fremdmech(a)'!M64</f>
        <v>0</v>
      </c>
      <c r="O26" s="1979">
        <f>'7)GS 3Nutz.Fremdmech(a)'!N64</f>
        <v>0</v>
      </c>
      <c r="P26" s="1979">
        <f>'7)GS 3Nutz.Fremdmech(a)'!O64</f>
        <v>0</v>
      </c>
      <c r="Q26" s="1979">
        <f>'7)GS 3Nutz.Fremdmech(a)'!P64</f>
        <v>0</v>
      </c>
      <c r="R26" s="1981">
        <f>'7)GS 3Nutz.Fremdmech(a)'!Q64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1076.6441054928932</v>
      </c>
      <c r="N27" s="2407">
        <f t="shared" si="4"/>
        <v>439.19228213901994</v>
      </c>
      <c r="O27" s="2407">
        <f t="shared" si="4"/>
        <v>368.47376124068666</v>
      </c>
      <c r="P27" s="2407">
        <f t="shared" si="4"/>
        <v>268.97806211318664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-1076.6441054928932</v>
      </c>
      <c r="N28" s="1777">
        <f t="shared" si="5"/>
        <v>-439.19228213901994</v>
      </c>
      <c r="O28" s="1777">
        <f t="shared" si="5"/>
        <v>-368.47376124068666</v>
      </c>
      <c r="P28" s="1777">
        <f t="shared" si="5"/>
        <v>-268.97806211318664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-0.28757816087274052</v>
      </c>
      <c r="N29" s="1874">
        <f t="shared" si="7"/>
        <v>-0.25394892289621923</v>
      </c>
      <c r="O29" s="1874">
        <f t="shared" si="7"/>
        <v>-0.28371524913719526</v>
      </c>
      <c r="P29" s="1874">
        <f t="shared" si="7"/>
        <v>-0.37585928876198987</v>
      </c>
      <c r="Q29" s="1874">
        <f t="shared" si="7"/>
        <v>0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121.5</v>
      </c>
      <c r="O30" s="2097">
        <f t="shared" si="8"/>
        <v>94.5</v>
      </c>
      <c r="P30" s="2097">
        <f t="shared" si="8"/>
        <v>54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'7)GS 3Nutz.Fremdmech(a)'!L25</f>
        <v>0</v>
      </c>
      <c r="V30" s="3308">
        <f>'7)GS 3Nutz.Fremdmech(a)'!M25</f>
        <v>0</v>
      </c>
      <c r="W30" s="3308">
        <f>'7)GS 3Nutz.Fremdmech(a)'!N25</f>
        <v>0</v>
      </c>
      <c r="X30" s="3308">
        <f>'7)GS 3Nutz.Fremdmech(a)'!O25</f>
        <v>0</v>
      </c>
      <c r="Y30" s="3308">
        <f>'7)GS 3Nutz.Fremdmech(a)'!P25</f>
        <v>0</v>
      </c>
      <c r="Z30" s="3308">
        <f>'7)GS 3Nutz.Fremdmech(a)'!Q25</f>
        <v>0</v>
      </c>
      <c r="AA30"/>
      <c r="AB30"/>
      <c r="AC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M27*'7)GS 3Nutz.Fremdmech(a)'!$L$72*'7)GS 3Nutz.Fremdmech(a)'!$Q$72/12/100</f>
        <v>6.7290256593305831</v>
      </c>
      <c r="N31" s="1979">
        <f>N27*'7)GS 3Nutz.Fremdmech(a)'!$L$72*'7)GS 3Nutz.Fremdmech(a)'!$Q$72/12/100</f>
        <v>2.7449517633688747</v>
      </c>
      <c r="O31" s="1979">
        <f>O27*'7)GS 3Nutz.Fremdmech(a)'!$L$72*'7)GS 3Nutz.Fremdmech(a)'!$Q$72/12/100</f>
        <v>2.3029610077542917</v>
      </c>
      <c r="P31" s="1979">
        <f>P27*'7)GS 3Nutz.Fremdmech(a)'!$L$72*'7)GS 3Nutz.Fremdmech(a)'!$Q$72/12/100</f>
        <v>1.6811128882074164</v>
      </c>
      <c r="Q31" s="1979">
        <f>Q27*'7)GS 3Nutz.Fremdmech(a)'!$L$72*'7)GS 3Nutz.Fremdmech(a)'!$Q$72/12/100</f>
        <v>0</v>
      </c>
      <c r="R31" s="1981">
        <f>R27*'7)GS 3Nutz.Fremdmech(a)'!$L$72*'7)GS 3Nutz.Fremdmech(a)'!$Q$72/12/100</f>
        <v>0</v>
      </c>
      <c r="T31" s="3297" t="s">
        <v>1215</v>
      </c>
      <c r="U31" s="3308">
        <f>'7)GS 3Nutz.Fremdmech(a)'!L30</f>
        <v>270</v>
      </c>
      <c r="V31" s="3308">
        <f>'7)GS 3Nutz.Fremdmech(a)'!M30</f>
        <v>121.5</v>
      </c>
      <c r="W31" s="3308">
        <f>'7)GS 3Nutz.Fremdmech(a)'!N30</f>
        <v>94.5</v>
      </c>
      <c r="X31" s="3308">
        <f>'7)GS 3Nutz.Fremdmech(a)'!O30</f>
        <v>54</v>
      </c>
      <c r="Y31" s="3308">
        <f>'7)GS 3Nutz.Fremdmech(a)'!P30</f>
        <v>0</v>
      </c>
      <c r="Z31" s="3308">
        <f>'7)GS 3Nutz.Fremdmech(a)'!Q30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-813.37313115222378</v>
      </c>
      <c r="N32" s="1769">
        <f t="shared" si="9"/>
        <v>-320.43723390238881</v>
      </c>
      <c r="O32" s="1769">
        <f t="shared" si="9"/>
        <v>-276.27672224844093</v>
      </c>
      <c r="P32" s="1769">
        <f t="shared" si="9"/>
        <v>-216.65917500139406</v>
      </c>
      <c r="Q32" s="1769">
        <f t="shared" si="9"/>
        <v>0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121.5</v>
      </c>
      <c r="W32" s="429">
        <f t="shared" si="10"/>
        <v>94.5</v>
      </c>
      <c r="X32" s="429">
        <f t="shared" si="10"/>
        <v>54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-0.21725688922336545</v>
      </c>
      <c r="N33" s="1581">
        <f t="shared" si="11"/>
        <v>-0.18528260562556409</v>
      </c>
      <c r="O33" s="1581">
        <f t="shared" si="11"/>
        <v>-0.21272591790416207</v>
      </c>
      <c r="P33" s="1581">
        <f t="shared" si="11"/>
        <v>-0.30275094846031014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-0.13035413353401926</v>
      </c>
      <c r="N34" s="2149">
        <f t="shared" si="12"/>
        <v>-0.11116956337533845</v>
      </c>
      <c r="O34" s="2149">
        <f t="shared" si="12"/>
        <v>-0.12763555074249722</v>
      </c>
      <c r="P34" s="2149">
        <f t="shared" si="12"/>
        <v>-0.18165056907618607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'7)GS 3Nutz.Fremdmech(a)'!K58</f>
        <v>9.2286000000000001</v>
      </c>
      <c r="N36" s="2397">
        <f>'7)GS 3Nutz.Fremdmech(a)'!M58</f>
        <v>3.1302000000000003</v>
      </c>
      <c r="O36" s="2397">
        <f>'7)GS 3Nutz.Fremdmech(a)'!N58</f>
        <v>3.0762</v>
      </c>
      <c r="P36" s="2397">
        <f>'7)GS 3Nutz.Fremdmech(a)'!O58</f>
        <v>3.0221999999999998</v>
      </c>
      <c r="Q36" s="2397">
        <f>'7)GS 3Nutz.Fremdmech(a)'!P58</f>
        <v>0</v>
      </c>
      <c r="R36" s="2398">
        <f>'7)GS 3Nutz.Fremdmech(a)'!Q58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'7)GS 3Nutz.Fremdmech(a)'!K16</f>
        <v>33.928571428571423</v>
      </c>
      <c r="N37" s="2400">
        <f>'7)GS 3Nutz.Fremdmech(a)'!M16</f>
        <v>15.267857142857141</v>
      </c>
      <c r="O37" s="2400">
        <f>'7)GS 3Nutz.Fremdmech(a)'!N16</f>
        <v>11.875</v>
      </c>
      <c r="P37" s="2400">
        <f>'7)GS 3Nutz.Fremdmech(a)'!O16</f>
        <v>6.7857142857142856</v>
      </c>
      <c r="Q37" s="2400">
        <f>'7)GS 3Nutz.Fremdmech(a)'!P16</f>
        <v>0</v>
      </c>
      <c r="R37" s="2401">
        <f>'7)GS 3Nutz.Fremdmech(a)'!Q16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'7)GS 3Nutz.Fremdmech(a)'!M78</f>
        <v>4.8591666666666669</v>
      </c>
      <c r="O38" s="1997">
        <f>'7)GS 3Nutz.Fremdmech(a)'!N78</f>
        <v>4.8591666666666669</v>
      </c>
      <c r="P38" s="1997">
        <f>'7)GS 3Nutz.Fremdmech(a)'!O78</f>
        <v>4.8591666666666669</v>
      </c>
      <c r="Q38" s="1997">
        <f>'7)GS 3Nutz.Fremdmech(a)'!P78</f>
        <v>4.8591666666666669</v>
      </c>
      <c r="R38" s="1998">
        <f>'7)GS 3Nutz.Fremdmech(a)'!Q78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161.50049999999999</v>
      </c>
      <c r="N39" s="285">
        <f t="shared" si="14"/>
        <v>54.778500000000008</v>
      </c>
      <c r="O39" s="285">
        <f t="shared" si="14"/>
        <v>53.833500000000001</v>
      </c>
      <c r="P39" s="285">
        <f t="shared" si="14"/>
        <v>52.888499999999993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164.86458333333331</v>
      </c>
      <c r="N40" s="285">
        <f>N37*N38</f>
        <v>74.189062499999991</v>
      </c>
      <c r="O40" s="285">
        <f>O37*O38</f>
        <v>57.702604166666667</v>
      </c>
      <c r="P40" s="285">
        <f>P37*P38</f>
        <v>32.97291666666667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112.5</v>
      </c>
      <c r="O41" s="285">
        <f>O$6/$M$6*$M$41</f>
        <v>87.5</v>
      </c>
      <c r="P41" s="285">
        <f>P$6/$M$6*$M$41</f>
        <v>50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94.5</v>
      </c>
      <c r="O43" s="285">
        <f>O$6/$M$6*$M$43</f>
        <v>73.5</v>
      </c>
      <c r="P43" s="285">
        <f>P$6/$M$6*$M$43</f>
        <v>42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984.1850833333333</v>
      </c>
      <c r="N45" s="1991">
        <f t="shared" si="15"/>
        <v>424.98656249999999</v>
      </c>
      <c r="O45" s="1991">
        <f t="shared" si="15"/>
        <v>341.77310416666666</v>
      </c>
      <c r="P45" s="1991">
        <f t="shared" si="15"/>
        <v>217.42541666666665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2067.5582144855571</v>
      </c>
      <c r="N48" s="2127">
        <f t="shared" si="17"/>
        <v>866.9237964023888</v>
      </c>
      <c r="O48" s="2041">
        <f t="shared" si="17"/>
        <v>712.54982641510765</v>
      </c>
      <c r="P48" s="2041">
        <f t="shared" si="17"/>
        <v>488.08459166806068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-2067.5582144855571</v>
      </c>
      <c r="N49" s="2125">
        <f t="shared" si="18"/>
        <v>-866.9237964023888</v>
      </c>
      <c r="O49" s="1772">
        <f t="shared" si="18"/>
        <v>-712.54982641510765</v>
      </c>
      <c r="P49" s="1772">
        <f t="shared" si="18"/>
        <v>-488.08459166806068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-0.55225732048835185</v>
      </c>
      <c r="N50" s="2511">
        <f t="shared" si="19"/>
        <v>-0.50127102247165911</v>
      </c>
      <c r="O50" s="2168">
        <f t="shared" si="19"/>
        <v>-0.54864490443859859</v>
      </c>
      <c r="P50" s="2168">
        <f t="shared" si="19"/>
        <v>-0.68203007352639355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121.5</v>
      </c>
      <c r="O51" s="2185">
        <f t="shared" si="20"/>
        <v>94.5</v>
      </c>
      <c r="P51" s="2185">
        <f t="shared" si="20"/>
        <v>54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-1797.5582144855571</v>
      </c>
      <c r="N52" s="2178">
        <f t="shared" si="21"/>
        <v>-745.4237964023888</v>
      </c>
      <c r="O52" s="2081">
        <f t="shared" si="21"/>
        <v>-618.04982641510765</v>
      </c>
      <c r="P52" s="2081">
        <f t="shared" si="21"/>
        <v>-434.08459166806068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-0.48013868533352216</v>
      </c>
      <c r="N53" s="2511">
        <f t="shared" si="22"/>
        <v>-0.43101752443290253</v>
      </c>
      <c r="O53" s="2168">
        <f t="shared" si="22"/>
        <v>-0.47588235289845787</v>
      </c>
      <c r="P53" s="2168">
        <f t="shared" si="22"/>
        <v>-0.60657261266995144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1797.5582144855571</v>
      </c>
      <c r="N55" s="2038">
        <f t="shared" si="23"/>
        <v>745.4237964023888</v>
      </c>
      <c r="O55" s="2038">
        <f t="shared" si="23"/>
        <v>618.04982641510765</v>
      </c>
      <c r="P55" s="2038">
        <f t="shared" si="23"/>
        <v>434.08459166806068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10.037299216897283</v>
      </c>
      <c r="N56" s="2103">
        <f t="shared" si="25"/>
        <v>9.2496360743300894</v>
      </c>
      <c r="O56" s="2103">
        <f t="shared" si="25"/>
        <v>9.8602823520560463</v>
      </c>
      <c r="P56" s="2103">
        <f t="shared" si="25"/>
        <v>12.11932080114563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27.127835721344002</v>
      </c>
      <c r="N57" s="3427">
        <f>IF($N$7=0,0,N$55/$N$9)</f>
        <v>24.999016417108347</v>
      </c>
      <c r="O57" s="3427">
        <f>IF($O$7=0,0,O$55/$O$9)</f>
        <v>26.64941176231364</v>
      </c>
      <c r="P57" s="3427">
        <f>IF($P$7=0,0,P$55/$P$9)</f>
        <v>32.754921084177376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60.223795301383696</v>
      </c>
      <c r="N58" s="2134">
        <f t="shared" si="26"/>
        <v>55.49781644598054</v>
      </c>
      <c r="O58" s="2134">
        <f t="shared" si="26"/>
        <v>59.161694112336285</v>
      </c>
      <c r="P58" s="2134">
        <f t="shared" si="26"/>
        <v>72.715924806873787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0.48013868533352216</v>
      </c>
      <c r="N59" s="2136">
        <f t="shared" si="26"/>
        <v>0.43101752443290253</v>
      </c>
      <c r="O59" s="2136">
        <f t="shared" si="26"/>
        <v>0.47588235289845787</v>
      </c>
      <c r="P59" s="2136">
        <f t="shared" si="26"/>
        <v>0.60657261266995144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0.13337185703708948</v>
      </c>
      <c r="N60" s="2136">
        <f t="shared" si="27"/>
        <v>0.11972709012025071</v>
      </c>
      <c r="O60" s="2136">
        <f t="shared" si="27"/>
        <v>0.13218954247179387</v>
      </c>
      <c r="P60" s="2136">
        <f t="shared" si="27"/>
        <v>0.16849239240831984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0.48013868533352216</v>
      </c>
      <c r="N61" s="2136">
        <f t="shared" si="28"/>
        <v>0.43101752443290253</v>
      </c>
      <c r="O61" s="2136">
        <f t="shared" si="28"/>
        <v>0.47588235289845787</v>
      </c>
      <c r="P61" s="2136">
        <f t="shared" si="28"/>
        <v>0.60657261266995144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0.28808321120011332</v>
      </c>
      <c r="N62" s="2513">
        <f t="shared" si="29"/>
        <v>0.25861051465974155</v>
      </c>
      <c r="O62" s="2513">
        <f t="shared" si="29"/>
        <v>0.2855294117390747</v>
      </c>
      <c r="P62" s="2513">
        <f t="shared" si="29"/>
        <v>0.36394356760197083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1632.6936311522238</v>
      </c>
      <c r="N63" s="1769">
        <f t="shared" si="30"/>
        <v>671.23473390238883</v>
      </c>
      <c r="O63" s="1769">
        <f t="shared" si="30"/>
        <v>560.34722224844097</v>
      </c>
      <c r="P63" s="1769">
        <f t="shared" si="30"/>
        <v>401.11167500139402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24.639783152646274</v>
      </c>
      <c r="N64" s="3427">
        <f>IF($N$7=0,0,N$63/$N$9)</f>
        <v>22.510963848410618</v>
      </c>
      <c r="O64" s="3427">
        <f>IF($O$7=0,0,O$63/$O$9)</f>
        <v>24.161359193615908</v>
      </c>
      <c r="P64" s="3427">
        <f>IF($P$7=0,0,P$63/$P$9)</f>
        <v>30.266868515479647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0.43610235668400488</v>
      </c>
      <c r="N65" s="2169">
        <f t="shared" si="31"/>
        <v>0.38812006635190721</v>
      </c>
      <c r="O65" s="2169">
        <f t="shared" si="31"/>
        <v>0.43145284274314127</v>
      </c>
      <c r="P65" s="2169">
        <f t="shared" si="31"/>
        <v>0.56049756510147497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0.26166141401040294</v>
      </c>
      <c r="N66" s="2171">
        <f t="shared" si="31"/>
        <v>0.23287203981114432</v>
      </c>
      <c r="O66" s="2171">
        <f t="shared" si="31"/>
        <v>0.25887170564588469</v>
      </c>
      <c r="P66" s="2171">
        <f t="shared" si="31"/>
        <v>0.33629853906088492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582.2725902426638</v>
      </c>
      <c r="N68" s="1772">
        <f t="shared" si="32"/>
        <v>261.73955582586882</v>
      </c>
      <c r="O68" s="1772">
        <f t="shared" si="32"/>
        <v>203.74320861192095</v>
      </c>
      <c r="P68" s="1772">
        <f t="shared" si="32"/>
        <v>116.78982580487407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0.15552853517173451</v>
      </c>
      <c r="N69" s="2031">
        <f t="shared" si="33"/>
        <v>0.15134254627059818</v>
      </c>
      <c r="O69" s="2031">
        <f t="shared" si="33"/>
        <v>0.15687699172040775</v>
      </c>
      <c r="P69" s="2031">
        <f t="shared" si="33"/>
        <v>0.16319747609448124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912.60104090955997</v>
      </c>
      <c r="N70" s="1769">
        <f t="shared" si="34"/>
        <v>347.47617807652</v>
      </c>
      <c r="O70" s="1769">
        <f t="shared" si="34"/>
        <v>308.36701363652003</v>
      </c>
      <c r="P70" s="1769">
        <f t="shared" si="34"/>
        <v>256.75784919652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0.24376126485657171</v>
      </c>
      <c r="N71" s="2168">
        <f t="shared" si="35"/>
        <v>0.2009170123046371</v>
      </c>
      <c r="O71" s="2168">
        <f t="shared" si="35"/>
        <v>0.23743461082546616</v>
      </c>
      <c r="P71" s="2168">
        <f t="shared" si="35"/>
        <v>0.35878324732093875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9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58" customWidth="1"/>
    <col min="26" max="26" width="11.140625" style="530" customWidth="1"/>
    <col min="27" max="30" width="8.85546875" style="530" customWidth="1"/>
    <col min="31" max="33" width="11" style="3658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1616</v>
      </c>
      <c r="L2" s="4312"/>
      <c r="M2" s="4312"/>
      <c r="N2" s="4312"/>
      <c r="O2" s="4312"/>
      <c r="P2" s="4312"/>
      <c r="Q2" s="4313"/>
      <c r="R2" s="538"/>
      <c r="S2" s="3658"/>
      <c r="T2" s="3658"/>
      <c r="U2" s="523"/>
      <c r="V2" s="523"/>
      <c r="W2" s="523"/>
      <c r="X2" s="523"/>
      <c r="Y2" s="3658"/>
      <c r="Z2" s="523"/>
      <c r="AA2" s="523"/>
      <c r="AB2" s="523"/>
      <c r="AC2" s="523"/>
      <c r="AD2" s="523"/>
      <c r="AE2" s="3658"/>
      <c r="AF2" s="3658"/>
      <c r="AG2" s="3658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1877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58"/>
      <c r="U3" s="3658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58"/>
      <c r="AF3" s="3658"/>
      <c r="AG3" s="3658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58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58"/>
      <c r="AF4" s="3658"/>
      <c r="AG4" s="3658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58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58"/>
      <c r="AF5" s="3658"/>
      <c r="AG5" s="3658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90</v>
      </c>
      <c r="L6" s="1676"/>
      <c r="M6" s="520">
        <f>$K$6*M7/100</f>
        <v>31.5</v>
      </c>
      <c r="N6" s="521">
        <f>$K$6*N7/100</f>
        <v>22.5</v>
      </c>
      <c r="O6" s="521">
        <f>$K$6*O7/100</f>
        <v>18</v>
      </c>
      <c r="P6" s="521">
        <f>$K$6*P7/100</f>
        <v>18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58"/>
      <c r="Z6" s="525"/>
      <c r="AA6" s="525"/>
      <c r="AB6" s="525"/>
      <c r="AC6" s="525"/>
      <c r="AD6" s="525"/>
      <c r="AE6" s="3658"/>
      <c r="AF6" s="3658"/>
      <c r="AG6" s="3658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35</v>
      </c>
      <c r="N7" s="466">
        <v>25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58"/>
      <c r="Z7" s="525"/>
      <c r="AA7" s="525"/>
      <c r="AB7" s="525"/>
      <c r="AC7" s="525"/>
      <c r="AD7" s="525"/>
      <c r="AE7" s="3658"/>
      <c r="AF7" s="3658"/>
      <c r="AG7" s="3658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58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58"/>
      <c r="Z9" s="540"/>
      <c r="AA9" s="540"/>
      <c r="AB9" s="540"/>
      <c r="AC9" s="540"/>
      <c r="AD9" s="540"/>
      <c r="AE9" s="3658"/>
      <c r="AF9" s="3658"/>
      <c r="AG9" s="3658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58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35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58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37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58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>
        <v>6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58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58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85.5</v>
      </c>
      <c r="L14" s="1684"/>
      <c r="M14" s="251">
        <f>M6*(100-M8)/100</f>
        <v>29.925000000000001</v>
      </c>
      <c r="N14" s="252">
        <f>N6*(100-N8)/100</f>
        <v>21.375</v>
      </c>
      <c r="O14" s="252">
        <f>O6*(100-O8)/100</f>
        <v>17.100000000000001</v>
      </c>
      <c r="P14" s="252">
        <f>P6*(100-P8)/100</f>
        <v>17.100000000000001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58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244.28571428571431</v>
      </c>
      <c r="L15" s="1684"/>
      <c r="M15" s="251">
        <f>IF(M10=0,0,M14/M10*100)</f>
        <v>85.5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48.857142857142861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40.714285714285722</v>
      </c>
      <c r="L16" s="4311"/>
      <c r="M16" s="2419">
        <f>IF(V5&lt;3,0,IF(M12=0,0,M15/M12))</f>
        <v>14.25</v>
      </c>
      <c r="N16" s="2420">
        <f>IF(W5&lt;3,0,IF(N12=0,0,N15/N12))</f>
        <v>10.178571428571429</v>
      </c>
      <c r="O16" s="2420">
        <f>IF(X5&lt;3,0,IF(O12=0,0,O15/O12))</f>
        <v>8.1428571428571441</v>
      </c>
      <c r="P16" s="2420">
        <f>IF(Y5&lt;3,0,IF(P12=0,0,P15/P12))</f>
        <v>8.1428571428571441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 s="3658"/>
      <c r="Z16" s="608"/>
      <c r="AA16" s="2731" t="s">
        <v>564</v>
      </c>
      <c r="AB16" s="608"/>
      <c r="AC16" s="3042">
        <v>0</v>
      </c>
      <c r="AD16" s="608"/>
      <c r="AE16" s="3658"/>
      <c r="AF16" s="3658"/>
      <c r="AG16" s="365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79.515000000000015</v>
      </c>
      <c r="L17" s="1686"/>
      <c r="M17" s="251">
        <f>M14*(100-M9)/100</f>
        <v>27.830249999999999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15.903000000000002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58"/>
      <c r="Z17" s="525"/>
      <c r="AA17" s="3045" t="s">
        <v>361</v>
      </c>
      <c r="AB17" s="525"/>
      <c r="AC17" s="3044">
        <v>0</v>
      </c>
      <c r="AD17" s="525"/>
      <c r="AE17" s="3658"/>
      <c r="AF17" s="3658"/>
      <c r="AG17" s="3658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214.90540540540542</v>
      </c>
      <c r="L18" s="1686"/>
      <c r="M18" s="251">
        <f>IF(M11=0,0,M17/M11*100)</f>
        <v>75.216891891891891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42.981081081081086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58"/>
      <c r="Z18" s="525"/>
      <c r="AA18" s="525"/>
      <c r="AB18" s="525"/>
      <c r="AC18" s="525"/>
      <c r="AD18" s="525"/>
      <c r="AE18" s="3658"/>
      <c r="AF18" s="3658"/>
      <c r="AG18" s="365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12.536148648648648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7.1635135135135144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58"/>
      <c r="Z19" s="525"/>
      <c r="AA19" s="525"/>
      <c r="AB19" s="525"/>
      <c r="AC19" s="525"/>
      <c r="AD19" s="525"/>
      <c r="AE19" s="3658"/>
      <c r="AF19" s="3658"/>
      <c r="AG19" s="3658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58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6.1149999999999993</v>
      </c>
      <c r="L20" s="1689"/>
      <c r="M20" s="312">
        <v>6.3</v>
      </c>
      <c r="N20" s="313">
        <v>6.2</v>
      </c>
      <c r="O20" s="313">
        <v>6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58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10.191666666666666</v>
      </c>
      <c r="L21" s="1689"/>
      <c r="M21" s="515">
        <f>IF($G21=0,0,M20/$G21)</f>
        <v>10.5</v>
      </c>
      <c r="N21" s="516">
        <f>IF($G21=0,0,N20/$G21)</f>
        <v>10.333333333333334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58"/>
      <c r="Z21" s="525"/>
      <c r="AA21" s="525"/>
      <c r="AB21" s="525"/>
      <c r="AC21" s="525"/>
      <c r="AD21" s="525"/>
      <c r="AE21" s="3658"/>
      <c r="AF21" s="3658"/>
      <c r="AG21" s="3658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4862.3422499999997</v>
      </c>
      <c r="L22" s="1690"/>
      <c r="M22" s="446">
        <f t="shared" ref="M22:Q23" si="1">M$17*M20*10</f>
        <v>1753.3057499999998</v>
      </c>
      <c r="N22" s="448">
        <f t="shared" si="1"/>
        <v>1232.4825000000001</v>
      </c>
      <c r="O22" s="448">
        <f t="shared" si="1"/>
        <v>954.18000000000006</v>
      </c>
      <c r="P22" s="448">
        <f t="shared" si="1"/>
        <v>922.37400000000002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 s="3658"/>
      <c r="Z22" s="525"/>
      <c r="AA22" s="525"/>
      <c r="AB22" s="525"/>
      <c r="AC22" s="525"/>
      <c r="AD22" s="525"/>
      <c r="AE22" s="3658"/>
      <c r="AF22" s="3658"/>
      <c r="AG22" s="3658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8103.9037500000004</v>
      </c>
      <c r="L23" s="1691"/>
      <c r="M23" s="447">
        <f t="shared" si="1"/>
        <v>2922.17625</v>
      </c>
      <c r="N23" s="449">
        <f t="shared" si="1"/>
        <v>2054.1375000000003</v>
      </c>
      <c r="O23" s="449">
        <f t="shared" si="1"/>
        <v>1590.3000000000002</v>
      </c>
      <c r="P23" s="449">
        <f t="shared" si="1"/>
        <v>1537.2900000000002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 s="3658"/>
      <c r="Z23" s="525"/>
      <c r="AA23" s="525"/>
      <c r="AB23" s="525"/>
      <c r="AC23" s="525"/>
      <c r="AD23" s="525"/>
      <c r="AE23" s="3658"/>
      <c r="AF23" s="3658"/>
      <c r="AG23" s="3658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58"/>
      <c r="Z24" s="525"/>
      <c r="AA24" s="525"/>
      <c r="AB24" s="525"/>
      <c r="AC24" s="525"/>
      <c r="AD24" s="525"/>
      <c r="AE24" s="3658"/>
      <c r="AF24" s="3658"/>
      <c r="AG24" s="3658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58"/>
      <c r="Z25" s="527"/>
      <c r="AA25" s="527"/>
      <c r="AB25" s="527"/>
      <c r="AC25" s="527"/>
      <c r="AD25" s="527"/>
      <c r="AE25" s="3658"/>
      <c r="AF25" s="3658"/>
      <c r="AG25" s="3658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58"/>
      <c r="I26" s="3658"/>
      <c r="J26" s="3658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54">
        <f t="shared" ref="P26:P29" si="5">$L26*$P$7/100</f>
        <v>0</v>
      </c>
      <c r="Q26" s="258"/>
      <c r="R26" s="542"/>
      <c r="S26" s="542"/>
      <c r="T26" s="528"/>
      <c r="U26" s="528"/>
      <c r="V26" s="528"/>
      <c r="W26" s="528"/>
      <c r="X26" s="528"/>
      <c r="Y26" s="3658"/>
      <c r="Z26" s="528"/>
      <c r="AA26" s="528"/>
      <c r="AB26" s="528"/>
      <c r="AC26" s="528"/>
      <c r="AD26" s="528"/>
      <c r="AE26" s="3658"/>
      <c r="AF26" s="3658"/>
      <c r="AG26" s="365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58"/>
      <c r="I27" s="3658"/>
      <c r="J27" s="3658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54">
        <f t="shared" si="5"/>
        <v>0</v>
      </c>
      <c r="Q27" s="258"/>
      <c r="R27" s="542"/>
      <c r="S27" s="542"/>
      <c r="T27" s="528"/>
      <c r="U27" s="528"/>
      <c r="V27" s="528"/>
      <c r="W27" s="528"/>
      <c r="X27" s="528"/>
      <c r="Y27" s="3658"/>
      <c r="Z27" s="528"/>
      <c r="AA27" s="528"/>
      <c r="AB27" s="528"/>
      <c r="AC27" s="528"/>
      <c r="AD27" s="528"/>
      <c r="AE27" s="3658"/>
      <c r="AF27" s="3658"/>
      <c r="AG27" s="3658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58"/>
      <c r="I28" s="3658"/>
      <c r="J28" s="365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54">
        <f t="shared" si="5"/>
        <v>0</v>
      </c>
      <c r="Q28" s="258"/>
      <c r="R28" s="542"/>
      <c r="S28" s="542"/>
      <c r="T28" s="528"/>
      <c r="U28" s="528"/>
      <c r="V28" s="528"/>
      <c r="W28" s="528"/>
      <c r="X28" s="528"/>
      <c r="Y28" s="3658"/>
      <c r="Z28" s="528"/>
      <c r="AA28" s="528"/>
      <c r="AB28" s="528"/>
      <c r="AC28" s="528"/>
      <c r="AD28" s="528"/>
      <c r="AE28" s="3658"/>
      <c r="AF28" s="3658"/>
      <c r="AG28" s="365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3925">
        <f t="shared" si="5"/>
        <v>0</v>
      </c>
      <c r="Q29" s="259"/>
      <c r="R29" s="542"/>
      <c r="S29" s="542"/>
      <c r="T29" s="528"/>
      <c r="U29" s="528"/>
      <c r="V29" s="528"/>
      <c r="W29" s="528"/>
      <c r="X29" s="528"/>
      <c r="Y29" s="3658"/>
      <c r="Z29" s="528"/>
      <c r="AA29" s="528"/>
      <c r="AB29" s="528"/>
      <c r="AC29" s="528"/>
      <c r="AD29" s="528"/>
      <c r="AE29" s="3658"/>
      <c r="AF29" s="3658"/>
      <c r="AG29" s="365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94.5</v>
      </c>
      <c r="N30" s="254">
        <f>$L30*N7/100</f>
        <v>67.5</v>
      </c>
      <c r="O30" s="254">
        <f>$L30*O7/100</f>
        <v>54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58"/>
      <c r="Z30" s="528"/>
      <c r="AA30" s="528"/>
      <c r="AB30" s="528"/>
      <c r="AC30" s="528"/>
      <c r="AD30" s="528"/>
      <c r="AE30" s="3658"/>
      <c r="AF30" s="3658"/>
      <c r="AG30" s="365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58"/>
      <c r="Z31" s="528"/>
      <c r="AA31" s="528"/>
      <c r="AB31" s="528"/>
      <c r="AC31" s="528"/>
      <c r="AD31" s="528"/>
      <c r="AE31" s="3658"/>
      <c r="AF31" s="3658"/>
      <c r="AG31" s="3658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8.238999999999999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4.7079999999999993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666.87242999999989</v>
      </c>
      <c r="M34" s="460">
        <f>$L34*M$7/100</f>
        <v>233.40535049999994</v>
      </c>
      <c r="N34" s="461">
        <f>$L34*N$7/100</f>
        <v>166.71810749999997</v>
      </c>
      <c r="O34" s="461">
        <f>$L34*O$7/100</f>
        <v>133.37448599999999</v>
      </c>
      <c r="P34" s="461">
        <f>$L34*P$7/100</f>
        <v>133.37448599999999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58"/>
      <c r="Z34" s="529"/>
      <c r="AA34" s="529"/>
      <c r="AB34" s="529"/>
      <c r="AC34" s="529"/>
      <c r="AD34" s="529"/>
      <c r="AE34" s="3658"/>
      <c r="AF34" s="3658"/>
      <c r="AG34" s="3658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 s="3658"/>
      <c r="Z35" s="529"/>
      <c r="AA35" s="529"/>
      <c r="AB35" s="529"/>
      <c r="AC35" s="529"/>
      <c r="AD35" s="529"/>
      <c r="AE35" s="3658"/>
      <c r="AF35" s="3658"/>
      <c r="AG35" s="3658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58"/>
      <c r="H36" s="116">
        <v>2.4</v>
      </c>
      <c r="I36" s="117">
        <v>-45</v>
      </c>
      <c r="J36" s="159"/>
      <c r="K36" s="1703">
        <f>H36*$K$14+I36</f>
        <v>160.19999999999999</v>
      </c>
      <c r="L36" s="1704">
        <f>K36*$F36</f>
        <v>275.15418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58"/>
      <c r="Z36" s="528"/>
      <c r="AA36" s="528"/>
      <c r="AB36" s="528"/>
      <c r="AC36" s="528"/>
      <c r="AD36" s="528"/>
      <c r="AE36" s="3658"/>
      <c r="AF36" s="3658"/>
      <c r="AG36" s="365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58"/>
      <c r="H37" s="116">
        <v>1</v>
      </c>
      <c r="I37" s="117"/>
      <c r="J37" s="159"/>
      <c r="K37" s="1703">
        <f>H37*$K$14+I37</f>
        <v>85.5</v>
      </c>
      <c r="L37" s="1704">
        <f>K37*$F37</f>
        <v>96.657749999999993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58"/>
      <c r="Z37" s="528"/>
      <c r="AA37" s="528"/>
      <c r="AB37" s="528"/>
      <c r="AC37" s="528"/>
      <c r="AD37" s="528"/>
      <c r="AE37" s="3658"/>
      <c r="AF37" s="3658"/>
      <c r="AG37" s="3658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58"/>
      <c r="H38" s="116">
        <v>3</v>
      </c>
      <c r="I38" s="117"/>
      <c r="J38" s="159"/>
      <c r="K38" s="1703">
        <f>H38*$K$14+I38</f>
        <v>256.5</v>
      </c>
      <c r="L38" s="1704">
        <f>K38*$F38</f>
        <v>269.62424999999996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58"/>
      <c r="Z38" s="528"/>
      <c r="AA38" s="528"/>
      <c r="AB38" s="528"/>
      <c r="AC38" s="528"/>
      <c r="AD38" s="528"/>
      <c r="AE38" s="3658"/>
      <c r="AF38" s="3658"/>
      <c r="AG38" s="365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</v>
      </c>
      <c r="I39" s="120"/>
      <c r="J39" s="161"/>
      <c r="K39" s="1705">
        <f>H39*$K$14+I39</f>
        <v>42.75</v>
      </c>
      <c r="L39" s="1706">
        <f>K39*$F39</f>
        <v>25.436249999999998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58"/>
      <c r="Z39" s="528"/>
      <c r="AA39" s="528"/>
      <c r="AB39" s="528"/>
      <c r="AC39" s="528"/>
      <c r="AD39" s="528"/>
      <c r="AE39" s="3658"/>
      <c r="AF39" s="3658"/>
      <c r="AG39" s="365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58"/>
      <c r="Z40" s="529"/>
      <c r="AA40" s="529"/>
      <c r="AB40" s="529"/>
      <c r="AC40" s="529"/>
      <c r="AD40" s="529"/>
      <c r="AE40" s="3658"/>
      <c r="AF40" s="3658"/>
      <c r="AG40" s="3658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58"/>
      <c r="Z41" s="529"/>
      <c r="AA41" s="529"/>
      <c r="AB41" s="529"/>
      <c r="AC41" s="529"/>
      <c r="AD41" s="529"/>
      <c r="AE41" s="3658"/>
      <c r="AF41" s="3658"/>
      <c r="AG41" s="3658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58"/>
      <c r="Z42" s="528"/>
      <c r="AA42" s="528"/>
      <c r="AB42" s="528"/>
      <c r="AC42" s="528"/>
      <c r="AD42" s="528"/>
      <c r="AE42" s="3658"/>
      <c r="AF42" s="3658"/>
      <c r="AG42" s="3658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58"/>
      <c r="J43" s="359" t="s">
        <v>266</v>
      </c>
      <c r="K43" s="1710"/>
      <c r="L43" s="1693">
        <f>SUM(M43:Q43)</f>
        <v>185.57551944239998</v>
      </c>
      <c r="M43" s="484">
        <f>SUM(Z46:Z56)</f>
        <v>48.717835410599996</v>
      </c>
      <c r="N43" s="484">
        <f>SUM(AA46:AA56)</f>
        <v>46.858670970599995</v>
      </c>
      <c r="O43" s="484">
        <f>SUM(AB46:AB56)</f>
        <v>44.999506530599994</v>
      </c>
      <c r="P43" s="484">
        <f>SUM(AC46:AC56)</f>
        <v>44.999506530599994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58"/>
      <c r="Z43" s="526" t="s">
        <v>874</v>
      </c>
      <c r="AA43" s="529"/>
      <c r="AB43" s="529"/>
      <c r="AC43" s="529"/>
      <c r="AD43" s="529"/>
      <c r="AE43" s="3658"/>
      <c r="AF43" s="3658"/>
      <c r="AG43" s="3658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58"/>
      <c r="Z44" s="543" t="s">
        <v>328</v>
      </c>
      <c r="AA44" s="544"/>
      <c r="AB44" s="544"/>
      <c r="AC44" s="544"/>
      <c r="AD44" s="545"/>
      <c r="AE44" s="3658"/>
      <c r="AF44" s="3658"/>
      <c r="AG44" s="3658"/>
      <c r="AH44" s="526"/>
      <c r="AI44" s="3658"/>
      <c r="AJ44" s="3658"/>
      <c r="AK44" s="3658"/>
      <c r="AL44" s="3658"/>
      <c r="AM44" s="3658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58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58"/>
      <c r="AF45" s="3658"/>
      <c r="AG45" s="3658"/>
      <c r="AH45" s="526"/>
      <c r="AI45" s="3658"/>
      <c r="AJ45" s="3658"/>
      <c r="AK45" s="3658"/>
      <c r="AL45" s="3658"/>
      <c r="AM45" s="3658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6">SUM(M46:Q46)</f>
        <v>1</v>
      </c>
      <c r="K46" s="1651">
        <f t="shared" ref="K46:K56" si="7">J46*H46</f>
        <v>0.82</v>
      </c>
      <c r="L46" s="1704">
        <f t="shared" ref="L46:L56" si="8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X55" si="9">IF(M46&lt;&gt;0,M46*$H46,0)</f>
        <v>0.20499999999999999</v>
      </c>
      <c r="U46" s="479">
        <f t="shared" si="9"/>
        <v>0.20499999999999999</v>
      </c>
      <c r="V46" s="479">
        <f t="shared" si="9"/>
        <v>0.20499999999999999</v>
      </c>
      <c r="W46" s="479">
        <f t="shared" si="9"/>
        <v>0.20499999999999999</v>
      </c>
      <c r="X46" s="480">
        <f t="shared" si="9"/>
        <v>0</v>
      </c>
      <c r="Y46" s="3658"/>
      <c r="Z46" s="478">
        <f t="shared" ref="Z46:AD55" si="10">IF(M46&lt;&gt;0,M46*$I46,0)</f>
        <v>2.9804792933999988</v>
      </c>
      <c r="AA46" s="479">
        <f t="shared" si="10"/>
        <v>2.9804792933999988</v>
      </c>
      <c r="AB46" s="479">
        <f t="shared" si="10"/>
        <v>2.9804792933999988</v>
      </c>
      <c r="AC46" s="479">
        <f t="shared" si="10"/>
        <v>2.9804792933999988</v>
      </c>
      <c r="AD46" s="480">
        <f t="shared" si="10"/>
        <v>0</v>
      </c>
      <c r="AE46" s="3658"/>
      <c r="AF46" s="3658"/>
      <c r="AG46" s="3658"/>
      <c r="AH46" s="526"/>
      <c r="AI46" s="3658"/>
      <c r="AJ46" s="3658"/>
      <c r="AK46" s="3658"/>
      <c r="AL46" s="3658"/>
      <c r="AM46" s="3658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6"/>
        <v>1</v>
      </c>
      <c r="K47" s="1651">
        <f t="shared" si="7"/>
        <v>0.48</v>
      </c>
      <c r="L47" s="1704">
        <f t="shared" si="8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9"/>
        <v>0.12</v>
      </c>
      <c r="U47" s="479">
        <f t="shared" si="9"/>
        <v>0.12</v>
      </c>
      <c r="V47" s="479">
        <f t="shared" si="9"/>
        <v>0.12</v>
      </c>
      <c r="W47" s="479">
        <f t="shared" si="9"/>
        <v>0.12</v>
      </c>
      <c r="X47" s="480">
        <f t="shared" si="9"/>
        <v>0</v>
      </c>
      <c r="Y47" s="3658"/>
      <c r="Z47" s="478">
        <f t="shared" si="10"/>
        <v>2.3643415375999997</v>
      </c>
      <c r="AA47" s="479">
        <f t="shared" si="10"/>
        <v>2.3643415375999997</v>
      </c>
      <c r="AB47" s="479">
        <f t="shared" si="10"/>
        <v>2.3643415375999997</v>
      </c>
      <c r="AC47" s="479">
        <f t="shared" si="10"/>
        <v>2.3643415375999997</v>
      </c>
      <c r="AD47" s="480">
        <f t="shared" si="10"/>
        <v>0</v>
      </c>
      <c r="AE47" s="3658"/>
      <c r="AF47" s="3658"/>
      <c r="AG47" s="3658"/>
      <c r="AH47" s="526"/>
      <c r="AI47" s="3658"/>
      <c r="AJ47" s="3658"/>
      <c r="AK47" s="3658"/>
      <c r="AL47" s="3658"/>
      <c r="AM47" s="3658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6"/>
        <v>4</v>
      </c>
      <c r="K48" s="1651">
        <f t="shared" si="7"/>
        <v>1.48</v>
      </c>
      <c r="L48" s="1704">
        <f t="shared" si="8"/>
        <v>21.802045630399999</v>
      </c>
      <c r="M48" s="317">
        <v>1</v>
      </c>
      <c r="N48" s="318">
        <v>1</v>
      </c>
      <c r="O48" s="318">
        <v>1</v>
      </c>
      <c r="P48" s="318">
        <v>1</v>
      </c>
      <c r="Q48" s="319"/>
      <c r="R48" s="542"/>
      <c r="S48" s="542"/>
      <c r="T48" s="478">
        <f t="shared" si="9"/>
        <v>0.37</v>
      </c>
      <c r="U48" s="479">
        <f t="shared" si="9"/>
        <v>0.37</v>
      </c>
      <c r="V48" s="479">
        <f t="shared" si="9"/>
        <v>0.37</v>
      </c>
      <c r="W48" s="479">
        <f t="shared" si="9"/>
        <v>0.37</v>
      </c>
      <c r="X48" s="480">
        <f t="shared" si="9"/>
        <v>0</v>
      </c>
      <c r="Y48" s="3658"/>
      <c r="Z48" s="478">
        <f t="shared" si="10"/>
        <v>5.4505114075999996</v>
      </c>
      <c r="AA48" s="479">
        <f t="shared" si="10"/>
        <v>5.4505114075999996</v>
      </c>
      <c r="AB48" s="479">
        <f t="shared" si="10"/>
        <v>5.4505114075999996</v>
      </c>
      <c r="AC48" s="479">
        <f t="shared" si="10"/>
        <v>5.4505114075999996</v>
      </c>
      <c r="AD48" s="480">
        <f t="shared" si="10"/>
        <v>0</v>
      </c>
      <c r="AE48" s="3658"/>
      <c r="AF48" s="3658"/>
      <c r="AG48" s="3658"/>
      <c r="AH48" s="526"/>
      <c r="AI48" s="3658"/>
      <c r="AJ48" s="3658"/>
      <c r="AK48" s="3658"/>
      <c r="AL48" s="3658"/>
      <c r="AM48" s="365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6"/>
        <v>3.9</v>
      </c>
      <c r="K49" s="1651">
        <f>J49*H49</f>
        <v>1.17</v>
      </c>
      <c r="L49" s="1704">
        <f>J49*I49</f>
        <v>72.507413159999999</v>
      </c>
      <c r="M49" s="317">
        <v>1.1000000000000001</v>
      </c>
      <c r="N49" s="318">
        <v>1</v>
      </c>
      <c r="O49" s="318">
        <v>0.9</v>
      </c>
      <c r="P49" s="318">
        <v>0.9</v>
      </c>
      <c r="Q49" s="319"/>
      <c r="R49" s="542"/>
      <c r="S49" s="542"/>
      <c r="T49" s="478">
        <f t="shared" si="9"/>
        <v>0.33</v>
      </c>
      <c r="U49" s="479">
        <f t="shared" si="9"/>
        <v>0.3</v>
      </c>
      <c r="V49" s="479">
        <f t="shared" si="9"/>
        <v>0.27</v>
      </c>
      <c r="W49" s="479">
        <f t="shared" si="9"/>
        <v>0.27</v>
      </c>
      <c r="X49" s="480">
        <f t="shared" si="9"/>
        <v>0</v>
      </c>
      <c r="Y49" s="3658"/>
      <c r="Z49" s="478">
        <f t="shared" si="10"/>
        <v>20.450808840000001</v>
      </c>
      <c r="AA49" s="479">
        <f t="shared" si="10"/>
        <v>18.5916444</v>
      </c>
      <c r="AB49" s="479">
        <f t="shared" si="10"/>
        <v>16.732479959999999</v>
      </c>
      <c r="AC49" s="479">
        <f t="shared" si="10"/>
        <v>16.732479959999999</v>
      </c>
      <c r="AD49" s="480">
        <f t="shared" si="10"/>
        <v>0</v>
      </c>
      <c r="AE49" s="3658"/>
      <c r="AF49" s="3658"/>
      <c r="AG49" s="3658"/>
      <c r="AH49" s="526"/>
      <c r="AI49" s="3658"/>
      <c r="AJ49" s="3658"/>
      <c r="AK49" s="3658"/>
      <c r="AL49" s="3658"/>
      <c r="AM49" s="3658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6"/>
        <v>4</v>
      </c>
      <c r="K50" s="1651">
        <f t="shared" si="7"/>
        <v>1.4</v>
      </c>
      <c r="L50" s="1704">
        <f t="shared" si="8"/>
        <v>34.310301871999997</v>
      </c>
      <c r="M50" s="317">
        <v>1</v>
      </c>
      <c r="N50" s="318">
        <v>1</v>
      </c>
      <c r="O50" s="318">
        <v>1</v>
      </c>
      <c r="P50" s="318">
        <v>1</v>
      </c>
      <c r="Q50" s="319"/>
      <c r="R50" s="542"/>
      <c r="S50" s="542"/>
      <c r="T50" s="478">
        <f t="shared" si="9"/>
        <v>0.35</v>
      </c>
      <c r="U50" s="479">
        <f t="shared" si="9"/>
        <v>0.35</v>
      </c>
      <c r="V50" s="479">
        <f t="shared" si="9"/>
        <v>0.35</v>
      </c>
      <c r="W50" s="479">
        <f t="shared" si="9"/>
        <v>0.35</v>
      </c>
      <c r="X50" s="480">
        <f t="shared" si="9"/>
        <v>0</v>
      </c>
      <c r="Y50" s="3658"/>
      <c r="Z50" s="478">
        <f t="shared" si="10"/>
        <v>8.5775754679999991</v>
      </c>
      <c r="AA50" s="479">
        <f t="shared" si="10"/>
        <v>8.5775754679999991</v>
      </c>
      <c r="AB50" s="479">
        <f t="shared" si="10"/>
        <v>8.5775754679999991</v>
      </c>
      <c r="AC50" s="479">
        <f t="shared" si="10"/>
        <v>8.5775754679999991</v>
      </c>
      <c r="AD50" s="480">
        <f t="shared" si="10"/>
        <v>0</v>
      </c>
      <c r="AE50" s="3658"/>
      <c r="AF50" s="3658"/>
      <c r="AG50" s="3658"/>
      <c r="AH50" s="526"/>
      <c r="AI50" s="3658"/>
      <c r="AJ50" s="3658"/>
      <c r="AK50" s="3658"/>
      <c r="AL50" s="3658"/>
      <c r="AM50" s="3658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6"/>
        <v>4</v>
      </c>
      <c r="K51" s="1651">
        <f t="shared" si="7"/>
        <v>1.04</v>
      </c>
      <c r="L51" s="1704">
        <f t="shared" si="8"/>
        <v>35.576475456000004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9"/>
        <v>0.26</v>
      </c>
      <c r="U51" s="479">
        <f t="shared" si="9"/>
        <v>0.26</v>
      </c>
      <c r="V51" s="479">
        <f t="shared" si="9"/>
        <v>0.26</v>
      </c>
      <c r="W51" s="479">
        <f t="shared" si="9"/>
        <v>0.26</v>
      </c>
      <c r="X51" s="480">
        <f t="shared" si="9"/>
        <v>0</v>
      </c>
      <c r="Y51" s="3658"/>
      <c r="Z51" s="478">
        <f t="shared" si="10"/>
        <v>8.8941188640000011</v>
      </c>
      <c r="AA51" s="479">
        <f t="shared" si="10"/>
        <v>8.8941188640000011</v>
      </c>
      <c r="AB51" s="479">
        <f t="shared" si="10"/>
        <v>8.8941188640000011</v>
      </c>
      <c r="AC51" s="479">
        <f t="shared" si="10"/>
        <v>8.8941188640000011</v>
      </c>
      <c r="AD51" s="480">
        <f t="shared" si="10"/>
        <v>0</v>
      </c>
      <c r="AE51" s="3658"/>
      <c r="AF51" s="3658"/>
      <c r="AG51" s="3658"/>
      <c r="AH51" s="526"/>
      <c r="AI51" s="3658"/>
      <c r="AJ51" s="3658"/>
      <c r="AK51" s="3658"/>
      <c r="AL51" s="3658"/>
      <c r="AM51" s="3658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6"/>
        <v>0</v>
      </c>
      <c r="K52" s="1651">
        <f t="shared" si="7"/>
        <v>0</v>
      </c>
      <c r="L52" s="1704">
        <f t="shared" si="8"/>
        <v>0</v>
      </c>
      <c r="M52" s="317"/>
      <c r="N52" s="318"/>
      <c r="O52" s="318"/>
      <c r="P52" s="318"/>
      <c r="Q52" s="319"/>
      <c r="R52" s="542"/>
      <c r="S52" s="542"/>
      <c r="T52" s="478">
        <f t="shared" si="9"/>
        <v>0</v>
      </c>
      <c r="U52" s="479">
        <f t="shared" si="9"/>
        <v>0</v>
      </c>
      <c r="V52" s="479">
        <f t="shared" si="9"/>
        <v>0</v>
      </c>
      <c r="W52" s="479">
        <f t="shared" si="9"/>
        <v>0</v>
      </c>
      <c r="X52" s="480">
        <f t="shared" si="9"/>
        <v>0</v>
      </c>
      <c r="Y52" s="3658"/>
      <c r="Z52" s="478">
        <f t="shared" si="10"/>
        <v>0</v>
      </c>
      <c r="AA52" s="479">
        <f t="shared" si="10"/>
        <v>0</v>
      </c>
      <c r="AB52" s="479">
        <f t="shared" si="10"/>
        <v>0</v>
      </c>
      <c r="AC52" s="479">
        <f t="shared" si="10"/>
        <v>0</v>
      </c>
      <c r="AD52" s="480">
        <f t="shared" si="10"/>
        <v>0</v>
      </c>
      <c r="AE52" s="3658"/>
      <c r="AF52" s="3658"/>
      <c r="AG52" s="3658"/>
      <c r="AH52" s="526"/>
      <c r="AI52" s="3658"/>
      <c r="AJ52" s="3658"/>
      <c r="AK52" s="3658"/>
      <c r="AL52" s="3658"/>
      <c r="AM52" s="3658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6"/>
        <v>0</v>
      </c>
      <c r="K53" s="1651">
        <f t="shared" si="7"/>
        <v>0</v>
      </c>
      <c r="L53" s="1704">
        <f t="shared" si="8"/>
        <v>0</v>
      </c>
      <c r="M53" s="317"/>
      <c r="N53" s="318"/>
      <c r="O53" s="318"/>
      <c r="P53" s="318"/>
      <c r="Q53" s="319"/>
      <c r="R53" s="542"/>
      <c r="S53" s="542"/>
      <c r="T53" s="478">
        <f t="shared" si="9"/>
        <v>0</v>
      </c>
      <c r="U53" s="479">
        <f t="shared" si="9"/>
        <v>0</v>
      </c>
      <c r="V53" s="479">
        <f t="shared" si="9"/>
        <v>0</v>
      </c>
      <c r="W53" s="479">
        <f t="shared" si="9"/>
        <v>0</v>
      </c>
      <c r="X53" s="480">
        <f t="shared" si="9"/>
        <v>0</v>
      </c>
      <c r="Y53" s="3658"/>
      <c r="Z53" s="478">
        <f t="shared" si="10"/>
        <v>0</v>
      </c>
      <c r="AA53" s="479">
        <f t="shared" si="10"/>
        <v>0</v>
      </c>
      <c r="AB53" s="479">
        <f t="shared" si="10"/>
        <v>0</v>
      </c>
      <c r="AC53" s="479">
        <f t="shared" si="10"/>
        <v>0</v>
      </c>
      <c r="AD53" s="480">
        <f t="shared" si="10"/>
        <v>0</v>
      </c>
      <c r="AE53" s="3658"/>
      <c r="AF53" s="3658"/>
      <c r="AG53" s="3658"/>
      <c r="AH53" s="526"/>
      <c r="AI53" s="3658"/>
      <c r="AJ53" s="3658"/>
      <c r="AK53" s="3658"/>
      <c r="AL53" s="3658"/>
      <c r="AM53" s="3658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6"/>
        <v>0</v>
      </c>
      <c r="K54" s="1651">
        <f t="shared" si="7"/>
        <v>0</v>
      </c>
      <c r="L54" s="1704">
        <f t="shared" si="8"/>
        <v>0</v>
      </c>
      <c r="M54" s="317"/>
      <c r="N54" s="318"/>
      <c r="O54" s="318"/>
      <c r="P54" s="318"/>
      <c r="Q54" s="319"/>
      <c r="R54" s="542"/>
      <c r="S54" s="542"/>
      <c r="T54" s="478">
        <f t="shared" si="9"/>
        <v>0</v>
      </c>
      <c r="U54" s="479">
        <f t="shared" si="9"/>
        <v>0</v>
      </c>
      <c r="V54" s="479">
        <f t="shared" si="9"/>
        <v>0</v>
      </c>
      <c r="W54" s="479">
        <f t="shared" si="9"/>
        <v>0</v>
      </c>
      <c r="X54" s="480">
        <f t="shared" si="9"/>
        <v>0</v>
      </c>
      <c r="Y54" s="3658"/>
      <c r="Z54" s="478">
        <f t="shared" si="10"/>
        <v>0</v>
      </c>
      <c r="AA54" s="479">
        <f t="shared" si="10"/>
        <v>0</v>
      </c>
      <c r="AB54" s="479">
        <f t="shared" si="10"/>
        <v>0</v>
      </c>
      <c r="AC54" s="479">
        <f t="shared" si="10"/>
        <v>0</v>
      </c>
      <c r="AD54" s="480">
        <f t="shared" si="10"/>
        <v>0</v>
      </c>
      <c r="AE54" s="3658"/>
      <c r="AF54" s="3658"/>
      <c r="AG54" s="3658"/>
      <c r="AH54" s="526"/>
      <c r="AI54" s="3658"/>
      <c r="AJ54" s="3658"/>
      <c r="AK54" s="3658"/>
      <c r="AL54" s="3658"/>
      <c r="AM54" s="3658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6"/>
        <v>0</v>
      </c>
      <c r="K55" s="1651">
        <f t="shared" si="7"/>
        <v>0</v>
      </c>
      <c r="L55" s="1704">
        <f t="shared" si="8"/>
        <v>0</v>
      </c>
      <c r="M55" s="317"/>
      <c r="N55" s="318"/>
      <c r="O55" s="318"/>
      <c r="P55" s="318"/>
      <c r="Q55" s="319"/>
      <c r="R55" s="542"/>
      <c r="S55" s="542"/>
      <c r="T55" s="478">
        <f t="shared" si="9"/>
        <v>0</v>
      </c>
      <c r="U55" s="479">
        <f t="shared" si="9"/>
        <v>0</v>
      </c>
      <c r="V55" s="479">
        <f t="shared" si="9"/>
        <v>0</v>
      </c>
      <c r="W55" s="479">
        <f t="shared" si="9"/>
        <v>0</v>
      </c>
      <c r="X55" s="480">
        <f t="shared" si="9"/>
        <v>0</v>
      </c>
      <c r="Y55" s="3658"/>
      <c r="Z55" s="478">
        <f t="shared" si="10"/>
        <v>0</v>
      </c>
      <c r="AA55" s="479">
        <f t="shared" si="10"/>
        <v>0</v>
      </c>
      <c r="AB55" s="479">
        <f t="shared" si="10"/>
        <v>0</v>
      </c>
      <c r="AC55" s="479">
        <f t="shared" si="10"/>
        <v>0</v>
      </c>
      <c r="AD55" s="480">
        <f t="shared" si="10"/>
        <v>0</v>
      </c>
      <c r="AE55" s="3658"/>
      <c r="AF55" s="3658"/>
      <c r="AG55" s="3658"/>
      <c r="AH55" s="526"/>
      <c r="AI55" s="3658"/>
      <c r="AJ55" s="3658"/>
      <c r="AK55" s="3658"/>
      <c r="AL55" s="3658"/>
      <c r="AM55" s="3658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6"/>
        <v>0</v>
      </c>
      <c r="K56" s="1652">
        <f t="shared" si="7"/>
        <v>0</v>
      </c>
      <c r="L56" s="1714">
        <f t="shared" si="8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58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58"/>
      <c r="AF56" s="3658"/>
      <c r="AG56" s="3658"/>
      <c r="AH56" s="526"/>
      <c r="AI56" s="3658"/>
      <c r="AJ56" s="3658"/>
      <c r="AK56" s="3658"/>
      <c r="AL56" s="3658"/>
      <c r="AM56" s="3658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6.39</v>
      </c>
      <c r="L57" s="1716"/>
      <c r="M57" s="278">
        <f>SUM(T46:T56)</f>
        <v>1.635</v>
      </c>
      <c r="N57" s="508">
        <f>SUM(U46:U56)</f>
        <v>1.6049999999999998</v>
      </c>
      <c r="O57" s="508">
        <f>SUM(V46:V56)</f>
        <v>1.575</v>
      </c>
      <c r="P57" s="508">
        <f>SUM(W46:W56)</f>
        <v>1.575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58"/>
      <c r="Z57" s="537"/>
      <c r="AA57" s="537"/>
      <c r="AB57" s="537"/>
      <c r="AC57" s="537"/>
      <c r="AD57" s="537"/>
      <c r="AE57" s="3658"/>
      <c r="AF57" s="3658"/>
      <c r="AG57" s="3658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11.501999999999999</v>
      </c>
      <c r="L58" s="1718"/>
      <c r="M58" s="270">
        <f>IF(M57+(M57*$G$58/100)&gt;M57+10,M57+10,M57+(M57*$G$58/100))</f>
        <v>2.9430000000000001</v>
      </c>
      <c r="N58" s="509">
        <f>IF(N57+(N57*$G$58/100)&gt;(N57+10),N57+10,N57+(N57*$G$58/100))</f>
        <v>2.8889999999999993</v>
      </c>
      <c r="O58" s="509">
        <f>IF(O57+(O57*$G$58/100)&gt;(O57+10),O57+10,O57+(O57*$G$58/100))</f>
        <v>2.835</v>
      </c>
      <c r="P58" s="509">
        <f>P57+P57*$G$58/100</f>
        <v>2.835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58"/>
      <c r="Z58" s="537"/>
      <c r="AA58" s="537"/>
      <c r="AB58" s="537"/>
      <c r="AC58" s="537"/>
      <c r="AD58" s="537"/>
      <c r="AE58" s="3658"/>
      <c r="AF58" s="3658"/>
      <c r="AG58" s="36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467.66999999999996</v>
      </c>
      <c r="M59" s="253">
        <f>SUM(T61:T63)</f>
        <v>139.5275</v>
      </c>
      <c r="N59" s="254">
        <f>SUM(U61:U63)</f>
        <v>116.91749999999999</v>
      </c>
      <c r="O59" s="254">
        <f>SUM(V61:V63)</f>
        <v>105.61250000000001</v>
      </c>
      <c r="P59" s="254">
        <f>SUM(W61:W63)</f>
        <v>105.61250000000001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58"/>
      <c r="Z59" s="528"/>
      <c r="AA59" s="528"/>
      <c r="AB59" s="528"/>
      <c r="AC59" s="528"/>
      <c r="AD59" s="528"/>
      <c r="AE59" s="3658"/>
      <c r="AF59" s="3658"/>
      <c r="AG59" s="365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58"/>
      <c r="Z60" s="528"/>
      <c r="AA60" s="528"/>
      <c r="AB60" s="528"/>
      <c r="AC60" s="528"/>
      <c r="AD60" s="528"/>
      <c r="AE60" s="3658"/>
      <c r="AF60" s="3658"/>
      <c r="AG60" s="365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2615"/>
      <c r="F61" s="2615"/>
      <c r="G61" s="3060">
        <v>65</v>
      </c>
      <c r="H61" s="3665">
        <f>G61*(100+$H$59)/100</f>
        <v>77.349999999999994</v>
      </c>
      <c r="I61" s="3667"/>
      <c r="J61" s="3095">
        <f>SUM(M61:Q61)</f>
        <v>0.2</v>
      </c>
      <c r="K61" s="2618"/>
      <c r="L61" s="2619">
        <f>J61*H61</f>
        <v>15.469999999999999</v>
      </c>
      <c r="M61" s="3111">
        <v>0.05</v>
      </c>
      <c r="N61" s="3088">
        <v>0.05</v>
      </c>
      <c r="O61" s="3088">
        <v>0.05</v>
      </c>
      <c r="P61" s="3088">
        <v>0.05</v>
      </c>
      <c r="Q61" s="2620"/>
      <c r="R61" s="542"/>
      <c r="S61" s="542"/>
      <c r="T61" s="594">
        <f>IF(M61&lt;&gt;0,M61*$H61,0)</f>
        <v>3.8674999999999997</v>
      </c>
      <c r="U61" s="594">
        <f t="shared" ref="U61:X63" si="11">IF(N61&lt;&gt;0,N61*$H61,0)</f>
        <v>3.8674999999999997</v>
      </c>
      <c r="V61" s="594">
        <f t="shared" si="11"/>
        <v>3.8674999999999997</v>
      </c>
      <c r="W61" s="594">
        <f t="shared" si="11"/>
        <v>3.8674999999999997</v>
      </c>
      <c r="X61" s="594">
        <f t="shared" si="11"/>
        <v>0</v>
      </c>
      <c r="Y61" s="3658"/>
      <c r="Z61" s="266"/>
      <c r="AA61" s="266"/>
      <c r="AB61" s="266"/>
      <c r="AC61" s="266"/>
      <c r="AD61" s="267"/>
      <c r="AE61" s="3658"/>
      <c r="AF61" s="3658"/>
      <c r="AG61" s="3658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58"/>
      <c r="C62" s="354"/>
      <c r="D62" s="3440" t="s">
        <v>1368</v>
      </c>
      <c r="E62" s="3081"/>
      <c r="F62" s="3081"/>
      <c r="G62" s="3441">
        <v>95</v>
      </c>
      <c r="H62" s="3666">
        <f>G62*(100+$H$59)/100</f>
        <v>113.05</v>
      </c>
      <c r="I62" s="3668"/>
      <c r="J62" s="3096">
        <f>SUM(M62:Q62)</f>
        <v>4</v>
      </c>
      <c r="K62" s="2304"/>
      <c r="L62" s="3069">
        <f>J62*H62</f>
        <v>452.2</v>
      </c>
      <c r="M62" s="3442">
        <v>1.2</v>
      </c>
      <c r="N62" s="3443">
        <v>1</v>
      </c>
      <c r="O62" s="3443">
        <v>0.9</v>
      </c>
      <c r="P62" s="3443">
        <v>0.9</v>
      </c>
      <c r="Q62" s="3444"/>
      <c r="R62" s="542"/>
      <c r="S62" s="542"/>
      <c r="T62" s="594">
        <f>IF(M62&lt;&gt;0,M62*$H62,0)</f>
        <v>135.66</v>
      </c>
      <c r="U62" s="594">
        <f t="shared" si="11"/>
        <v>113.05</v>
      </c>
      <c r="V62" s="594">
        <f t="shared" si="11"/>
        <v>101.745</v>
      </c>
      <c r="W62" s="594">
        <f t="shared" si="11"/>
        <v>101.745</v>
      </c>
      <c r="X62" s="594">
        <f t="shared" si="11"/>
        <v>0</v>
      </c>
      <c r="Y62" s="3658"/>
      <c r="Z62" s="3058"/>
      <c r="AA62" s="3058"/>
      <c r="AB62" s="3058"/>
      <c r="AC62" s="3058"/>
      <c r="AD62" s="3059"/>
      <c r="AE62" s="3658"/>
      <c r="AF62" s="3658"/>
      <c r="AG62" s="3658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1"/>
        <v>0</v>
      </c>
      <c r="V63" s="594">
        <f t="shared" si="11"/>
        <v>0</v>
      </c>
      <c r="W63" s="594">
        <f t="shared" si="11"/>
        <v>0</v>
      </c>
      <c r="X63" s="594">
        <f t="shared" si="11"/>
        <v>0</v>
      </c>
      <c r="Y63" s="3658"/>
      <c r="Z63" s="268"/>
      <c r="AA63" s="268"/>
      <c r="AB63" s="268"/>
      <c r="AC63" s="268"/>
      <c r="AD63" s="269"/>
      <c r="AE63" s="3658"/>
      <c r="AF63" s="3658"/>
      <c r="AG63" s="3658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58"/>
      <c r="Z64" s="529"/>
      <c r="AA64" s="529"/>
      <c r="AB64" s="529"/>
      <c r="AC64" s="529"/>
      <c r="AD64" s="529"/>
      <c r="AE64" s="3658"/>
      <c r="AF64" s="3658"/>
      <c r="AG64" s="3658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58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58"/>
      <c r="Z65" s="529" t="s">
        <v>1159</v>
      </c>
      <c r="AA65" s="529"/>
      <c r="AB65" s="529"/>
      <c r="AC65" s="529"/>
      <c r="AD65" s="529"/>
      <c r="AE65" s="3658"/>
      <c r="AF65" s="3658"/>
      <c r="AG65" s="3658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58"/>
      <c r="U66" s="3658"/>
      <c r="V66" s="3658"/>
      <c r="W66" s="3057">
        <f>K10/100</f>
        <v>0.35</v>
      </c>
      <c r="X66" s="3658"/>
      <c r="Y66" s="3658"/>
      <c r="Z66" s="274" t="s">
        <v>356</v>
      </c>
      <c r="AA66" s="274" t="s">
        <v>563</v>
      </c>
      <c r="AB66" s="274" t="s">
        <v>564</v>
      </c>
      <c r="AC66" s="275"/>
      <c r="AD66" s="529"/>
      <c r="AE66" s="3658"/>
      <c r="AF66" s="3658"/>
      <c r="AG66" s="3658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2">SUM(L69:L70)</f>
        <v>41.65</v>
      </c>
      <c r="M67" s="253">
        <f t="shared" si="12"/>
        <v>14.577500000000001</v>
      </c>
      <c r="N67" s="254">
        <f t="shared" si="12"/>
        <v>10.4125</v>
      </c>
      <c r="O67" s="254">
        <f t="shared" si="12"/>
        <v>8.33</v>
      </c>
      <c r="P67" s="254">
        <f t="shared" si="12"/>
        <v>8.33</v>
      </c>
      <c r="Q67" s="257">
        <f t="shared" si="12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>IF(AND($B69&lt;3,V$5=1),M$7*$I69/100,IF(AND($B69=3,V$5=3),M$7*$I69/100,0))</f>
        <v>14.577500000000001</v>
      </c>
      <c r="N69" s="933">
        <f t="shared" ref="N69:P70" si="13">IF(AND($B69&lt;3,W$5=1),N$7*$I69/100,IF(AND($B69=3,W$5=3),N$7*$I69/100,0))</f>
        <v>10.4125</v>
      </c>
      <c r="O69" s="933">
        <f t="shared" si="13"/>
        <v>8.33</v>
      </c>
      <c r="P69" s="933">
        <f t="shared" si="13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58"/>
      <c r="Z69" s="528"/>
      <c r="AA69" s="528"/>
      <c r="AB69" s="528"/>
      <c r="AC69" s="528"/>
      <c r="AD69" s="528"/>
      <c r="AE69" s="3658"/>
      <c r="AF69" s="3658"/>
      <c r="AG69" s="365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3"/>
        <v>0</v>
      </c>
      <c r="O70" s="933">
        <f t="shared" si="13"/>
        <v>0</v>
      </c>
      <c r="P70" s="933">
        <f t="shared" si="13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58"/>
      <c r="Z70" s="528"/>
      <c r="AA70" s="528"/>
      <c r="AB70" s="528"/>
      <c r="AC70" s="528"/>
      <c r="AD70" s="528"/>
      <c r="AE70" s="3658"/>
      <c r="AF70" s="3658"/>
      <c r="AG70" s="3658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58"/>
      <c r="Z71" s="528"/>
      <c r="AA71" s="528"/>
      <c r="AB71" s="528"/>
      <c r="AC71" s="528"/>
      <c r="AD71" s="528"/>
      <c r="AE71" s="3658"/>
      <c r="AF71" s="3658"/>
      <c r="AG71" s="3658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58"/>
      <c r="Z72" s="529"/>
      <c r="AA72" s="529"/>
      <c r="AB72" s="529"/>
      <c r="AC72" s="529"/>
      <c r="AD72" s="529"/>
      <c r="AE72" s="3658"/>
      <c r="AF72" s="3658"/>
      <c r="AG72" s="3658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4">K16</f>
        <v>40.714285714285722</v>
      </c>
      <c r="L77" s="3321">
        <f t="shared" si="14"/>
        <v>0</v>
      </c>
      <c r="M77" s="3321">
        <f t="shared" si="14"/>
        <v>14.25</v>
      </c>
      <c r="N77" s="3321">
        <f t="shared" si="14"/>
        <v>10.178571428571429</v>
      </c>
      <c r="O77" s="3321">
        <f t="shared" si="14"/>
        <v>8.1428571428571441</v>
      </c>
      <c r="P77" s="3321">
        <f t="shared" si="14"/>
        <v>8.1428571428571441</v>
      </c>
      <c r="Q77" s="3321">
        <f t="shared" si="14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197.83750000000003</v>
      </c>
      <c r="L79" s="3321"/>
      <c r="M79" s="3321">
        <f>M78*M16</f>
        <v>69.243125000000006</v>
      </c>
      <c r="N79" s="3321">
        <f>N78*N16</f>
        <v>49.459375000000001</v>
      </c>
      <c r="O79" s="3321">
        <f>O78*O16</f>
        <v>39.56750000000001</v>
      </c>
      <c r="P79" s="3321">
        <f>P78*P16</f>
        <v>39.56750000000001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44257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58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59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0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1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7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7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7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0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B1" sqref="B1:H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58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'8)GS 4Nutz.Fremdmech(a)'!H2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'8)GS 4Nutz.Fremdmech(a)'!K2</f>
        <v>Wiese; 4 Nutzungen Fremdmech, 4 x Silage</v>
      </c>
      <c r="S2" s="3658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58"/>
      <c r="AL2" s="3658"/>
      <c r="AM2" s="39"/>
      <c r="AN2" s="3658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'8)GS 4Nutz.Fremdmech(a)'!H3</f>
        <v>4 x Silage, Eigenmechanisierung bis Schwaden, Ernte LU LW,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58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58"/>
      <c r="AH3" s="205"/>
      <c r="AI3" s="3658"/>
      <c r="AJ3" s="3658"/>
      <c r="AK3" s="3658"/>
      <c r="AL3" s="3658"/>
      <c r="AM3" s="39"/>
      <c r="AN3" s="3658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58"/>
      <c r="V4" s="177"/>
      <c r="AG4" s="3658"/>
      <c r="AH4" s="3658"/>
      <c r="AI4" s="3658"/>
      <c r="AJ4" s="3658"/>
      <c r="AK4" s="3658"/>
      <c r="AL4" s="3658"/>
      <c r="AM4" s="3658"/>
      <c r="AN4" s="3658"/>
      <c r="AO4" s="3658"/>
      <c r="AP4" s="3658"/>
      <c r="AQ4" s="3658"/>
      <c r="AR4" s="3658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'8)GS 4Nutz.Fremdmech(a)'!M5</f>
        <v>Silage</v>
      </c>
      <c r="O5" s="1568" t="str">
        <f>'8)GS 4Nutz.Fremdmech(a)'!N5</f>
        <v>Silage</v>
      </c>
      <c r="P5" s="1568" t="str">
        <f>'8)GS 4Nutz.Fremdmech(a)'!O5</f>
        <v>Silage</v>
      </c>
      <c r="Q5" s="1568" t="str">
        <f>'8)GS 4Nutz.Fremdmech(a)'!P5</f>
        <v>Silage</v>
      </c>
      <c r="R5" s="1573" t="str">
        <f>'8)GS 4Nutz.Fremdmech(a)'!Q5</f>
        <v>Silage</v>
      </c>
      <c r="S5" s="3658"/>
      <c r="V5" s="177"/>
      <c r="AG5" s="3658"/>
      <c r="AH5" s="3658"/>
      <c r="AI5" s="3658"/>
      <c r="AJ5" s="3658"/>
      <c r="AK5" s="3658"/>
      <c r="AL5" s="3658"/>
      <c r="AM5" s="3658"/>
      <c r="AN5" s="3658"/>
      <c r="AO5" s="3658"/>
      <c r="AP5" s="3658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'8)GS 4Nutz.Fremdmech(a)'!K6</f>
        <v>90</v>
      </c>
      <c r="N6" s="1821">
        <f>'8)GS 4Nutz.Fremdmech(a)'!M6</f>
        <v>31.5</v>
      </c>
      <c r="O6" s="1821">
        <f>'8)GS 4Nutz.Fremdmech(a)'!N6</f>
        <v>22.5</v>
      </c>
      <c r="P6" s="1821">
        <f>'8)GS 4Nutz.Fremdmech(a)'!O6</f>
        <v>18</v>
      </c>
      <c r="Q6" s="1821">
        <f>'8)GS 4Nutz.Fremdmech(a)'!P6</f>
        <v>18</v>
      </c>
      <c r="R6" s="1822">
        <f>'8)GS 4Nutz.Fremdmech(a)'!Q6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'8)GS 4Nutz.Fremdmech(a)'!K14</f>
        <v>85.5</v>
      </c>
      <c r="N7" s="452">
        <f>'8)GS 4Nutz.Fremdmech(a)'!M14</f>
        <v>29.925000000000001</v>
      </c>
      <c r="O7" s="452">
        <f>'8)GS 4Nutz.Fremdmech(a)'!N14</f>
        <v>21.375</v>
      </c>
      <c r="P7" s="452">
        <f>'8)GS 4Nutz.Fremdmech(a)'!O14</f>
        <v>17.100000000000001</v>
      </c>
      <c r="Q7" s="452">
        <f>'8)GS 4Nutz.Fremdmech(a)'!P14</f>
        <v>17.100000000000001</v>
      </c>
      <c r="R7" s="1744">
        <f>'8)GS 4Nutz.Fremdmech(a)'!Q14</f>
        <v>0</v>
      </c>
      <c r="S7" s="3658"/>
      <c r="V7" s="177"/>
      <c r="AG7" s="3658"/>
      <c r="AH7" s="3658"/>
      <c r="AI7" s="3658"/>
      <c r="AJ7" s="3658"/>
      <c r="AK7" s="3658"/>
      <c r="AL7" s="3658"/>
      <c r="AM7" s="3658"/>
      <c r="AN7" s="3658"/>
      <c r="AO7" s="3658"/>
      <c r="AP7" s="3658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'8)GS 4Nutz.Fremdmech(a)'!K15</f>
        <v>244.28571428571431</v>
      </c>
      <c r="N8" s="473">
        <f>'8)GS 4Nutz.Fremdmech(a)'!M15</f>
        <v>85.5</v>
      </c>
      <c r="O8" s="473">
        <f>'8)GS 4Nutz.Fremdmech(a)'!N15</f>
        <v>61.071428571428577</v>
      </c>
      <c r="P8" s="473">
        <f>'8)GS 4Nutz.Fremdmech(a)'!O15</f>
        <v>48.857142857142861</v>
      </c>
      <c r="Q8" s="473">
        <f>'8)GS 4Nutz.Fremdmech(a)'!P15</f>
        <v>48.857142857142861</v>
      </c>
      <c r="R8" s="1583">
        <f>'8)GS 4Nutz.Fremdmech(a)'!Q15</f>
        <v>0</v>
      </c>
      <c r="S8" s="3658"/>
      <c r="V8" s="177"/>
      <c r="AG8" s="3658"/>
      <c r="AH8" s="3658"/>
      <c r="AI8" s="3658"/>
      <c r="AJ8" s="3658"/>
      <c r="AK8" s="3658"/>
      <c r="AL8" s="3658"/>
      <c r="AM8" s="3658"/>
      <c r="AN8" s="3658"/>
      <c r="AO8" s="3658"/>
      <c r="AP8" s="365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'8)GS 4Nutz.Fremdmech(a)'!K17</f>
        <v>79.515000000000015</v>
      </c>
      <c r="N9" s="452">
        <f>'8)GS 4Nutz.Fremdmech(a)'!M17</f>
        <v>27.830249999999999</v>
      </c>
      <c r="O9" s="452">
        <f>'8)GS 4Nutz.Fremdmech(a)'!N17</f>
        <v>19.87875</v>
      </c>
      <c r="P9" s="452">
        <f>'8)GS 4Nutz.Fremdmech(a)'!O17</f>
        <v>15.903000000000002</v>
      </c>
      <c r="Q9" s="452">
        <f>'8)GS 4Nutz.Fremdmech(a)'!P17</f>
        <v>15.903000000000002</v>
      </c>
      <c r="R9" s="1744">
        <f>'8)GS 4Nutz.Fremdmech(a)'!Q17</f>
        <v>0</v>
      </c>
      <c r="S9" s="3658"/>
      <c r="V9" s="177"/>
      <c r="AG9" s="3658"/>
      <c r="AH9" s="3658"/>
      <c r="AI9" s="3658"/>
      <c r="AJ9" s="3658"/>
      <c r="AK9" s="3658"/>
      <c r="AL9" s="3658"/>
      <c r="AM9" s="3658"/>
      <c r="AN9" s="3658"/>
      <c r="AO9" s="3658"/>
      <c r="AP9" s="3658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'8)GS 4Nutz.Fremdmech(a)'!K18</f>
        <v>214.90540540540542</v>
      </c>
      <c r="N10" s="1748">
        <f>'8)GS 4Nutz.Fremdmech(a)'!M18</f>
        <v>75.216891891891891</v>
      </c>
      <c r="O10" s="1748">
        <f>'8)GS 4Nutz.Fremdmech(a)'!N18</f>
        <v>53.726351351351354</v>
      </c>
      <c r="P10" s="1748">
        <f>'8)GS 4Nutz.Fremdmech(a)'!O18</f>
        <v>42.981081081081086</v>
      </c>
      <c r="Q10" s="1748">
        <f>'8)GS 4Nutz.Fremdmech(a)'!P18</f>
        <v>42.981081081081086</v>
      </c>
      <c r="R10" s="1745">
        <f>'8)GS 4Nutz.Fremdmech(a)'!Q18</f>
        <v>0</v>
      </c>
      <c r="S10" s="3658"/>
      <c r="V10" s="177"/>
      <c r="AG10" s="3658"/>
      <c r="AH10" s="3658"/>
      <c r="AI10" s="3658"/>
      <c r="AJ10" s="3658"/>
      <c r="AK10" s="3658"/>
      <c r="AL10" s="3658"/>
      <c r="AM10" s="3658"/>
      <c r="AN10" s="3658"/>
      <c r="AO10" s="3658"/>
      <c r="AP10" s="3658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'8)GS 4Nutz.Fremdmech(a)'!K19</f>
        <v>35.817567567567565</v>
      </c>
      <c r="N11" s="2094">
        <f>'8)GS 4Nutz.Fremdmech(a)'!M19</f>
        <v>12.536148648648648</v>
      </c>
      <c r="O11" s="2094">
        <f>'8)GS 4Nutz.Fremdmech(a)'!N19</f>
        <v>8.9543918918918912</v>
      </c>
      <c r="P11" s="2094">
        <f>'8)GS 4Nutz.Fremdmech(a)'!O19</f>
        <v>7.1635135135135144</v>
      </c>
      <c r="Q11" s="2094">
        <f>'8)GS 4Nutz.Fremdmech(a)'!P19</f>
        <v>7.1635135135135144</v>
      </c>
      <c r="R11" s="2078">
        <f>'8)GS 4Nutz.Fremdmech(a)'!Q19</f>
        <v>0</v>
      </c>
      <c r="S11" s="3658"/>
      <c r="V11" s="177"/>
      <c r="AG11" s="3658"/>
      <c r="AH11" s="3658"/>
      <c r="AI11" s="3658"/>
      <c r="AJ11" s="3658"/>
      <c r="AK11" s="3658"/>
      <c r="AL11" s="3658"/>
      <c r="AM11" s="3658"/>
      <c r="AN11" s="3658"/>
      <c r="AO11" s="3658"/>
      <c r="AP11" s="3658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'8)GS 4Nutz.Fremdmech(a)'!K22</f>
        <v>4862.3422499999997</v>
      </c>
      <c r="N12" s="1176">
        <f>'8)GS 4Nutz.Fremdmech(a)'!M22</f>
        <v>1753.3057499999998</v>
      </c>
      <c r="O12" s="1176">
        <f>'8)GS 4Nutz.Fremdmech(a)'!N22</f>
        <v>1232.4825000000001</v>
      </c>
      <c r="P12" s="1176">
        <f>'8)GS 4Nutz.Fremdmech(a)'!O22</f>
        <v>954.18000000000006</v>
      </c>
      <c r="Q12" s="1176">
        <f>'8)GS 4Nutz.Fremdmech(a)'!P22</f>
        <v>922.37400000000002</v>
      </c>
      <c r="R12" s="1747">
        <f>'8)GS 4Nutz.Fremdmech(a)'!Q22</f>
        <v>0</v>
      </c>
      <c r="S12" s="3658"/>
      <c r="V12" s="177"/>
      <c r="AG12" s="3658"/>
      <c r="AH12" s="3658"/>
      <c r="AI12" s="3658"/>
      <c r="AJ12" s="3658"/>
      <c r="AK12" s="3658"/>
      <c r="AL12" s="3658"/>
      <c r="AM12" s="3658"/>
      <c r="AN12" s="3658"/>
      <c r="AO12" s="3658"/>
      <c r="AP12" s="3658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'8)GS 4Nutz.Fremdmech(a)'!K23</f>
        <v>8103.9037500000004</v>
      </c>
      <c r="N13" s="2065">
        <f>'8)GS 4Nutz.Fremdmech(a)'!M23</f>
        <v>2922.17625</v>
      </c>
      <c r="O13" s="2065">
        <f>'8)GS 4Nutz.Fremdmech(a)'!N23</f>
        <v>2054.1375000000003</v>
      </c>
      <c r="P13" s="2065">
        <f>'8)GS 4Nutz.Fremdmech(a)'!O23</f>
        <v>1590.3000000000002</v>
      </c>
      <c r="Q13" s="2065">
        <f>'8)GS 4Nutz.Fremdmech(a)'!P23</f>
        <v>1537.2900000000002</v>
      </c>
      <c r="R13" s="2067">
        <f>'8)GS 4Nutz.Fremdmech(a)'!Q23</f>
        <v>0</v>
      </c>
      <c r="S13" s="3658"/>
      <c r="V13" s="177"/>
      <c r="AG13" s="3658"/>
      <c r="AH13" s="3658"/>
      <c r="AI13" s="3658"/>
      <c r="AJ13" s="3658"/>
      <c r="AK13" s="3658"/>
      <c r="AL13" s="3658"/>
      <c r="AM13" s="3658"/>
      <c r="AN13" s="3658"/>
      <c r="AO13" s="3658"/>
      <c r="AP13" s="3658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58"/>
      <c r="V14" s="177"/>
      <c r="AG14" s="3658"/>
      <c r="AH14" s="3658"/>
      <c r="AI14" s="3658"/>
      <c r="AJ14" s="3658"/>
      <c r="AK14" s="3658"/>
      <c r="AL14" s="3658"/>
      <c r="AM14" s="3658"/>
      <c r="AN14" s="3658"/>
      <c r="AO14" s="3658"/>
      <c r="AP14" s="3658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94.5</v>
      </c>
      <c r="O15" s="3340">
        <f t="shared" si="0"/>
        <v>67.5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 s="3658"/>
      <c r="V15" s="177"/>
      <c r="AG15" s="3658"/>
      <c r="AH15" s="3658"/>
      <c r="AI15" s="3658"/>
      <c r="AJ15" s="3658"/>
      <c r="AK15" s="3658"/>
      <c r="AL15" s="3658"/>
      <c r="AM15" s="3658"/>
      <c r="AN15" s="3658"/>
      <c r="AO15" s="3658"/>
      <c r="AP15" s="3658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58"/>
      <c r="V16" s="177"/>
      <c r="AG16" s="3658"/>
      <c r="AH16" s="3658"/>
      <c r="AI16" s="3658"/>
      <c r="AJ16" s="3658"/>
      <c r="AK16" s="3658"/>
      <c r="AL16" s="3658"/>
      <c r="AM16" s="3658"/>
      <c r="AN16" s="3658"/>
      <c r="AO16" s="3658"/>
      <c r="AP16" s="3658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94.5</v>
      </c>
      <c r="O17" s="2065">
        <f t="shared" si="2"/>
        <v>67.5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 s="3658"/>
      <c r="V17" s="177"/>
      <c r="AG17" s="3658"/>
      <c r="AH17" s="3658"/>
      <c r="AI17" s="3658"/>
      <c r="AJ17" s="3658"/>
      <c r="AK17" s="3658"/>
      <c r="AL17" s="3658"/>
      <c r="AM17" s="3658"/>
      <c r="AN17" s="3658"/>
      <c r="AO17" s="3658"/>
      <c r="AP17" s="3658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'8)GS 4Nutz.Fremdmech(a)'!L32</f>
        <v>23.54</v>
      </c>
      <c r="N19" s="2071">
        <f>'8)GS 4Nutz.Fremdmech(a)'!M32</f>
        <v>8.238999999999999</v>
      </c>
      <c r="O19" s="2071">
        <f>'8)GS 4Nutz.Fremdmech(a)'!N32</f>
        <v>5.8849999999999998</v>
      </c>
      <c r="P19" s="2071">
        <f>'8)GS 4Nutz.Fremdmech(a)'!O32</f>
        <v>4.7079999999999993</v>
      </c>
      <c r="Q19" s="2071">
        <f>'8)GS 4Nutz.Fremdmech(a)'!P32</f>
        <v>4.7079999999999993</v>
      </c>
      <c r="R19" s="2073">
        <f>'8)GS 4Nutz.Fremdmech(a)'!Q32</f>
        <v>0</v>
      </c>
      <c r="AG19" s="3658"/>
      <c r="AH19" s="3658"/>
      <c r="AI19" s="3658"/>
      <c r="AJ19" s="3658"/>
      <c r="AK19" s="3658"/>
      <c r="AL19" s="3658"/>
      <c r="AM19" s="3658"/>
      <c r="AN19" s="3658"/>
      <c r="AO19" s="3658"/>
      <c r="AP19" s="3658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'8)GS 4Nutz.Fremdmech(a)'!L34</f>
        <v>666.87242999999989</v>
      </c>
      <c r="N20" s="285">
        <f>'8)GS 4Nutz.Fremdmech(a)'!M34</f>
        <v>233.40535049999994</v>
      </c>
      <c r="O20" s="285">
        <f>'8)GS 4Nutz.Fremdmech(a)'!N34</f>
        <v>166.71810749999997</v>
      </c>
      <c r="P20" s="285">
        <f>'8)GS 4Nutz.Fremdmech(a)'!O34</f>
        <v>133.37448599999999</v>
      </c>
      <c r="Q20" s="285">
        <f>'8)GS 4Nutz.Fremdmech(a)'!P34</f>
        <v>133.37448599999999</v>
      </c>
      <c r="R20" s="1574">
        <f>'8)GS 4Nutz.Fremdmech(a)'!Q34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'8)GS 4Nutz.Fremdmech(a)'!L40</f>
        <v>0</v>
      </c>
      <c r="N21" s="285">
        <f>'8)GS 4Nutz.Fremdmech(a)'!M40</f>
        <v>0</v>
      </c>
      <c r="O21" s="285">
        <f>'8)GS 4Nutz.Fremdmech(a)'!N40</f>
        <v>0</v>
      </c>
      <c r="P21" s="285">
        <f>'8)GS 4Nutz.Fremdmech(a)'!O40</f>
        <v>0</v>
      </c>
      <c r="Q21" s="285">
        <f>'8)GS 4Nutz.Fremdmech(a)'!P40</f>
        <v>0</v>
      </c>
      <c r="R21" s="1574">
        <f>'8)GS 4Nutz.Fremdmech(a)'!Q40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'8)GS 4Nutz.Fremdmech(a)'!L67</f>
        <v>41.65</v>
      </c>
      <c r="N23" s="285">
        <f>'8)GS 4Nutz.Fremdmech(a)'!M67</f>
        <v>14.577500000000001</v>
      </c>
      <c r="O23" s="285">
        <f>'8)GS 4Nutz.Fremdmech(a)'!N67</f>
        <v>10.4125</v>
      </c>
      <c r="P23" s="285">
        <f>'8)GS 4Nutz.Fremdmech(a)'!O67</f>
        <v>8.33</v>
      </c>
      <c r="Q23" s="285">
        <f>'8)GS 4Nutz.Fremdmech(a)'!P67</f>
        <v>8.33</v>
      </c>
      <c r="R23" s="1574">
        <f>'8)GS 4Nutz.Fremdmech(a)'!Q67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'8)GS 4Nutz.Fremdmech(a)'!L43</f>
        <v>185.57551944239998</v>
      </c>
      <c r="N24" s="285">
        <f>'8)GS 4Nutz.Fremdmech(a)'!M43</f>
        <v>48.717835410599996</v>
      </c>
      <c r="O24" s="285">
        <f>'8)GS 4Nutz.Fremdmech(a)'!N43</f>
        <v>46.858670970599995</v>
      </c>
      <c r="P24" s="285">
        <f>'8)GS 4Nutz.Fremdmech(a)'!O43</f>
        <v>44.999506530599994</v>
      </c>
      <c r="Q24" s="285">
        <f>'8)GS 4Nutz.Fremdmech(a)'!P43</f>
        <v>44.999506530599994</v>
      </c>
      <c r="R24" s="1574">
        <f>'8)GS 4Nutz.Fremdmech(a)'!Q43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'8)GS 4Nutz.Fremdmech(a)'!L59</f>
        <v>467.66999999999996</v>
      </c>
      <c r="N25" s="285">
        <f>'8)GS 4Nutz.Fremdmech(a)'!M59</f>
        <v>139.5275</v>
      </c>
      <c r="O25" s="285">
        <f>'8)GS 4Nutz.Fremdmech(a)'!N59</f>
        <v>116.91749999999999</v>
      </c>
      <c r="P25" s="285">
        <f>'8)GS 4Nutz.Fremdmech(a)'!O59</f>
        <v>105.61250000000001</v>
      </c>
      <c r="Q25" s="285">
        <f>'8)GS 4Nutz.Fremdmech(a)'!P59</f>
        <v>105.61250000000001</v>
      </c>
      <c r="R25" s="1574">
        <f>'8)GS 4Nutz.Fremdmech(a)'!Q59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'8)GS 4Nutz.Fremdmech(a)'!L64</f>
        <v>0</v>
      </c>
      <c r="N26" s="1979">
        <f>'8)GS 4Nutz.Fremdmech(a)'!M64</f>
        <v>0</v>
      </c>
      <c r="O26" s="1979">
        <f>'8)GS 4Nutz.Fremdmech(a)'!N64</f>
        <v>0</v>
      </c>
      <c r="P26" s="1979">
        <f>'8)GS 4Nutz.Fremdmech(a)'!O64</f>
        <v>0</v>
      </c>
      <c r="Q26" s="1979">
        <f>'8)GS 4Nutz.Fremdmech(a)'!P64</f>
        <v>0</v>
      </c>
      <c r="R26" s="1981">
        <f>'8)GS 4Nutz.Fremdmech(a)'!Q64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1385.3079494423996</v>
      </c>
      <c r="N27" s="2407">
        <f t="shared" si="4"/>
        <v>444.46718591059994</v>
      </c>
      <c r="O27" s="2407">
        <f t="shared" si="4"/>
        <v>346.79177847059998</v>
      </c>
      <c r="P27" s="2407">
        <f t="shared" si="4"/>
        <v>297.02449253060001</v>
      </c>
      <c r="Q27" s="2407">
        <f t="shared" si="4"/>
        <v>297.02449253060001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-1385.3079494423996</v>
      </c>
      <c r="N28" s="1777">
        <f t="shared" si="5"/>
        <v>-444.46718591059994</v>
      </c>
      <c r="O28" s="1777">
        <f t="shared" si="5"/>
        <v>-346.79177847059998</v>
      </c>
      <c r="P28" s="1777">
        <f t="shared" si="5"/>
        <v>-297.02449253060001</v>
      </c>
      <c r="Q28" s="1777">
        <f t="shared" si="5"/>
        <v>-297.02449253060001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-0.28490547933815225</v>
      </c>
      <c r="N29" s="1874">
        <f t="shared" si="6"/>
        <v>-0.25350238309011419</v>
      </c>
      <c r="O29" s="1874">
        <f t="shared" si="6"/>
        <v>-0.28137663493850823</v>
      </c>
      <c r="P29" s="1874">
        <f t="shared" si="6"/>
        <v>-0.3112876947018382</v>
      </c>
      <c r="Q29" s="1874">
        <f t="shared" si="6"/>
        <v>-0.32202175313983267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94.5</v>
      </c>
      <c r="O30" s="2097">
        <f t="shared" si="7"/>
        <v>67.5</v>
      </c>
      <c r="P30" s="2097">
        <f t="shared" si="7"/>
        <v>54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'8)GS 4Nutz.Fremdmech(a)'!L25</f>
        <v>0</v>
      </c>
      <c r="V30" s="3308">
        <f>'8)GS 4Nutz.Fremdmech(a)'!M25</f>
        <v>0</v>
      </c>
      <c r="W30" s="3308">
        <f>'8)GS 4Nutz.Fremdmech(a)'!N25</f>
        <v>0</v>
      </c>
      <c r="X30" s="3308">
        <f>'8)GS 4Nutz.Fremdmech(a)'!O25</f>
        <v>0</v>
      </c>
      <c r="Y30" s="3308">
        <f>'8)GS 4Nutz.Fremdmech(a)'!P25</f>
        <v>0</v>
      </c>
      <c r="Z30" s="3308">
        <f>'8)GS 4Nutz.Fremdmech(a)'!Q25</f>
        <v>0</v>
      </c>
      <c r="AA30" s="3658"/>
      <c r="AB30" s="3658"/>
      <c r="AC30" s="3658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M27*'8)GS 4Nutz.Fremdmech(a)'!$L$72*'8)GS 4Nutz.Fremdmech(a)'!$Q$72/12/100</f>
        <v>8.6581746840149965</v>
      </c>
      <c r="N31" s="1979">
        <f>N27*'8)GS 4Nutz.Fremdmech(a)'!$L$72*'8)GS 4Nutz.Fremdmech(a)'!$Q$72/12/100</f>
        <v>2.7779199119412494</v>
      </c>
      <c r="O31" s="1979">
        <f>O27*'8)GS 4Nutz.Fremdmech(a)'!$L$72*'8)GS 4Nutz.Fremdmech(a)'!$Q$72/12/100</f>
        <v>2.1674486154412498</v>
      </c>
      <c r="P31" s="1979">
        <f>P27*'8)GS 4Nutz.Fremdmech(a)'!$L$72*'8)GS 4Nutz.Fremdmech(a)'!$Q$72/12/100</f>
        <v>1.8564030783162502</v>
      </c>
      <c r="Q31" s="1979">
        <f>Q27*'8)GS 4Nutz.Fremdmech(a)'!$L$72*'8)GS 4Nutz.Fremdmech(a)'!$Q$72/12/100</f>
        <v>1.8564030783162502</v>
      </c>
      <c r="R31" s="1981">
        <f>R27*'8)GS 4Nutz.Fremdmech(a)'!$L$72*'8)GS 4Nutz.Fremdmech(a)'!$Q$72/12/100</f>
        <v>0</v>
      </c>
      <c r="T31" s="3297" t="s">
        <v>1215</v>
      </c>
      <c r="U31" s="3308">
        <f>'8)GS 4Nutz.Fremdmech(a)'!L30</f>
        <v>270</v>
      </c>
      <c r="V31" s="3308">
        <f>'8)GS 4Nutz.Fremdmech(a)'!M30</f>
        <v>94.5</v>
      </c>
      <c r="W31" s="3308">
        <f>'8)GS 4Nutz.Fremdmech(a)'!N30</f>
        <v>67.5</v>
      </c>
      <c r="X31" s="3308">
        <f>'8)GS 4Nutz.Fremdmech(a)'!O30</f>
        <v>54</v>
      </c>
      <c r="Y31" s="3308">
        <f>'8)GS 4Nutz.Fremdmech(a)'!P30</f>
        <v>54</v>
      </c>
      <c r="Z31" s="3308">
        <f>'8)GS 4Nutz.Fremdmech(a)'!Q30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-1123.9661241264146</v>
      </c>
      <c r="N32" s="1769">
        <f t="shared" si="8"/>
        <v>-352.74510582254118</v>
      </c>
      <c r="O32" s="1769">
        <f t="shared" si="8"/>
        <v>-281.45922708604121</v>
      </c>
      <c r="P32" s="1769">
        <f t="shared" si="8"/>
        <v>-244.88089560891626</v>
      </c>
      <c r="Q32" s="1769">
        <f t="shared" si="8"/>
        <v>-244.88089560891626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94.5</v>
      </c>
      <c r="W32" s="429">
        <f t="shared" si="9"/>
        <v>67.5</v>
      </c>
      <c r="X32" s="429">
        <f t="shared" si="9"/>
        <v>54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-0.23115734482212039</v>
      </c>
      <c r="N33" s="1581">
        <f t="shared" si="10"/>
        <v>-0.20118858665839728</v>
      </c>
      <c r="O33" s="1581">
        <f t="shared" si="10"/>
        <v>-0.22836772699494004</v>
      </c>
      <c r="P33" s="1581">
        <f t="shared" si="10"/>
        <v>-0.25664014715139305</v>
      </c>
      <c r="Q33" s="1581">
        <f t="shared" si="10"/>
        <v>-0.26548980739799283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-0.1386944068932722</v>
      </c>
      <c r="N34" s="2149">
        <f t="shared" si="11"/>
        <v>-0.12071315199503835</v>
      </c>
      <c r="O34" s="2149">
        <f t="shared" si="11"/>
        <v>-0.13702063619696403</v>
      </c>
      <c r="P34" s="2149">
        <f t="shared" si="11"/>
        <v>-0.15398408829083585</v>
      </c>
      <c r="Q34" s="2149">
        <f t="shared" si="11"/>
        <v>-0.15929388443879569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'8)GS 4Nutz.Fremdmech(a)'!K58</f>
        <v>11.501999999999999</v>
      </c>
      <c r="N36" s="2397">
        <f>'8)GS 4Nutz.Fremdmech(a)'!M58</f>
        <v>2.9430000000000001</v>
      </c>
      <c r="O36" s="2397">
        <f>'8)GS 4Nutz.Fremdmech(a)'!N58</f>
        <v>2.8889999999999993</v>
      </c>
      <c r="P36" s="2397">
        <f>'8)GS 4Nutz.Fremdmech(a)'!O58</f>
        <v>2.835</v>
      </c>
      <c r="Q36" s="2397">
        <f>'8)GS 4Nutz.Fremdmech(a)'!P58</f>
        <v>2.835</v>
      </c>
      <c r="R36" s="2398">
        <f>'8)GS 4Nutz.Fremdmech(a)'!Q58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'8)GS 4Nutz.Fremdmech(a)'!K16</f>
        <v>40.714285714285722</v>
      </c>
      <c r="N37" s="2400">
        <f>'8)GS 4Nutz.Fremdmech(a)'!M16</f>
        <v>14.25</v>
      </c>
      <c r="O37" s="2400">
        <f>'8)GS 4Nutz.Fremdmech(a)'!N16</f>
        <v>10.178571428571429</v>
      </c>
      <c r="P37" s="2400">
        <f>'8)GS 4Nutz.Fremdmech(a)'!O16</f>
        <v>8.1428571428571441</v>
      </c>
      <c r="Q37" s="2400">
        <f>'8)GS 4Nutz.Fremdmech(a)'!P16</f>
        <v>8.1428571428571441</v>
      </c>
      <c r="R37" s="2401">
        <f>'8)GS 4Nutz.Fremdmech(a)'!Q16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'8)GS 4Nutz.Fremdmech(a)'!M78</f>
        <v>4.8591666666666669</v>
      </c>
      <c r="O38" s="1997">
        <f>'8)GS 4Nutz.Fremdmech(a)'!N78</f>
        <v>4.8591666666666669</v>
      </c>
      <c r="P38" s="1997">
        <f>'8)GS 4Nutz.Fremdmech(a)'!O78</f>
        <v>4.8591666666666669</v>
      </c>
      <c r="Q38" s="1997">
        <f>'8)GS 4Nutz.Fremdmech(a)'!P78</f>
        <v>4.8591666666666669</v>
      </c>
      <c r="R38" s="1998">
        <f>'8)GS 4Nutz.Fremdmech(a)'!Q78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201.28499999999997</v>
      </c>
      <c r="N39" s="285">
        <f t="shared" si="13"/>
        <v>51.502499999999998</v>
      </c>
      <c r="O39" s="285">
        <f t="shared" si="13"/>
        <v>50.55749999999999</v>
      </c>
      <c r="P39" s="285">
        <f t="shared" si="13"/>
        <v>49.612499999999997</v>
      </c>
      <c r="Q39" s="285">
        <f t="shared" si="13"/>
        <v>49.612499999999997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197.83750000000003</v>
      </c>
      <c r="N40" s="285">
        <f>N37*N38</f>
        <v>69.243125000000006</v>
      </c>
      <c r="O40" s="285">
        <f>O37*O38</f>
        <v>49.459375000000001</v>
      </c>
      <c r="P40" s="285">
        <f>P37*P38</f>
        <v>39.56750000000001</v>
      </c>
      <c r="Q40" s="285">
        <f>Q37*Q38</f>
        <v>39.56750000000001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87.5</v>
      </c>
      <c r="O41" s="285">
        <f>O$6/$M$6*$M$41</f>
        <v>62.5</v>
      </c>
      <c r="P41" s="285">
        <f>P$6/$M$6*$M$41</f>
        <v>50</v>
      </c>
      <c r="Q41" s="285">
        <f>Q$6/$M$6*$M$41</f>
        <v>50</v>
      </c>
      <c r="R41" s="1574">
        <f>R$6/$M$6*$M$41</f>
        <v>0</v>
      </c>
      <c r="AG41" s="3658"/>
      <c r="AH41" s="3658"/>
      <c r="AI41" s="3658"/>
      <c r="AJ41" s="3658"/>
      <c r="AK41" s="3658"/>
      <c r="AL41" s="3658"/>
      <c r="AM41" s="3658"/>
      <c r="AN41" s="3658"/>
      <c r="AO41" s="3658"/>
      <c r="AP41" s="3658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24.156999999999996</v>
      </c>
      <c r="O42" s="285">
        <f>O$6/$M$6*$M$42</f>
        <v>17.254999999999999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73.5</v>
      </c>
      <c r="O43" s="285">
        <f>O$6/$M$6*$M$43</f>
        <v>52.5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45.08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1056.9424999999999</v>
      </c>
      <c r="N45" s="1991">
        <f t="shared" si="14"/>
        <v>350.98262499999998</v>
      </c>
      <c r="O45" s="1991">
        <f t="shared" si="14"/>
        <v>264.47187500000001</v>
      </c>
      <c r="P45" s="1991">
        <f t="shared" si="14"/>
        <v>220.74400000000003</v>
      </c>
      <c r="Q45" s="1991">
        <f t="shared" si="14"/>
        <v>220.74400000000003</v>
      </c>
      <c r="R45" s="1994">
        <f t="shared" si="14"/>
        <v>0</v>
      </c>
      <c r="AG45" s="17"/>
      <c r="AH45" s="17"/>
      <c r="AI45" s="3658"/>
      <c r="AJ45" s="168"/>
      <c r="AK45" s="3658"/>
      <c r="AL45" s="3658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58"/>
      <c r="AJ46" s="168"/>
      <c r="AK46" s="3658"/>
      <c r="AL46" s="3658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58"/>
      <c r="AJ47" s="168"/>
      <c r="AK47" s="3658"/>
      <c r="AL47" s="3658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2450.9086241264145</v>
      </c>
      <c r="N48" s="2127">
        <f t="shared" si="16"/>
        <v>798.22773082254116</v>
      </c>
      <c r="O48" s="2041">
        <f t="shared" si="16"/>
        <v>613.43110208604116</v>
      </c>
      <c r="P48" s="2041">
        <f t="shared" si="16"/>
        <v>519.62489560891629</v>
      </c>
      <c r="Q48" s="2041">
        <f t="shared" si="16"/>
        <v>519.62489560891629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-2450.9086241264145</v>
      </c>
      <c r="N49" s="2125">
        <f t="shared" si="17"/>
        <v>-798.22773082254116</v>
      </c>
      <c r="O49" s="1772">
        <f t="shared" si="17"/>
        <v>-613.43110208604116</v>
      </c>
      <c r="P49" s="1772">
        <f t="shared" si="17"/>
        <v>-519.62489560891629</v>
      </c>
      <c r="Q49" s="1772">
        <f t="shared" si="17"/>
        <v>-519.62489560891629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-0.50405925747543057</v>
      </c>
      <c r="N50" s="2511">
        <f t="shared" si="18"/>
        <v>-0.45527012662939209</v>
      </c>
      <c r="O50" s="2168">
        <f t="shared" si="18"/>
        <v>-0.49771992875034016</v>
      </c>
      <c r="P50" s="2168">
        <f t="shared" si="18"/>
        <v>-0.54457743361725908</v>
      </c>
      <c r="Q50" s="2168">
        <f t="shared" si="18"/>
        <v>-0.5633559658109577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94.5</v>
      </c>
      <c r="O51" s="2185">
        <f t="shared" si="19"/>
        <v>67.5</v>
      </c>
      <c r="P51" s="2185">
        <f t="shared" si="19"/>
        <v>54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-2180.9086241264145</v>
      </c>
      <c r="N52" s="2178">
        <f t="shared" si="20"/>
        <v>-703.72773082254116</v>
      </c>
      <c r="O52" s="2081">
        <f t="shared" si="20"/>
        <v>-545.93110208604116</v>
      </c>
      <c r="P52" s="2081">
        <f t="shared" si="20"/>
        <v>-465.62489560891629</v>
      </c>
      <c r="Q52" s="2081">
        <f t="shared" si="20"/>
        <v>-465.62489560891629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-0.44853046371353528</v>
      </c>
      <c r="N53" s="2511">
        <f t="shared" si="21"/>
        <v>-0.40137194030336193</v>
      </c>
      <c r="O53" s="2168">
        <f t="shared" si="21"/>
        <v>-0.44295241683840636</v>
      </c>
      <c r="P53" s="2168">
        <f t="shared" si="21"/>
        <v>-0.48798433797492741</v>
      </c>
      <c r="Q53" s="2168">
        <f t="shared" si="21"/>
        <v>-0.50481138411199389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2180.9086241264145</v>
      </c>
      <c r="N55" s="2038">
        <f t="shared" si="22"/>
        <v>703.72773082254116</v>
      </c>
      <c r="O55" s="2038">
        <f t="shared" si="22"/>
        <v>545.93110208604116</v>
      </c>
      <c r="P55" s="2038">
        <f t="shared" si="22"/>
        <v>465.62489560891629</v>
      </c>
      <c r="Q55" s="2038">
        <f t="shared" si="22"/>
        <v>465.62489560891629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10.148226006750592</v>
      </c>
      <c r="N56" s="2103">
        <f t="shared" si="24"/>
        <v>9.3559799284713652</v>
      </c>
      <c r="O56" s="2103">
        <f t="shared" si="24"/>
        <v>10.161328442273041</v>
      </c>
      <c r="P56" s="2103">
        <f t="shared" si="24"/>
        <v>10.833252303043388</v>
      </c>
      <c r="Q56" s="2103">
        <f t="shared" si="24"/>
        <v>10.833252303043388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27.427637856082676</v>
      </c>
      <c r="N57" s="3427">
        <f>IF($N$7=0,0,N$55/$N$9)</f>
        <v>25.2864322391118</v>
      </c>
      <c r="O57" s="3427">
        <f>IF($O$7=0,0,O$55/$O$9)</f>
        <v>27.463049843981192</v>
      </c>
      <c r="P57" s="3427">
        <f>IF($P$7=0,0,P$55/$P$9)</f>
        <v>29.279060278495646</v>
      </c>
      <c r="Q57" s="3427">
        <f>IF($Q$7=0,0,Q$55/$Q$9)</f>
        <v>29.279060278495646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60.889356040503557</v>
      </c>
      <c r="N58" s="2134">
        <f t="shared" si="25"/>
        <v>56.135879570828195</v>
      </c>
      <c r="O58" s="2134">
        <f t="shared" si="25"/>
        <v>60.967970653638254</v>
      </c>
      <c r="P58" s="2134">
        <f t="shared" si="25"/>
        <v>64.999513818260326</v>
      </c>
      <c r="Q58" s="2134">
        <f t="shared" si="25"/>
        <v>64.999513818260326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0.44853046371353528</v>
      </c>
      <c r="N59" s="2136">
        <f t="shared" si="25"/>
        <v>0.40137194030336193</v>
      </c>
      <c r="O59" s="2136">
        <f t="shared" si="25"/>
        <v>0.44295241683840636</v>
      </c>
      <c r="P59" s="2136">
        <f t="shared" si="25"/>
        <v>0.48798433797492741</v>
      </c>
      <c r="Q59" s="2136">
        <f t="shared" si="25"/>
        <v>0.50481138411199389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0.12459179547598202</v>
      </c>
      <c r="N60" s="2136">
        <f t="shared" si="26"/>
        <v>0.11149220563982276</v>
      </c>
      <c r="O60" s="2136">
        <f t="shared" si="26"/>
        <v>0.12304233801066843</v>
      </c>
      <c r="P60" s="2136">
        <f t="shared" si="26"/>
        <v>0.13555120499303541</v>
      </c>
      <c r="Q60" s="2136">
        <f t="shared" si="26"/>
        <v>0.14022538447555385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58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0.44853046371353528</v>
      </c>
      <c r="N61" s="2136">
        <f t="shared" si="27"/>
        <v>0.40137194030336193</v>
      </c>
      <c r="O61" s="2136">
        <f t="shared" si="27"/>
        <v>0.44295241683840636</v>
      </c>
      <c r="P61" s="2136">
        <f t="shared" si="27"/>
        <v>0.48798433797492741</v>
      </c>
      <c r="Q61" s="2136">
        <f t="shared" si="27"/>
        <v>0.50481138411199389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0.26911827822812118</v>
      </c>
      <c r="N62" s="2513">
        <f t="shared" si="28"/>
        <v>0.24082316418201713</v>
      </c>
      <c r="O62" s="2513">
        <f t="shared" si="28"/>
        <v>0.26577145010304376</v>
      </c>
      <c r="P62" s="2513">
        <f t="shared" si="28"/>
        <v>0.29279060278495644</v>
      </c>
      <c r="Q62" s="2513">
        <f t="shared" si="28"/>
        <v>0.30288683046719633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1983.0711241264144</v>
      </c>
      <c r="N63" s="1769">
        <f t="shared" si="29"/>
        <v>634.4846058225412</v>
      </c>
      <c r="O63" s="1769">
        <f t="shared" si="29"/>
        <v>496.47172708604114</v>
      </c>
      <c r="P63" s="1769">
        <f t="shared" si="29"/>
        <v>426.05739560891629</v>
      </c>
      <c r="Q63" s="1769">
        <f t="shared" si="29"/>
        <v>426.05739560891629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24.939585287384947</v>
      </c>
      <c r="N64" s="3427">
        <f>IF($N$7=0,0,N$63/$N$9)</f>
        <v>22.798379670414072</v>
      </c>
      <c r="O64" s="3427">
        <f>IF($O$7=0,0,O$63/$O$9)</f>
        <v>24.974997275283464</v>
      </c>
      <c r="P64" s="3427">
        <f>IF($P$7=0,0,P$63/$P$9)</f>
        <v>26.791007709797913</v>
      </c>
      <c r="Q64" s="3427">
        <f>IF($Q$7=0,0,Q$63/$Q$9)</f>
        <v>26.791007709797913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0.4078427683955021</v>
      </c>
      <c r="N65" s="2169">
        <f t="shared" si="30"/>
        <v>0.361879042387525</v>
      </c>
      <c r="O65" s="2169">
        <f t="shared" si="30"/>
        <v>0.40282253669812035</v>
      </c>
      <c r="P65" s="2169">
        <f t="shared" si="30"/>
        <v>0.44651679516329862</v>
      </c>
      <c r="Q65" s="2169">
        <f t="shared" si="30"/>
        <v>0.46191392603099857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0.24470566103730121</v>
      </c>
      <c r="N66" s="2171">
        <f t="shared" si="30"/>
        <v>0.21712742543251495</v>
      </c>
      <c r="O66" s="2171">
        <f t="shared" si="30"/>
        <v>0.2416935220188722</v>
      </c>
      <c r="P66" s="2171">
        <f t="shared" si="30"/>
        <v>0.26791007709797915</v>
      </c>
      <c r="Q66" s="2171">
        <f t="shared" si="30"/>
        <v>0.27714835561859913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740.7206046840148</v>
      </c>
      <c r="N68" s="1772">
        <f t="shared" si="31"/>
        <v>258.9997704119412</v>
      </c>
      <c r="O68" s="1772">
        <f t="shared" si="31"/>
        <v>185.18305611544122</v>
      </c>
      <c r="P68" s="1772">
        <f t="shared" si="31"/>
        <v>148.26888907831625</v>
      </c>
      <c r="Q68" s="1772">
        <f t="shared" si="31"/>
        <v>148.26888907831625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0.15233822849142609</v>
      </c>
      <c r="N69" s="2031">
        <f t="shared" si="32"/>
        <v>0.14772082416996649</v>
      </c>
      <c r="O69" s="2031">
        <f t="shared" si="32"/>
        <v>0.15025207750652947</v>
      </c>
      <c r="P69" s="2031">
        <f t="shared" si="32"/>
        <v>0.15538880408132244</v>
      </c>
      <c r="Q69" s="2031">
        <f t="shared" si="32"/>
        <v>0.16074703870481633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1104.5305194424</v>
      </c>
      <c r="N70" s="1769">
        <f t="shared" si="33"/>
        <v>327.24783541059998</v>
      </c>
      <c r="O70" s="1769">
        <f t="shared" si="33"/>
        <v>276.8336709706</v>
      </c>
      <c r="P70" s="1769">
        <f t="shared" si="33"/>
        <v>250.22450653060002</v>
      </c>
      <c r="Q70" s="1769">
        <f t="shared" si="33"/>
        <v>250.22450653060002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0.22716017562161528</v>
      </c>
      <c r="N71" s="2168">
        <f t="shared" si="34"/>
        <v>0.18664618844180486</v>
      </c>
      <c r="O71" s="2168">
        <f t="shared" si="34"/>
        <v>0.22461468700009937</v>
      </c>
      <c r="P71" s="2168">
        <f t="shared" si="34"/>
        <v>0.26224035981743488</v>
      </c>
      <c r="Q71" s="2168">
        <f t="shared" si="34"/>
        <v>0.27128313084562228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58"/>
      <c r="F97" s="3658"/>
      <c r="G97" s="3658"/>
      <c r="H97" s="3658"/>
      <c r="I97" s="3658"/>
      <c r="J97" s="3658"/>
      <c r="K97" s="3658"/>
      <c r="L97" s="203"/>
      <c r="M97" s="3658"/>
      <c r="N97" s="3658"/>
      <c r="O97" s="3658"/>
      <c r="P97" s="3658"/>
      <c r="Q97" s="3658"/>
      <c r="R97" s="3658"/>
      <c r="T97" s="3658"/>
      <c r="U97" s="3658"/>
      <c r="V97" s="3658"/>
      <c r="W97" s="3658"/>
      <c r="X97" s="3658"/>
      <c r="Y97" s="3658"/>
      <c r="Z97" s="3658"/>
      <c r="AA97" s="3658"/>
      <c r="AB97" s="3658"/>
      <c r="AC97" s="3658"/>
      <c r="AD97" s="3658"/>
      <c r="AE97" s="3658"/>
      <c r="AF97" s="3658"/>
    </row>
    <row r="98" spans="5:32" x14ac:dyDescent="0.2">
      <c r="E98" s="3658"/>
      <c r="F98" s="3658"/>
      <c r="G98" s="3658"/>
      <c r="H98" s="3658"/>
      <c r="I98" s="3658"/>
      <c r="J98" s="3658"/>
      <c r="K98" s="3658"/>
      <c r="L98" s="203"/>
      <c r="M98" s="3658"/>
      <c r="N98" s="3658"/>
      <c r="O98" s="3658"/>
      <c r="P98" s="3658"/>
      <c r="Q98" s="3658"/>
      <c r="R98" s="3658"/>
      <c r="T98" s="3658"/>
      <c r="U98" s="3658"/>
      <c r="V98" s="3658"/>
      <c r="W98" s="3658"/>
      <c r="X98" s="3658"/>
      <c r="Y98" s="3658"/>
      <c r="Z98" s="3658"/>
      <c r="AA98" s="3658"/>
      <c r="AB98" s="3658"/>
      <c r="AC98" s="3658"/>
      <c r="AD98" s="3658"/>
      <c r="AE98" s="3658"/>
      <c r="AF98" s="3658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pageSetUpPr fitToPage="1"/>
  </sheetPr>
  <dimension ref="A1:K261"/>
  <sheetViews>
    <sheetView showGridLines="0" zoomScale="120" zoomScaleNormal="120" zoomScaleSheetLayoutView="120" workbookViewId="0">
      <selection activeCell="B1" sqref="B1"/>
    </sheetView>
  </sheetViews>
  <sheetFormatPr baseColWidth="10" defaultRowHeight="12.75" x14ac:dyDescent="0.2"/>
  <cols>
    <col min="1" max="1" width="0.7109375" customWidth="1"/>
  </cols>
  <sheetData>
    <row r="1" spans="2:9" ht="43.5" customHeight="1" thickBot="1" x14ac:dyDescent="0.25">
      <c r="B1" s="3721"/>
      <c r="C1" s="3721"/>
      <c r="D1" s="3721"/>
      <c r="E1" s="3721"/>
      <c r="F1" s="3721"/>
      <c r="G1" s="3721"/>
      <c r="H1" s="3760"/>
      <c r="I1" s="3760"/>
    </row>
    <row r="2" spans="2:9" ht="23.25" x14ac:dyDescent="0.35">
      <c r="B2" s="1484" t="s">
        <v>487</v>
      </c>
      <c r="C2" s="1485"/>
      <c r="D2" s="1485"/>
      <c r="E2" s="1485"/>
      <c r="F2" s="1485"/>
      <c r="G2" s="1485"/>
      <c r="H2" s="1485"/>
      <c r="I2" s="1486"/>
    </row>
    <row r="3" spans="2:9" ht="15.75" x14ac:dyDescent="0.25">
      <c r="B3" s="1487" t="s">
        <v>1869</v>
      </c>
      <c r="C3" s="1488"/>
      <c r="D3" s="1488"/>
      <c r="E3" s="1488"/>
      <c r="F3" s="1488"/>
      <c r="G3" s="1488"/>
      <c r="H3" s="1488"/>
      <c r="I3" s="1489"/>
    </row>
    <row r="4" spans="2:9" ht="15.75" x14ac:dyDescent="0.25">
      <c r="B4" s="1187"/>
      <c r="C4" s="1188"/>
      <c r="D4" s="1188"/>
      <c r="E4" s="1188"/>
      <c r="F4" s="1188"/>
      <c r="G4" s="1188"/>
      <c r="H4" s="1188"/>
      <c r="I4" s="1189"/>
    </row>
    <row r="5" spans="2:9" ht="15.75" x14ac:dyDescent="0.25">
      <c r="B5" s="1187"/>
      <c r="C5" s="1188"/>
      <c r="D5" s="1188"/>
      <c r="E5" s="1188"/>
      <c r="F5" s="1188"/>
      <c r="G5" s="1188"/>
      <c r="H5" s="1188"/>
      <c r="I5" s="1189"/>
    </row>
    <row r="6" spans="2:9" ht="15.75" x14ac:dyDescent="0.25">
      <c r="B6" s="1371" t="s">
        <v>439</v>
      </c>
      <c r="C6" s="1193" t="s">
        <v>504</v>
      </c>
      <c r="D6" s="1190"/>
      <c r="E6" s="1188"/>
      <c r="F6" s="1188"/>
      <c r="G6" s="1188"/>
      <c r="H6" s="1188"/>
      <c r="I6" s="1189"/>
    </row>
    <row r="7" spans="2:9" ht="12.75" customHeight="1" x14ac:dyDescent="0.25">
      <c r="B7" s="1187"/>
      <c r="C7" s="1194" t="s">
        <v>505</v>
      </c>
      <c r="D7" s="1191"/>
      <c r="E7" s="1188"/>
      <c r="F7" s="1188"/>
      <c r="G7" s="1188"/>
      <c r="H7" s="1188"/>
      <c r="I7" s="1189"/>
    </row>
    <row r="8" spans="2:9" ht="16.5" customHeight="1" x14ac:dyDescent="0.25">
      <c r="B8" s="1187"/>
      <c r="C8" s="1193" t="s">
        <v>509</v>
      </c>
      <c r="D8" s="1191"/>
      <c r="E8" s="1188"/>
      <c r="F8" s="1188"/>
      <c r="G8" s="1188"/>
      <c r="H8" s="1188"/>
      <c r="I8" s="1189"/>
    </row>
    <row r="9" spans="2:9" ht="12.75" customHeight="1" x14ac:dyDescent="0.25">
      <c r="B9" s="1187"/>
      <c r="C9" s="1193" t="s">
        <v>1050</v>
      </c>
      <c r="D9" s="1191"/>
      <c r="E9" s="1188"/>
      <c r="F9" s="1188"/>
      <c r="G9" s="1188"/>
      <c r="H9" s="1188"/>
      <c r="I9" s="1189"/>
    </row>
    <row r="10" spans="2:9" ht="12.75" customHeight="1" thickBot="1" x14ac:dyDescent="0.3">
      <c r="B10" s="1196"/>
      <c r="C10" s="1195" t="s">
        <v>1092</v>
      </c>
      <c r="D10" s="1192"/>
      <c r="E10" s="1183"/>
      <c r="F10" s="1183"/>
      <c r="G10" s="1183"/>
      <c r="H10" s="1197" t="s">
        <v>493</v>
      </c>
      <c r="I10" s="1198">
        <f>Deckbl!D27</f>
        <v>44635</v>
      </c>
    </row>
    <row r="11" spans="2:9" ht="2.25" customHeight="1" x14ac:dyDescent="0.2"/>
    <row r="12" spans="2:9" ht="17.45" customHeight="1" x14ac:dyDescent="0.25">
      <c r="B12" s="942" t="s">
        <v>1093</v>
      </c>
    </row>
    <row r="13" spans="2:9" ht="2.25" customHeight="1" x14ac:dyDescent="0.2"/>
    <row r="14" spans="2:9" x14ac:dyDescent="0.2">
      <c r="B14" t="s">
        <v>1083</v>
      </c>
    </row>
    <row r="15" spans="2:9" x14ac:dyDescent="0.2">
      <c r="B15" s="474" t="s">
        <v>1416</v>
      </c>
    </row>
    <row r="16" spans="2:9" x14ac:dyDescent="0.2">
      <c r="B16" t="s">
        <v>1084</v>
      </c>
    </row>
    <row r="17" spans="2:2" x14ac:dyDescent="0.2">
      <c r="B17" t="s">
        <v>530</v>
      </c>
    </row>
    <row r="18" spans="2:2" x14ac:dyDescent="0.2">
      <c r="B18" t="s">
        <v>531</v>
      </c>
    </row>
    <row r="19" spans="2:2" ht="13.7" customHeight="1" x14ac:dyDescent="0.2">
      <c r="B19" t="s">
        <v>1099</v>
      </c>
    </row>
    <row r="20" spans="2:2" x14ac:dyDescent="0.2">
      <c r="B20" t="s">
        <v>1079</v>
      </c>
    </row>
    <row r="21" spans="2:2" ht="13.7" customHeight="1" x14ac:dyDescent="0.2">
      <c r="B21" t="s">
        <v>1089</v>
      </c>
    </row>
    <row r="22" spans="2:2" x14ac:dyDescent="0.2">
      <c r="B22" t="s">
        <v>1144</v>
      </c>
    </row>
    <row r="23" spans="2:2" x14ac:dyDescent="0.2">
      <c r="B23" t="s">
        <v>1145</v>
      </c>
    </row>
    <row r="24" spans="2:2" x14ac:dyDescent="0.2">
      <c r="B24" t="s">
        <v>1166</v>
      </c>
    </row>
    <row r="25" spans="2:2" x14ac:dyDescent="0.2">
      <c r="B25" t="s">
        <v>1151</v>
      </c>
    </row>
    <row r="26" spans="2:2" x14ac:dyDescent="0.2">
      <c r="B26" s="474" t="s">
        <v>1417</v>
      </c>
    </row>
    <row r="27" spans="2:2" ht="14.25" x14ac:dyDescent="0.2">
      <c r="B27" t="s">
        <v>532</v>
      </c>
    </row>
    <row r="28" spans="2:2" x14ac:dyDescent="0.2">
      <c r="B28" s="474" t="s">
        <v>1418</v>
      </c>
    </row>
    <row r="29" spans="2:2" ht="14.25" customHeight="1" x14ac:dyDescent="0.2">
      <c r="B29" t="s">
        <v>534</v>
      </c>
    </row>
    <row r="30" spans="2:2" x14ac:dyDescent="0.2">
      <c r="B30" t="s">
        <v>1125</v>
      </c>
    </row>
    <row r="31" spans="2:2" x14ac:dyDescent="0.2">
      <c r="B31" s="1914" t="s">
        <v>545</v>
      </c>
    </row>
    <row r="32" spans="2:2" x14ac:dyDescent="0.2">
      <c r="B32" s="1914" t="s">
        <v>166</v>
      </c>
    </row>
    <row r="33" spans="2:11" x14ac:dyDescent="0.2">
      <c r="B33" s="1914" t="s">
        <v>921</v>
      </c>
      <c r="K33" s="2629"/>
    </row>
    <row r="34" spans="2:11" x14ac:dyDescent="0.2">
      <c r="B34" s="1914" t="s">
        <v>924</v>
      </c>
    </row>
    <row r="35" spans="2:11" x14ac:dyDescent="0.2">
      <c r="B35" s="1914" t="s">
        <v>922</v>
      </c>
    </row>
    <row r="36" spans="2:11" x14ac:dyDescent="0.2">
      <c r="B36" s="1914" t="s">
        <v>923</v>
      </c>
    </row>
    <row r="37" spans="2:11" ht="15" customHeight="1" x14ac:dyDescent="0.2">
      <c r="B37" t="s">
        <v>46</v>
      </c>
    </row>
    <row r="38" spans="2:11" x14ac:dyDescent="0.2">
      <c r="B38" t="s">
        <v>47</v>
      </c>
    </row>
    <row r="39" spans="2:11" ht="2.25" customHeight="1" x14ac:dyDescent="0.2"/>
    <row r="40" spans="2:11" ht="17.45" customHeight="1" x14ac:dyDescent="0.25">
      <c r="B40" s="942" t="s">
        <v>48</v>
      </c>
    </row>
    <row r="41" spans="2:11" ht="17.45" customHeight="1" x14ac:dyDescent="0.2">
      <c r="B41" t="s">
        <v>744</v>
      </c>
    </row>
    <row r="42" spans="2:11" ht="21.2" customHeight="1" x14ac:dyDescent="0.2"/>
    <row r="43" spans="2:11" ht="21.2" customHeight="1" x14ac:dyDescent="0.2"/>
    <row r="57" spans="2:8" ht="10.5" customHeight="1" x14ac:dyDescent="0.2"/>
    <row r="58" spans="2:8" ht="0.75" customHeight="1" x14ac:dyDescent="0.2">
      <c r="C58" s="895"/>
      <c r="D58" s="895"/>
      <c r="E58" s="895"/>
      <c r="F58" s="895"/>
      <c r="G58" s="895"/>
      <c r="H58" s="895"/>
    </row>
    <row r="59" spans="2:8" ht="15.75" customHeight="1" x14ac:dyDescent="0.2">
      <c r="B59" t="s">
        <v>625</v>
      </c>
    </row>
    <row r="60" spans="2:8" x14ac:dyDescent="0.2">
      <c r="B60" t="s">
        <v>626</v>
      </c>
    </row>
    <row r="61" spans="2:8" x14ac:dyDescent="0.2">
      <c r="B61" t="s">
        <v>627</v>
      </c>
    </row>
    <row r="62" spans="2:8" ht="18" x14ac:dyDescent="0.25">
      <c r="B62" s="942" t="s">
        <v>628</v>
      </c>
    </row>
    <row r="63" spans="2:8" s="895" customFormat="1" ht="28.5" customHeight="1" x14ac:dyDescent="0.25">
      <c r="B63" s="943" t="s">
        <v>629</v>
      </c>
    </row>
    <row r="64" spans="2:8" ht="19.5" customHeight="1" x14ac:dyDescent="0.2">
      <c r="B64" t="s">
        <v>631</v>
      </c>
    </row>
    <row r="65" spans="2:9" x14ac:dyDescent="0.2">
      <c r="B65" t="s">
        <v>632</v>
      </c>
    </row>
    <row r="66" spans="2:9" ht="24.75" customHeight="1" x14ac:dyDescent="0.25">
      <c r="B66" s="943" t="s">
        <v>633</v>
      </c>
    </row>
    <row r="67" spans="2:9" ht="16.5" customHeight="1" x14ac:dyDescent="0.2">
      <c r="B67" t="s">
        <v>634</v>
      </c>
    </row>
    <row r="68" spans="2:9" x14ac:dyDescent="0.2">
      <c r="B68" s="4155" t="s">
        <v>1900</v>
      </c>
    </row>
    <row r="69" spans="2:9" s="4148" customFormat="1" x14ac:dyDescent="0.2">
      <c r="B69" s="4160" t="s">
        <v>1901</v>
      </c>
    </row>
    <row r="70" spans="2:9" s="4147" customFormat="1" x14ac:dyDescent="0.2">
      <c r="B70" s="4160" t="s">
        <v>1902</v>
      </c>
      <c r="C70" s="4160"/>
      <c r="D70" s="4160"/>
      <c r="E70" s="4160"/>
      <c r="F70" s="4160"/>
      <c r="G70" s="4160"/>
      <c r="H70" s="4160"/>
      <c r="I70" s="4160"/>
    </row>
    <row r="71" spans="2:9" s="4148" customFormat="1" x14ac:dyDescent="0.2">
      <c r="B71" s="4160" t="s">
        <v>1903</v>
      </c>
      <c r="C71" s="4160"/>
      <c r="D71" s="4160"/>
      <c r="E71" s="4160"/>
      <c r="F71" s="4160"/>
      <c r="G71" s="4160"/>
      <c r="H71" s="4160"/>
      <c r="I71" s="4160"/>
    </row>
    <row r="72" spans="2:9" x14ac:dyDescent="0.2">
      <c r="B72" s="4155" t="s">
        <v>1899</v>
      </c>
    </row>
    <row r="73" spans="2:9" ht="23.25" customHeight="1" x14ac:dyDescent="0.25">
      <c r="B73" s="943" t="s">
        <v>746</v>
      </c>
    </row>
    <row r="74" spans="2:9" ht="15.75" customHeight="1" x14ac:dyDescent="0.2">
      <c r="B74" s="4172" t="s">
        <v>747</v>
      </c>
    </row>
    <row r="75" spans="2:9" x14ac:dyDescent="0.2">
      <c r="B75" s="4172" t="s">
        <v>748</v>
      </c>
      <c r="C75" s="4155"/>
      <c r="D75" s="4155"/>
      <c r="E75" s="4155"/>
      <c r="F75" s="4155"/>
      <c r="G75" s="4155"/>
    </row>
    <row r="76" spans="2:9" x14ac:dyDescent="0.2">
      <c r="B76" s="474" t="s">
        <v>1643</v>
      </c>
      <c r="C76" s="895"/>
      <c r="D76" s="895"/>
      <c r="E76" s="895"/>
      <c r="F76" s="895"/>
    </row>
    <row r="77" spans="2:9" x14ac:dyDescent="0.2">
      <c r="B77" t="s">
        <v>679</v>
      </c>
    </row>
    <row r="78" spans="2:9" ht="27.75" customHeight="1" x14ac:dyDescent="0.25">
      <c r="B78" s="943" t="s">
        <v>749</v>
      </c>
    </row>
    <row r="79" spans="2:9" ht="16.5" customHeight="1" x14ac:dyDescent="0.2">
      <c r="B79" t="s">
        <v>51</v>
      </c>
    </row>
    <row r="80" spans="2:9" x14ac:dyDescent="0.2">
      <c r="B80" t="s">
        <v>54</v>
      </c>
    </row>
    <row r="81" spans="2:2" x14ac:dyDescent="0.2">
      <c r="B81" t="s">
        <v>1167</v>
      </c>
    </row>
    <row r="82" spans="2:2" x14ac:dyDescent="0.2">
      <c r="B82" t="s">
        <v>1168</v>
      </c>
    </row>
    <row r="83" spans="2:2" x14ac:dyDescent="0.2">
      <c r="B83" t="s">
        <v>720</v>
      </c>
    </row>
    <row r="84" spans="2:2" x14ac:dyDescent="0.2">
      <c r="B84" t="s">
        <v>825</v>
      </c>
    </row>
    <row r="85" spans="2:2" x14ac:dyDescent="0.2">
      <c r="B85" t="s">
        <v>1169</v>
      </c>
    </row>
    <row r="86" spans="2:2" x14ac:dyDescent="0.2">
      <c r="B86" t="s">
        <v>743</v>
      </c>
    </row>
    <row r="87" spans="2:2" ht="24" customHeight="1" x14ac:dyDescent="0.25">
      <c r="B87" s="943" t="s">
        <v>753</v>
      </c>
    </row>
    <row r="88" spans="2:2" ht="12.75" customHeight="1" x14ac:dyDescent="0.2">
      <c r="B88" t="s">
        <v>754</v>
      </c>
    </row>
    <row r="89" spans="2:2" x14ac:dyDescent="0.2">
      <c r="B89" t="s">
        <v>826</v>
      </c>
    </row>
    <row r="90" spans="2:2" x14ac:dyDescent="0.2">
      <c r="B90" t="s">
        <v>827</v>
      </c>
    </row>
    <row r="91" spans="2:2" ht="25.5" customHeight="1" x14ac:dyDescent="0.25">
      <c r="B91" s="943" t="s">
        <v>1419</v>
      </c>
    </row>
    <row r="92" spans="2:2" ht="12.75" customHeight="1" x14ac:dyDescent="0.2">
      <c r="B92" t="s">
        <v>928</v>
      </c>
    </row>
    <row r="93" spans="2:2" ht="12.2" customHeight="1" x14ac:dyDescent="0.2">
      <c r="B93" t="s">
        <v>212</v>
      </c>
    </row>
    <row r="94" spans="2:2" ht="4.9000000000000004" customHeight="1" x14ac:dyDescent="0.2"/>
    <row r="95" spans="2:2" ht="16.5" customHeight="1" x14ac:dyDescent="0.2">
      <c r="B95" t="s">
        <v>828</v>
      </c>
    </row>
    <row r="96" spans="2:2" x14ac:dyDescent="0.2">
      <c r="B96" t="s">
        <v>213</v>
      </c>
    </row>
    <row r="97" spans="2:2" x14ac:dyDescent="0.2">
      <c r="B97" t="s">
        <v>214</v>
      </c>
    </row>
    <row r="98" spans="2:2" ht="26.45" customHeight="1" x14ac:dyDescent="0.25">
      <c r="B98" s="942" t="s">
        <v>96</v>
      </c>
    </row>
    <row r="99" spans="2:2" ht="27" customHeight="1" x14ac:dyDescent="0.25">
      <c r="B99" s="1186" t="s">
        <v>97</v>
      </c>
    </row>
    <row r="100" spans="2:2" s="1182" customFormat="1" ht="21.75" customHeight="1" x14ac:dyDescent="0.2">
      <c r="B100" t="s">
        <v>98</v>
      </c>
    </row>
    <row r="101" spans="2:2" x14ac:dyDescent="0.2">
      <c r="B101" t="s">
        <v>99</v>
      </c>
    </row>
    <row r="102" spans="2:2" x14ac:dyDescent="0.2">
      <c r="B102" t="s">
        <v>100</v>
      </c>
    </row>
    <row r="103" spans="2:2" x14ac:dyDescent="0.2">
      <c r="B103" t="s">
        <v>101</v>
      </c>
    </row>
    <row r="104" spans="2:2" x14ac:dyDescent="0.2">
      <c r="B104" t="s">
        <v>215</v>
      </c>
    </row>
    <row r="105" spans="2:2" x14ac:dyDescent="0.2">
      <c r="B105" t="s">
        <v>102</v>
      </c>
    </row>
    <row r="106" spans="2:2" x14ac:dyDescent="0.2">
      <c r="B106" t="s">
        <v>519</v>
      </c>
    </row>
    <row r="107" spans="2:2" x14ac:dyDescent="0.2">
      <c r="B107" s="895" t="s">
        <v>776</v>
      </c>
    </row>
    <row r="108" spans="2:2" x14ac:dyDescent="0.2">
      <c r="B108" s="944" t="s">
        <v>1158</v>
      </c>
    </row>
    <row r="109" spans="2:2" x14ac:dyDescent="0.2">
      <c r="B109" t="s">
        <v>756</v>
      </c>
    </row>
    <row r="110" spans="2:2" x14ac:dyDescent="0.2">
      <c r="B110" t="s">
        <v>1170</v>
      </c>
    </row>
    <row r="111" spans="2:2" ht="9" customHeight="1" x14ac:dyDescent="0.2"/>
    <row r="112" spans="2:2" x14ac:dyDescent="0.2">
      <c r="B112" s="1182" t="s">
        <v>1644</v>
      </c>
    </row>
    <row r="113" spans="2:7" ht="12.2" customHeight="1" x14ac:dyDescent="0.2">
      <c r="B113" s="474" t="s">
        <v>1376</v>
      </c>
    </row>
    <row r="114" spans="2:7" hidden="1" x14ac:dyDescent="0.2">
      <c r="D114" s="944"/>
      <c r="E114" s="944"/>
      <c r="F114" s="944"/>
      <c r="G114" s="944"/>
    </row>
    <row r="115" spans="2:7" hidden="1" x14ac:dyDescent="0.2"/>
    <row r="116" spans="2:7" ht="12.2" hidden="1" customHeight="1" x14ac:dyDescent="0.2"/>
    <row r="117" spans="2:7" ht="12.6" hidden="1" customHeight="1" x14ac:dyDescent="0.2"/>
    <row r="118" spans="2:7" ht="12.6" hidden="1" customHeight="1" x14ac:dyDescent="0.2"/>
    <row r="119" spans="2:7" ht="12.6" hidden="1" customHeight="1" x14ac:dyDescent="0.2"/>
    <row r="120" spans="2:7" ht="0.75" hidden="1" customHeight="1" x14ac:dyDescent="0.2"/>
    <row r="121" spans="2:7" ht="21.2" customHeight="1" x14ac:dyDescent="0.2">
      <c r="B121" t="s">
        <v>757</v>
      </c>
    </row>
    <row r="122" spans="2:7" ht="11.25" customHeight="1" x14ac:dyDescent="0.2">
      <c r="B122" t="s">
        <v>520</v>
      </c>
    </row>
    <row r="123" spans="2:7" x14ac:dyDescent="0.2">
      <c r="B123" t="s">
        <v>216</v>
      </c>
    </row>
    <row r="124" spans="2:7" x14ac:dyDescent="0.2">
      <c r="B124" t="s">
        <v>1171</v>
      </c>
    </row>
    <row r="125" spans="2:7" x14ac:dyDescent="0.2">
      <c r="B125" t="s">
        <v>758</v>
      </c>
    </row>
    <row r="126" spans="2:7" x14ac:dyDescent="0.2">
      <c r="B126" t="s">
        <v>759</v>
      </c>
    </row>
    <row r="127" spans="2:7" x14ac:dyDescent="0.2">
      <c r="B127" t="s">
        <v>760</v>
      </c>
    </row>
    <row r="128" spans="2:7" x14ac:dyDescent="0.2">
      <c r="B128" s="474" t="s">
        <v>1420</v>
      </c>
    </row>
    <row r="129" spans="2:2" x14ac:dyDescent="0.2">
      <c r="B129" s="474" t="s">
        <v>1421</v>
      </c>
    </row>
    <row r="130" spans="2:2" x14ac:dyDescent="0.2">
      <c r="B130" s="474" t="s">
        <v>1422</v>
      </c>
    </row>
    <row r="131" spans="2:2" x14ac:dyDescent="0.2">
      <c r="B131" t="s">
        <v>551</v>
      </c>
    </row>
    <row r="132" spans="2:2" x14ac:dyDescent="0.2">
      <c r="B132" s="474" t="s">
        <v>1645</v>
      </c>
    </row>
    <row r="133" spans="2:2" ht="19.5" customHeight="1" x14ac:dyDescent="0.2">
      <c r="B133" t="s">
        <v>929</v>
      </c>
    </row>
    <row r="134" spans="2:2" ht="13.7" customHeight="1" x14ac:dyDescent="0.2">
      <c r="B134" s="474" t="s">
        <v>1423</v>
      </c>
    </row>
    <row r="135" spans="2:2" x14ac:dyDescent="0.2">
      <c r="B135" t="s">
        <v>639</v>
      </c>
    </row>
    <row r="136" spans="2:2" x14ac:dyDescent="0.2">
      <c r="B136" t="s">
        <v>116</v>
      </c>
    </row>
    <row r="137" spans="2:2" ht="20.25" customHeight="1" x14ac:dyDescent="0.2">
      <c r="B137" t="s">
        <v>117</v>
      </c>
    </row>
    <row r="138" spans="2:2" ht="13.7" customHeight="1" x14ac:dyDescent="0.2">
      <c r="B138" s="474" t="s">
        <v>1424</v>
      </c>
    </row>
    <row r="139" spans="2:2" ht="23.25" customHeight="1" x14ac:dyDescent="0.2">
      <c r="B139" t="s">
        <v>118</v>
      </c>
    </row>
    <row r="140" spans="2:2" ht="12.2" customHeight="1" x14ac:dyDescent="0.2">
      <c r="B140" t="s">
        <v>119</v>
      </c>
    </row>
    <row r="141" spans="2:2" x14ac:dyDescent="0.2">
      <c r="B141" t="s">
        <v>580</v>
      </c>
    </row>
    <row r="142" spans="2:2" x14ac:dyDescent="0.2">
      <c r="B142" t="s">
        <v>420</v>
      </c>
    </row>
    <row r="143" spans="2:2" ht="17.45" customHeight="1" x14ac:dyDescent="0.2">
      <c r="B143" t="s">
        <v>777</v>
      </c>
    </row>
    <row r="144" spans="2:2" ht="13.7" customHeight="1" x14ac:dyDescent="0.2">
      <c r="B144" t="s">
        <v>778</v>
      </c>
    </row>
    <row r="145" spans="1:3" ht="18.75" customHeight="1" x14ac:dyDescent="0.2">
      <c r="B145" t="s">
        <v>120</v>
      </c>
    </row>
    <row r="146" spans="1:3" ht="12.2" customHeight="1" x14ac:dyDescent="0.2">
      <c r="B146" t="s">
        <v>121</v>
      </c>
    </row>
    <row r="147" spans="1:3" ht="7.15" customHeight="1" x14ac:dyDescent="0.2"/>
    <row r="148" spans="1:3" ht="12.2" customHeight="1" x14ac:dyDescent="0.2">
      <c r="B148" s="474" t="s">
        <v>1425</v>
      </c>
    </row>
    <row r="149" spans="1:3" ht="12.2" customHeight="1" x14ac:dyDescent="0.2">
      <c r="B149" s="474" t="s">
        <v>1426</v>
      </c>
    </row>
    <row r="150" spans="1:3" ht="12.2" customHeight="1" x14ac:dyDescent="0.2">
      <c r="B150" s="474" t="s">
        <v>1427</v>
      </c>
    </row>
    <row r="151" spans="1:3" ht="12.2" customHeight="1" x14ac:dyDescent="0.2">
      <c r="B151" s="474" t="s">
        <v>1428</v>
      </c>
    </row>
    <row r="152" spans="1:3" ht="12.2" customHeight="1" x14ac:dyDescent="0.2">
      <c r="B152" t="s">
        <v>125</v>
      </c>
    </row>
    <row r="153" spans="1:3" ht="12.2" customHeight="1" x14ac:dyDescent="0.2">
      <c r="B153" t="s">
        <v>182</v>
      </c>
    </row>
    <row r="154" spans="1:3" ht="12.2" customHeight="1" x14ac:dyDescent="0.2">
      <c r="B154" t="s">
        <v>162</v>
      </c>
    </row>
    <row r="155" spans="1:3" ht="12.2" customHeight="1" x14ac:dyDescent="0.2">
      <c r="B155" t="s">
        <v>163</v>
      </c>
    </row>
    <row r="156" spans="1:3" ht="24.75" customHeight="1" x14ac:dyDescent="0.25">
      <c r="B156" s="1186" t="s">
        <v>122</v>
      </c>
    </row>
    <row r="157" spans="1:3" ht="28.5" customHeight="1" x14ac:dyDescent="0.2">
      <c r="A157" s="1182"/>
      <c r="B157" t="s">
        <v>535</v>
      </c>
      <c r="C157" s="1182"/>
    </row>
    <row r="158" spans="1:3" ht="12.75" customHeight="1" x14ac:dyDescent="0.2">
      <c r="B158" t="s">
        <v>700</v>
      </c>
    </row>
    <row r="159" spans="1:3" ht="12.75" customHeight="1" x14ac:dyDescent="0.2">
      <c r="B159" t="s">
        <v>217</v>
      </c>
    </row>
    <row r="160" spans="1:3" ht="8.1" customHeight="1" x14ac:dyDescent="0.2"/>
    <row r="161" spans="1:2" x14ac:dyDescent="0.2">
      <c r="B161" s="474" t="s">
        <v>1377</v>
      </c>
    </row>
    <row r="162" spans="1:2" ht="14.25" customHeight="1" x14ac:dyDescent="0.2">
      <c r="B162" t="s">
        <v>1126</v>
      </c>
    </row>
    <row r="163" spans="1:2" ht="14.25" customHeight="1" x14ac:dyDescent="0.2">
      <c r="B163" t="s">
        <v>808</v>
      </c>
    </row>
    <row r="164" spans="1:2" ht="14.25" customHeight="1" x14ac:dyDescent="0.2">
      <c r="B164" s="474" t="s">
        <v>1429</v>
      </c>
    </row>
    <row r="165" spans="1:2" ht="19.899999999999999" hidden="1" customHeight="1" x14ac:dyDescent="0.2">
      <c r="B165" s="3464" t="s">
        <v>1380</v>
      </c>
    </row>
    <row r="166" spans="1:2" ht="13.9" hidden="1" customHeight="1" x14ac:dyDescent="0.2">
      <c r="B166" s="3464" t="s">
        <v>1378</v>
      </c>
    </row>
    <row r="167" spans="1:2" ht="13.9" hidden="1" customHeight="1" x14ac:dyDescent="0.2">
      <c r="B167" s="3464" t="s">
        <v>1379</v>
      </c>
    </row>
    <row r="168" spans="1:2" ht="17.45" customHeight="1" x14ac:dyDescent="0.2">
      <c r="B168" s="1863" t="s">
        <v>421</v>
      </c>
    </row>
    <row r="169" spans="1:2" ht="18.75" customHeight="1" x14ac:dyDescent="0.2">
      <c r="B169" t="s">
        <v>123</v>
      </c>
    </row>
    <row r="170" spans="1:2" ht="14.25" customHeight="1" x14ac:dyDescent="0.2">
      <c r="B170" t="s">
        <v>870</v>
      </c>
    </row>
    <row r="171" spans="1:2" ht="14.45" customHeight="1" x14ac:dyDescent="0.2">
      <c r="B171" s="1182" t="s">
        <v>809</v>
      </c>
    </row>
    <row r="172" spans="1:2" ht="15" customHeight="1" x14ac:dyDescent="0.2">
      <c r="B172" t="s">
        <v>403</v>
      </c>
    </row>
    <row r="173" spans="1:2" x14ac:dyDescent="0.2">
      <c r="A173" t="s">
        <v>124</v>
      </c>
      <c r="B173" s="944" t="s">
        <v>810</v>
      </c>
    </row>
    <row r="174" spans="1:2" x14ac:dyDescent="0.2">
      <c r="B174" s="944" t="s">
        <v>811</v>
      </c>
    </row>
    <row r="175" spans="1:2" x14ac:dyDescent="0.2">
      <c r="B175" s="944" t="s">
        <v>311</v>
      </c>
    </row>
    <row r="176" spans="1:2" x14ac:dyDescent="0.2">
      <c r="B176" s="944"/>
    </row>
    <row r="177" spans="2:2" ht="18" customHeight="1" x14ac:dyDescent="0.2">
      <c r="B177" s="1863" t="s">
        <v>404</v>
      </c>
    </row>
    <row r="178" spans="2:2" ht="18.75" customHeight="1" x14ac:dyDescent="0.2">
      <c r="B178" s="1182" t="s">
        <v>1132</v>
      </c>
    </row>
    <row r="179" spans="2:2" ht="15" customHeight="1" x14ac:dyDescent="0.2">
      <c r="B179" s="474" t="s">
        <v>1430</v>
      </c>
    </row>
    <row r="180" spans="2:2" ht="14.45" customHeight="1" x14ac:dyDescent="0.2">
      <c r="B180" s="474" t="s">
        <v>1431</v>
      </c>
    </row>
    <row r="181" spans="2:2" ht="14.25" customHeight="1" x14ac:dyDescent="0.2">
      <c r="B181" s="474" t="s">
        <v>1432</v>
      </c>
    </row>
    <row r="182" spans="2:2" s="203" customFormat="1" ht="20.25" customHeight="1" x14ac:dyDescent="0.2">
      <c r="B182" s="1863" t="s">
        <v>405</v>
      </c>
    </row>
    <row r="183" spans="2:2" ht="19.5" customHeight="1" x14ac:dyDescent="0.2">
      <c r="B183" t="s">
        <v>1133</v>
      </c>
    </row>
    <row r="184" spans="2:2" x14ac:dyDescent="0.2">
      <c r="B184" t="s">
        <v>383</v>
      </c>
    </row>
    <row r="185" spans="2:2" x14ac:dyDescent="0.2">
      <c r="B185" t="s">
        <v>812</v>
      </c>
    </row>
    <row r="186" spans="2:2" ht="14.45" customHeight="1" x14ac:dyDescent="0.2">
      <c r="B186" s="474" t="s">
        <v>1433</v>
      </c>
    </row>
    <row r="187" spans="2:2" ht="11.25" customHeight="1" x14ac:dyDescent="0.2"/>
    <row r="188" spans="2:2" ht="13.7" customHeight="1" x14ac:dyDescent="0.2">
      <c r="B188" t="s">
        <v>709</v>
      </c>
    </row>
    <row r="189" spans="2:2" ht="13.7" customHeight="1" x14ac:dyDescent="0.2">
      <c r="B189" t="s">
        <v>492</v>
      </c>
    </row>
    <row r="190" spans="2:2" ht="13.7" customHeight="1" x14ac:dyDescent="0.2">
      <c r="B190" t="s">
        <v>712</v>
      </c>
    </row>
    <row r="191" spans="2:2" ht="13.7" customHeight="1" x14ac:dyDescent="0.2">
      <c r="B191" t="s">
        <v>156</v>
      </c>
    </row>
    <row r="192" spans="2:2" x14ac:dyDescent="0.2">
      <c r="B192" t="s">
        <v>157</v>
      </c>
    </row>
    <row r="193" spans="2:9" x14ac:dyDescent="0.2">
      <c r="B193" t="s">
        <v>822</v>
      </c>
    </row>
    <row r="194" spans="2:9" x14ac:dyDescent="0.2">
      <c r="B194" t="s">
        <v>823</v>
      </c>
    </row>
    <row r="195" spans="2:9" ht="19.149999999999999" customHeight="1" x14ac:dyDescent="0.2">
      <c r="B195" s="1182" t="s">
        <v>406</v>
      </c>
    </row>
    <row r="196" spans="2:9" ht="17.45" customHeight="1" x14ac:dyDescent="0.2">
      <c r="B196" t="s">
        <v>868</v>
      </c>
      <c r="H196" s="1185"/>
      <c r="I196" s="1184"/>
    </row>
    <row r="197" spans="2:9" x14ac:dyDescent="0.2">
      <c r="B197" t="s">
        <v>863</v>
      </c>
    </row>
    <row r="198" spans="2:9" x14ac:dyDescent="0.2">
      <c r="B198" t="s">
        <v>869</v>
      </c>
    </row>
    <row r="200" spans="2:9" x14ac:dyDescent="0.2">
      <c r="B200" s="1182" t="s">
        <v>408</v>
      </c>
    </row>
    <row r="201" spans="2:9" x14ac:dyDescent="0.2">
      <c r="B201" t="s">
        <v>537</v>
      </c>
    </row>
    <row r="203" spans="2:9" x14ac:dyDescent="0.2">
      <c r="B203" s="1182" t="s">
        <v>407</v>
      </c>
    </row>
    <row r="204" spans="2:9" x14ac:dyDescent="0.2">
      <c r="B204" t="s">
        <v>871</v>
      </c>
    </row>
    <row r="205" spans="2:9" x14ac:dyDescent="0.2">
      <c r="B205" t="s">
        <v>1134</v>
      </c>
    </row>
    <row r="206" spans="2:9" x14ac:dyDescent="0.2">
      <c r="B206" t="s">
        <v>713</v>
      </c>
    </row>
    <row r="207" spans="2:9" x14ac:dyDescent="0.2">
      <c r="B207" t="s">
        <v>714</v>
      </c>
    </row>
    <row r="208" spans="2:9" ht="13.9" customHeight="1" x14ac:dyDescent="0.2"/>
    <row r="209" spans="2:2" s="2576" customFormat="1" ht="16.5" x14ac:dyDescent="0.25">
      <c r="B209" s="2576" t="s">
        <v>313</v>
      </c>
    </row>
    <row r="210" spans="2:2" ht="4.9000000000000004" customHeight="1" x14ac:dyDescent="0.2"/>
    <row r="211" spans="2:2" s="943" customFormat="1" ht="15.75" x14ac:dyDescent="0.25">
      <c r="B211" s="943" t="s">
        <v>319</v>
      </c>
    </row>
    <row r="212" spans="2:2" ht="6" customHeight="1" x14ac:dyDescent="0.2"/>
    <row r="213" spans="2:2" x14ac:dyDescent="0.2">
      <c r="B213" t="s">
        <v>320</v>
      </c>
    </row>
    <row r="214" spans="2:2" x14ac:dyDescent="0.2">
      <c r="B214" s="474" t="s">
        <v>1646</v>
      </c>
    </row>
    <row r="215" spans="2:2" x14ac:dyDescent="0.2">
      <c r="B215" t="s">
        <v>861</v>
      </c>
    </row>
    <row r="216" spans="2:2" x14ac:dyDescent="0.2">
      <c r="B216" t="s">
        <v>186</v>
      </c>
    </row>
    <row r="217" spans="2:2" x14ac:dyDescent="0.2">
      <c r="B217" t="s">
        <v>280</v>
      </c>
    </row>
    <row r="218" spans="2:2" x14ac:dyDescent="0.2">
      <c r="B218" t="s">
        <v>281</v>
      </c>
    </row>
    <row r="219" spans="2:2" ht="8.4499999999999993" customHeight="1" x14ac:dyDescent="0.2"/>
    <row r="220" spans="2:2" x14ac:dyDescent="0.2">
      <c r="B220" t="s">
        <v>398</v>
      </c>
    </row>
    <row r="221" spans="2:2" x14ac:dyDescent="0.2">
      <c r="B221" t="s">
        <v>400</v>
      </c>
    </row>
    <row r="222" spans="2:2" x14ac:dyDescent="0.2">
      <c r="B222" t="s">
        <v>282</v>
      </c>
    </row>
    <row r="223" spans="2:2" x14ac:dyDescent="0.2">
      <c r="B223" t="s">
        <v>399</v>
      </c>
    </row>
    <row r="224" spans="2:2" ht="5.45" customHeight="1" x14ac:dyDescent="0.2"/>
    <row r="225" spans="2:2" x14ac:dyDescent="0.2">
      <c r="B225" t="s">
        <v>401</v>
      </c>
    </row>
    <row r="226" spans="2:2" ht="8.4499999999999993" customHeight="1" x14ac:dyDescent="0.2"/>
    <row r="227" spans="2:2" s="943" customFormat="1" ht="15.75" x14ac:dyDescent="0.25">
      <c r="B227" s="943" t="s">
        <v>321</v>
      </c>
    </row>
    <row r="228" spans="2:2" ht="19.149999999999999" customHeight="1" x14ac:dyDescent="0.2">
      <c r="B228" t="s">
        <v>839</v>
      </c>
    </row>
    <row r="229" spans="2:2" x14ac:dyDescent="0.2">
      <c r="B229" s="474" t="s">
        <v>1381</v>
      </c>
    </row>
    <row r="230" spans="2:2" x14ac:dyDescent="0.2">
      <c r="B230" t="s">
        <v>840</v>
      </c>
    </row>
    <row r="231" spans="2:2" x14ac:dyDescent="0.2">
      <c r="B231" t="s">
        <v>841</v>
      </c>
    </row>
    <row r="232" spans="2:2" ht="16.149999999999999" customHeight="1" x14ac:dyDescent="0.2">
      <c r="B232" t="s">
        <v>426</v>
      </c>
    </row>
    <row r="233" spans="2:2" x14ac:dyDescent="0.2">
      <c r="B233" t="s">
        <v>427</v>
      </c>
    </row>
    <row r="234" spans="2:2" x14ac:dyDescent="0.2">
      <c r="B234" t="s">
        <v>428</v>
      </c>
    </row>
    <row r="235" spans="2:2" ht="17.100000000000001" customHeight="1" x14ac:dyDescent="0.2">
      <c r="B235" s="474" t="s">
        <v>1382</v>
      </c>
    </row>
    <row r="236" spans="2:2" ht="12.6" customHeight="1" x14ac:dyDescent="0.2">
      <c r="B236" s="474" t="s">
        <v>1384</v>
      </c>
    </row>
    <row r="237" spans="2:2" ht="3.75" customHeight="1" x14ac:dyDescent="0.2"/>
    <row r="238" spans="2:2" ht="17.100000000000001" customHeight="1" x14ac:dyDescent="0.2">
      <c r="B238" s="3465" t="s">
        <v>1385</v>
      </c>
    </row>
    <row r="239" spans="2:2" ht="12.6" customHeight="1" x14ac:dyDescent="0.2">
      <c r="B239" s="3465" t="s">
        <v>1386</v>
      </c>
    </row>
    <row r="240" spans="2:2" ht="9.75" customHeight="1" x14ac:dyDescent="0.2"/>
    <row r="241" spans="2:2" s="943" customFormat="1" ht="15.75" x14ac:dyDescent="0.25">
      <c r="B241" s="943" t="s">
        <v>937</v>
      </c>
    </row>
    <row r="242" spans="2:2" ht="18.75" customHeight="1" x14ac:dyDescent="0.2"/>
    <row r="243" spans="2:2" x14ac:dyDescent="0.2">
      <c r="B243" t="s">
        <v>1437</v>
      </c>
    </row>
    <row r="244" spans="2:2" x14ac:dyDescent="0.2">
      <c r="B244" t="s">
        <v>443</v>
      </c>
    </row>
    <row r="245" spans="2:2" x14ac:dyDescent="0.2">
      <c r="B245" t="s">
        <v>402</v>
      </c>
    </row>
    <row r="246" spans="2:2" x14ac:dyDescent="0.2">
      <c r="B246" t="s">
        <v>445</v>
      </c>
    </row>
    <row r="247" spans="2:2" ht="12.75" customHeight="1" x14ac:dyDescent="0.2">
      <c r="B247" t="s">
        <v>1438</v>
      </c>
    </row>
    <row r="249" spans="2:2" x14ac:dyDescent="0.2">
      <c r="B249" t="s">
        <v>1439</v>
      </c>
    </row>
    <row r="250" spans="2:2" x14ac:dyDescent="0.2">
      <c r="B250" t="s">
        <v>1440</v>
      </c>
    </row>
    <row r="251" spans="2:2" x14ac:dyDescent="0.2">
      <c r="B251" t="s">
        <v>1441</v>
      </c>
    </row>
    <row r="252" spans="2:2" x14ac:dyDescent="0.2">
      <c r="B252" t="s">
        <v>1442</v>
      </c>
    </row>
    <row r="253" spans="2:2" x14ac:dyDescent="0.2">
      <c r="B253" t="s">
        <v>1443</v>
      </c>
    </row>
    <row r="255" spans="2:2" ht="20.45" customHeight="1" x14ac:dyDescent="0.2"/>
    <row r="256" spans="2:2" x14ac:dyDescent="0.2">
      <c r="B256" t="s">
        <v>1444</v>
      </c>
    </row>
    <row r="257" spans="2:9" x14ac:dyDescent="0.2">
      <c r="B257" t="s">
        <v>1445</v>
      </c>
    </row>
    <row r="258" spans="2:9" x14ac:dyDescent="0.2">
      <c r="B258" t="s">
        <v>1446</v>
      </c>
    </row>
    <row r="261" spans="2:9" x14ac:dyDescent="0.2">
      <c r="B261" s="4085" t="s">
        <v>1859</v>
      </c>
      <c r="G261" t="s">
        <v>979</v>
      </c>
      <c r="I261" s="1184">
        <f>Deckbl!D27</f>
        <v>44635</v>
      </c>
    </row>
  </sheetData>
  <phoneticPr fontId="0" type="noConversion"/>
  <printOptions horizontalCentered="1"/>
  <pageMargins left="0.70866141732283472" right="0.59055118110236227" top="0.23622047244094491" bottom="0.6692913385826772" header="0.31496062992125984" footer="0.31496062992125984"/>
  <pageSetup paperSize="9" scale="96" fitToHeight="0" orientation="portrait" useFirstPageNumber="1" r:id="rId1"/>
  <headerFooter alignWithMargins="0">
    <oddFooter>&amp;L&amp;9LEL Schwäbisch Gmünd (Abtlg. II)
LAZBW Aulendorf&amp;C&amp;9&amp;P+0&amp;R&amp;F</oddFooter>
  </headerFooter>
  <rowBreaks count="4" manualBreakCount="4">
    <brk id="61" max="8" man="1"/>
    <brk id="111" max="8" man="1"/>
    <brk id="167" max="8" man="1"/>
    <brk id="219" max="8" man="1"/>
  </rowBreaks>
  <drawing r:id="rId2"/>
  <legacyDrawing r:id="rId3"/>
  <oleObjects>
    <mc:AlternateContent xmlns:mc="http://schemas.openxmlformats.org/markup-compatibility/2006">
      <mc:Choice Requires="x14">
        <oleObject progId="MS Organigramm" shapeId="2059" r:id="rId4">
          <objectPr defaultSize="0" autoPict="0" r:id="rId5">
            <anchor moveWithCells="1">
              <from>
                <xdr:col>1</xdr:col>
                <xdr:colOff>47625</xdr:colOff>
                <xdr:row>41</xdr:row>
                <xdr:rowOff>38100</xdr:rowOff>
              </from>
              <to>
                <xdr:col>8</xdr:col>
                <xdr:colOff>685800</xdr:colOff>
                <xdr:row>55</xdr:row>
                <xdr:rowOff>142875</xdr:rowOff>
              </to>
            </anchor>
          </objectPr>
        </oleObject>
      </mc:Choice>
      <mc:Fallback>
        <oleObject progId="MS Organigramm" shapeId="2059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3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58" customWidth="1"/>
    <col min="26" max="26" width="11.140625" style="530" customWidth="1"/>
    <col min="27" max="30" width="8.85546875" style="530" customWidth="1"/>
    <col min="31" max="33" width="11" style="3658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1615</v>
      </c>
      <c r="L2" s="4312"/>
      <c r="M2" s="4312"/>
      <c r="N2" s="4312"/>
      <c r="O2" s="4312"/>
      <c r="P2" s="4312"/>
      <c r="Q2" s="4313"/>
      <c r="R2" s="538"/>
      <c r="S2" s="3658"/>
      <c r="T2" s="3658"/>
      <c r="U2" s="523"/>
      <c r="V2" s="523"/>
      <c r="W2" s="523"/>
      <c r="X2" s="523"/>
      <c r="Y2" s="3658"/>
      <c r="Z2" s="523"/>
      <c r="AA2" s="523"/>
      <c r="AB2" s="523"/>
      <c r="AC2" s="523"/>
      <c r="AD2" s="523"/>
      <c r="AE2" s="3658"/>
      <c r="AF2" s="3658"/>
      <c r="AG2" s="3658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1878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58"/>
      <c r="U3" s="3658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58"/>
      <c r="AF3" s="3658"/>
      <c r="AG3" s="3658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58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58"/>
      <c r="AF4" s="3658"/>
      <c r="AG4" s="3658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58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58"/>
      <c r="AF5" s="3658"/>
      <c r="AG5" s="3658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58"/>
      <c r="Z6" s="525"/>
      <c r="AA6" s="525"/>
      <c r="AB6" s="525"/>
      <c r="AC6" s="525"/>
      <c r="AD6" s="525"/>
      <c r="AE6" s="3658"/>
      <c r="AF6" s="3658"/>
      <c r="AG6" s="3658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58"/>
      <c r="Z7" s="525"/>
      <c r="AA7" s="525"/>
      <c r="AB7" s="525"/>
      <c r="AC7" s="525"/>
      <c r="AD7" s="525"/>
      <c r="AE7" s="3658"/>
      <c r="AF7" s="3658"/>
      <c r="AG7" s="3658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58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7</v>
      </c>
      <c r="R9" s="540"/>
      <c r="S9" s="571">
        <v>6</v>
      </c>
      <c r="T9" s="603"/>
      <c r="U9" s="540"/>
      <c r="V9" s="540"/>
      <c r="W9" s="540"/>
      <c r="X9" s="540"/>
      <c r="Y9" s="3658"/>
      <c r="Z9" s="540"/>
      <c r="AA9" s="540"/>
      <c r="AB9" s="540"/>
      <c r="AC9" s="540"/>
      <c r="AD9" s="540"/>
      <c r="AE9" s="3658"/>
      <c r="AF9" s="3658"/>
      <c r="AG9" s="3658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58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35</v>
      </c>
      <c r="Q10" s="445">
        <v>35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58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37</v>
      </c>
      <c r="Q11" s="490">
        <v>37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58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6.0000000000000018</v>
      </c>
      <c r="L12" s="1679"/>
      <c r="M12" s="644">
        <v>6</v>
      </c>
      <c r="N12" s="645">
        <v>6</v>
      </c>
      <c r="O12" s="645">
        <v>6</v>
      </c>
      <c r="P12" s="645">
        <v>6</v>
      </c>
      <c r="Q12" s="646">
        <v>6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58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2.2200000000000002</v>
      </c>
      <c r="Q13" s="643">
        <f>Q12*Q11/100</f>
        <v>2.2200000000000002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58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58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339.28571428571422</v>
      </c>
      <c r="L15" s="1684"/>
      <c r="M15" s="251">
        <f>IF(M10=0,0,M14/M10*100)</f>
        <v>101.78571428571428</v>
      </c>
      <c r="N15" s="252">
        <f>IF(N10=0,0,N14/N10*100)</f>
        <v>67.857142857142861</v>
      </c>
      <c r="O15" s="252">
        <f>IF(O10=0,0,O14/O10*100)</f>
        <v>67.857142857142861</v>
      </c>
      <c r="P15" s="252">
        <f>IF(P10=0,0,P14/P10*100)</f>
        <v>50.892857142857139</v>
      </c>
      <c r="Q15" s="256">
        <f>IF(Q10=0,0,Q14/Q10*100)</f>
        <v>50.892857142857139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56.547619047619037</v>
      </c>
      <c r="L16" s="4311"/>
      <c r="M16" s="2419">
        <f>IF(V5&lt;3,0,IF(M12=0,0,M15/M12))</f>
        <v>16.964285714285712</v>
      </c>
      <c r="N16" s="2420">
        <f>IF(W5&lt;3,0,IF(N12=0,0,N15/N12))</f>
        <v>11.30952380952381</v>
      </c>
      <c r="O16" s="2420">
        <f>IF(X5&lt;3,0,IF(O12=0,0,O15/O12))</f>
        <v>11.30952380952381</v>
      </c>
      <c r="P16" s="2420">
        <f>IF(Y5&lt;3,0,IF(P12=0,0,P15/P12))</f>
        <v>8.4821428571428559</v>
      </c>
      <c r="Q16" s="2421">
        <f>IF(Z5&lt;3,0,IF(Q12=0,0,1/Q12*Q15))</f>
        <v>8.4821428571428559</v>
      </c>
      <c r="R16" s="539"/>
      <c r="S16" s="608"/>
      <c r="T16" s="608"/>
      <c r="U16" s="608"/>
      <c r="V16" s="608"/>
      <c r="W16" s="608"/>
      <c r="X16" s="608"/>
      <c r="Y16" s="3658"/>
      <c r="Z16" s="608"/>
      <c r="AA16" s="2731" t="s">
        <v>564</v>
      </c>
      <c r="AB16" s="608"/>
      <c r="AC16" s="3042">
        <v>0</v>
      </c>
      <c r="AD16" s="608"/>
      <c r="AE16" s="3658"/>
      <c r="AF16" s="3658"/>
      <c r="AG16" s="365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110.4375</v>
      </c>
      <c r="L17" s="1686"/>
      <c r="M17" s="251">
        <f>M14*(100-M9)/100</f>
        <v>33.131250000000001</v>
      </c>
      <c r="N17" s="254">
        <f>N14*(100-N9)/100</f>
        <v>22.087499999999999</v>
      </c>
      <c r="O17" s="254">
        <f>O14*(100-O9)/100</f>
        <v>22.087499999999999</v>
      </c>
      <c r="P17" s="254">
        <f>P14*(100-P9)/100</f>
        <v>16.565625000000001</v>
      </c>
      <c r="Q17" s="257">
        <f>Q14*(100-Q9)/100</f>
        <v>16.565625000000001</v>
      </c>
      <c r="R17" s="539"/>
      <c r="S17" s="539"/>
      <c r="T17" s="525"/>
      <c r="U17" s="525"/>
      <c r="V17" s="525"/>
      <c r="W17" s="525"/>
      <c r="X17" s="525"/>
      <c r="Y17" s="3658"/>
      <c r="Z17" s="525"/>
      <c r="AA17" s="3045" t="s">
        <v>361</v>
      </c>
      <c r="AB17" s="525"/>
      <c r="AC17" s="3044">
        <v>0</v>
      </c>
      <c r="AD17" s="525"/>
      <c r="AE17" s="3658"/>
      <c r="AF17" s="3658"/>
      <c r="AG17" s="3658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298.47972972972968</v>
      </c>
      <c r="L18" s="1686"/>
      <c r="M18" s="251">
        <f>IF(M11=0,0,M17/M11*100)</f>
        <v>89.543918918918919</v>
      </c>
      <c r="N18" s="254">
        <f>IF(N11=0,0,N17/N11*100)</f>
        <v>59.695945945945937</v>
      </c>
      <c r="O18" s="254">
        <f>IF(O11=0,0,O17/O11*100)</f>
        <v>59.695945945945937</v>
      </c>
      <c r="P18" s="254">
        <f>IF(P11=0,0,P17/P11*100)</f>
        <v>44.77195945945946</v>
      </c>
      <c r="Q18" s="257">
        <f>IF(Q11=0,0,Q17/Q11*100)</f>
        <v>44.77195945945946</v>
      </c>
      <c r="R18" s="539"/>
      <c r="S18" s="539"/>
      <c r="T18" s="525"/>
      <c r="U18" s="525"/>
      <c r="V18" s="525"/>
      <c r="W18" s="525"/>
      <c r="X18" s="525"/>
      <c r="Y18" s="3658"/>
      <c r="Z18" s="525"/>
      <c r="AA18" s="525"/>
      <c r="AB18" s="525"/>
      <c r="AC18" s="525"/>
      <c r="AD18" s="525"/>
      <c r="AE18" s="3658"/>
      <c r="AF18" s="3658"/>
      <c r="AG18" s="365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49.746621621621614</v>
      </c>
      <c r="L19" s="1688"/>
      <c r="M19" s="504">
        <f>IF(M12=0,0,1/M12*M18)</f>
        <v>14.923986486486486</v>
      </c>
      <c r="N19" s="505">
        <f>IF(N12=0,0,1/N12*N18)</f>
        <v>9.9493243243243228</v>
      </c>
      <c r="O19" s="505">
        <f>IF(O12=0,0,1/O12*O18)</f>
        <v>9.9493243243243228</v>
      </c>
      <c r="P19" s="505">
        <f>IF(P12=0,0,1/P12*P18)</f>
        <v>7.461993243243243</v>
      </c>
      <c r="Q19" s="506">
        <f>IF(Q12=0,0,1/Q12*Q18)</f>
        <v>7.461993243243243</v>
      </c>
      <c r="R19" s="539"/>
      <c r="S19" s="539"/>
      <c r="T19" s="525"/>
      <c r="U19" s="525"/>
      <c r="V19" s="525"/>
      <c r="W19" s="525"/>
      <c r="X19" s="525"/>
      <c r="Y19" s="3658"/>
      <c r="Z19" s="525"/>
      <c r="AA19" s="525"/>
      <c r="AB19" s="525"/>
      <c r="AC19" s="525"/>
      <c r="AD19" s="525"/>
      <c r="AE19" s="3658"/>
      <c r="AF19" s="3658"/>
      <c r="AG19" s="3658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58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6.0200000000000005</v>
      </c>
      <c r="L20" s="1689"/>
      <c r="M20" s="312">
        <v>6.2</v>
      </c>
      <c r="N20" s="313">
        <v>6.1</v>
      </c>
      <c r="O20" s="313">
        <v>6</v>
      </c>
      <c r="P20" s="313">
        <v>5.8</v>
      </c>
      <c r="Q20" s="314">
        <v>5.8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58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10.033333333333335</v>
      </c>
      <c r="L21" s="1689"/>
      <c r="M21" s="515">
        <f>IF($G21=0,0,M20/$G21)</f>
        <v>10.333333333333334</v>
      </c>
      <c r="N21" s="516">
        <f>IF($G21=0,0,N20/$G21)</f>
        <v>10.166666666666666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9.6666666666666661</v>
      </c>
      <c r="R21" s="539"/>
      <c r="S21" s="539"/>
      <c r="T21" s="525"/>
      <c r="U21" s="525"/>
      <c r="V21" s="525"/>
      <c r="W21" s="525"/>
      <c r="X21" s="525"/>
      <c r="Y21" s="3658"/>
      <c r="Z21" s="525"/>
      <c r="AA21" s="525"/>
      <c r="AB21" s="525"/>
      <c r="AC21" s="525"/>
      <c r="AD21" s="525"/>
      <c r="AE21" s="3658"/>
      <c r="AF21" s="3658"/>
      <c r="AG21" s="3658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6648.3374999999996</v>
      </c>
      <c r="L22" s="1690"/>
      <c r="M22" s="446">
        <f t="shared" ref="M22:Q23" si="1">M$17*M20*10</f>
        <v>2054.1375000000003</v>
      </c>
      <c r="N22" s="448">
        <f t="shared" si="1"/>
        <v>1347.3374999999999</v>
      </c>
      <c r="O22" s="448">
        <f t="shared" si="1"/>
        <v>1325.2499999999998</v>
      </c>
      <c r="P22" s="448">
        <f t="shared" si="1"/>
        <v>960.80624999999998</v>
      </c>
      <c r="Q22" s="450">
        <f t="shared" si="1"/>
        <v>960.80624999999998</v>
      </c>
      <c r="R22" s="539"/>
      <c r="S22" s="539"/>
      <c r="T22" s="525"/>
      <c r="U22" s="525"/>
      <c r="V22" s="525"/>
      <c r="W22" s="525"/>
      <c r="X22" s="525"/>
      <c r="Y22" s="3658"/>
      <c r="Z22" s="525"/>
      <c r="AA22" s="525"/>
      <c r="AB22" s="525"/>
      <c r="AC22" s="525"/>
      <c r="AD22" s="525"/>
      <c r="AE22" s="3658"/>
      <c r="AF22" s="3658"/>
      <c r="AG22" s="3658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11080.5625</v>
      </c>
      <c r="L23" s="1691"/>
      <c r="M23" s="447">
        <f t="shared" si="1"/>
        <v>3423.5625000000005</v>
      </c>
      <c r="N23" s="449">
        <f t="shared" si="1"/>
        <v>2245.5625</v>
      </c>
      <c r="O23" s="449">
        <f t="shared" si="1"/>
        <v>2208.75</v>
      </c>
      <c r="P23" s="449">
        <f t="shared" si="1"/>
        <v>1601.34375</v>
      </c>
      <c r="Q23" s="451">
        <f t="shared" si="1"/>
        <v>1601.34375</v>
      </c>
      <c r="R23" s="539"/>
      <c r="S23" s="539"/>
      <c r="T23" s="525"/>
      <c r="U23" s="525"/>
      <c r="V23" s="525"/>
      <c r="W23" s="525"/>
      <c r="X23" s="525"/>
      <c r="Y23" s="3658"/>
      <c r="Z23" s="525"/>
      <c r="AA23" s="525"/>
      <c r="AB23" s="525"/>
      <c r="AC23" s="525"/>
      <c r="AD23" s="525"/>
      <c r="AE23" s="3658"/>
      <c r="AF23" s="3658"/>
      <c r="AG23" s="3658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58"/>
      <c r="Z24" s="525"/>
      <c r="AA24" s="525"/>
      <c r="AB24" s="525"/>
      <c r="AC24" s="525"/>
      <c r="AD24" s="525"/>
      <c r="AE24" s="3658"/>
      <c r="AF24" s="3658"/>
      <c r="AG24" s="3658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 s="3658"/>
      <c r="Z25" s="527"/>
      <c r="AA25" s="527"/>
      <c r="AB25" s="527"/>
      <c r="AC25" s="527"/>
      <c r="AD25" s="527"/>
      <c r="AE25" s="3658"/>
      <c r="AF25" s="3658"/>
      <c r="AG25" s="3658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58"/>
      <c r="I26" s="3658"/>
      <c r="J26" s="3658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54">
        <f t="shared" ref="P26:P29" si="5">$L26*$P$7/100</f>
        <v>0</v>
      </c>
      <c r="Q26" s="257">
        <f t="shared" ref="Q26:Q29" si="6">$L26*$Q$7/100</f>
        <v>0</v>
      </c>
      <c r="R26" s="542"/>
      <c r="S26" s="542"/>
      <c r="T26" s="528"/>
      <c r="U26" s="528"/>
      <c r="V26" s="528"/>
      <c r="W26" s="528"/>
      <c r="X26" s="528"/>
      <c r="Y26" s="3658"/>
      <c r="Z26" s="528"/>
      <c r="AA26" s="528"/>
      <c r="AB26" s="528"/>
      <c r="AC26" s="528"/>
      <c r="AD26" s="528"/>
      <c r="AE26" s="3658"/>
      <c r="AF26" s="3658"/>
      <c r="AG26" s="365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58"/>
      <c r="I27" s="3658"/>
      <c r="J27" s="3658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54">
        <f t="shared" si="5"/>
        <v>0</v>
      </c>
      <c r="Q27" s="257">
        <f t="shared" si="6"/>
        <v>0</v>
      </c>
      <c r="R27" s="542"/>
      <c r="S27" s="542"/>
      <c r="T27" s="528"/>
      <c r="U27" s="528"/>
      <c r="V27" s="528"/>
      <c r="W27" s="528"/>
      <c r="X27" s="528"/>
      <c r="Y27" s="3658"/>
      <c r="Z27" s="528"/>
      <c r="AA27" s="528"/>
      <c r="AB27" s="528"/>
      <c r="AC27" s="528"/>
      <c r="AD27" s="528"/>
      <c r="AE27" s="3658"/>
      <c r="AF27" s="3658"/>
      <c r="AG27" s="3658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58"/>
      <c r="I28" s="3658"/>
      <c r="J28" s="365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54">
        <f t="shared" si="5"/>
        <v>0</v>
      </c>
      <c r="Q28" s="257">
        <f t="shared" si="6"/>
        <v>0</v>
      </c>
      <c r="R28" s="542"/>
      <c r="S28" s="542"/>
      <c r="T28" s="528"/>
      <c r="U28" s="528"/>
      <c r="V28" s="528"/>
      <c r="W28" s="528"/>
      <c r="X28" s="528"/>
      <c r="Y28" s="3658"/>
      <c r="Z28" s="528"/>
      <c r="AA28" s="528"/>
      <c r="AB28" s="528"/>
      <c r="AC28" s="528"/>
      <c r="AD28" s="528"/>
      <c r="AE28" s="3658"/>
      <c r="AF28" s="3658"/>
      <c r="AG28" s="365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495">
        <f t="shared" si="5"/>
        <v>0</v>
      </c>
      <c r="Q29" s="496">
        <f t="shared" si="6"/>
        <v>0</v>
      </c>
      <c r="R29" s="542"/>
      <c r="S29" s="542"/>
      <c r="T29" s="528"/>
      <c r="U29" s="528"/>
      <c r="V29" s="528"/>
      <c r="W29" s="528"/>
      <c r="X29" s="528"/>
      <c r="Y29" s="3658"/>
      <c r="Z29" s="528"/>
      <c r="AA29" s="528"/>
      <c r="AB29" s="528"/>
      <c r="AC29" s="528"/>
      <c r="AD29" s="528"/>
      <c r="AE29" s="3658"/>
      <c r="AF29" s="3658"/>
      <c r="AG29" s="365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 s="3658"/>
      <c r="Z30" s="528"/>
      <c r="AA30" s="528"/>
      <c r="AB30" s="528"/>
      <c r="AC30" s="528"/>
      <c r="AD30" s="528"/>
      <c r="AE30" s="3658"/>
      <c r="AF30" s="3658"/>
      <c r="AG30" s="365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58"/>
      <c r="Z31" s="528"/>
      <c r="AA31" s="528"/>
      <c r="AB31" s="528"/>
      <c r="AC31" s="528"/>
      <c r="AD31" s="528"/>
      <c r="AE31" s="3658"/>
      <c r="AF31" s="3658"/>
      <c r="AG31" s="3658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 s="3658"/>
      <c r="Z34" s="529"/>
      <c r="AA34" s="529"/>
      <c r="AB34" s="529"/>
      <c r="AC34" s="529"/>
      <c r="AD34" s="529"/>
      <c r="AE34" s="3658"/>
      <c r="AF34" s="3658"/>
      <c r="AG34" s="3658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 s="3658"/>
      <c r="Z35" s="529"/>
      <c r="AA35" s="529"/>
      <c r="AB35" s="529"/>
      <c r="AC35" s="529"/>
      <c r="AD35" s="529"/>
      <c r="AE35" s="3658"/>
      <c r="AF35" s="3658"/>
      <c r="AG35" s="3658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58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58"/>
      <c r="Z36" s="528"/>
      <c r="AA36" s="528"/>
      <c r="AB36" s="528"/>
      <c r="AC36" s="528"/>
      <c r="AD36" s="528"/>
      <c r="AE36" s="3658"/>
      <c r="AF36" s="3658"/>
      <c r="AG36" s="365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58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58"/>
      <c r="Z37" s="528"/>
      <c r="AA37" s="528"/>
      <c r="AB37" s="528"/>
      <c r="AC37" s="528"/>
      <c r="AD37" s="528"/>
      <c r="AE37" s="3658"/>
      <c r="AF37" s="3658"/>
      <c r="AG37" s="3658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5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58"/>
      <c r="Z38" s="528"/>
      <c r="AA38" s="528"/>
      <c r="AB38" s="528"/>
      <c r="AC38" s="528"/>
      <c r="AD38" s="528"/>
      <c r="AE38" s="3658"/>
      <c r="AF38" s="3658"/>
      <c r="AG38" s="365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58"/>
      <c r="Z39" s="528"/>
      <c r="AA39" s="528"/>
      <c r="AB39" s="528"/>
      <c r="AC39" s="528"/>
      <c r="AD39" s="528"/>
      <c r="AE39" s="3658"/>
      <c r="AF39" s="3658"/>
      <c r="AG39" s="365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58"/>
      <c r="Z40" s="529"/>
      <c r="AA40" s="529"/>
      <c r="AB40" s="529"/>
      <c r="AC40" s="529"/>
      <c r="AD40" s="529"/>
      <c r="AE40" s="3658"/>
      <c r="AF40" s="3658"/>
      <c r="AG40" s="3658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58"/>
      <c r="Z41" s="529"/>
      <c r="AA41" s="529"/>
      <c r="AB41" s="529"/>
      <c r="AC41" s="529"/>
      <c r="AD41" s="529"/>
      <c r="AE41" s="3658"/>
      <c r="AF41" s="3658"/>
      <c r="AG41" s="3658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58"/>
      <c r="Z42" s="528"/>
      <c r="AA42" s="528"/>
      <c r="AB42" s="528"/>
      <c r="AC42" s="528"/>
      <c r="AD42" s="528"/>
      <c r="AE42" s="3658"/>
      <c r="AF42" s="3658"/>
      <c r="AG42" s="3658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58"/>
      <c r="J43" s="359" t="s">
        <v>266</v>
      </c>
      <c r="K43" s="1710"/>
      <c r="L43" s="1693">
        <f>SUM(M43:Q43)</f>
        <v>226.34570380599999</v>
      </c>
      <c r="M43" s="484">
        <f>SUM(Z46:Z56)</f>
        <v>47.648871244399999</v>
      </c>
      <c r="N43" s="484">
        <f>SUM(AA46:AA56)</f>
        <v>45.789706804399998</v>
      </c>
      <c r="O43" s="484">
        <f>SUM(AB46:AB56)</f>
        <v>43.930542364399997</v>
      </c>
      <c r="P43" s="484">
        <f>SUM(AC46:AC56)</f>
        <v>45.046041028399998</v>
      </c>
      <c r="Q43" s="1483">
        <f>SUM(AD46:AD56)</f>
        <v>43.930542364399997</v>
      </c>
      <c r="R43" s="542"/>
      <c r="S43" s="542"/>
      <c r="T43" s="526" t="s">
        <v>873</v>
      </c>
      <c r="U43" s="529"/>
      <c r="V43" s="529"/>
      <c r="W43" s="529"/>
      <c r="X43" s="529"/>
      <c r="Y43" s="3658"/>
      <c r="Z43" s="526" t="s">
        <v>874</v>
      </c>
      <c r="AA43" s="529"/>
      <c r="AB43" s="529"/>
      <c r="AC43" s="529"/>
      <c r="AD43" s="529"/>
      <c r="AE43" s="3658"/>
      <c r="AF43" s="3658"/>
      <c r="AG43" s="3658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58"/>
      <c r="Z44" s="543" t="s">
        <v>328</v>
      </c>
      <c r="AA44" s="544"/>
      <c r="AB44" s="544"/>
      <c r="AC44" s="544"/>
      <c r="AD44" s="545"/>
      <c r="AE44" s="3658"/>
      <c r="AF44" s="3658"/>
      <c r="AG44" s="3658"/>
      <c r="AH44" s="526"/>
      <c r="AI44" s="3658"/>
      <c r="AJ44" s="3658"/>
      <c r="AK44" s="3658"/>
      <c r="AL44" s="3658"/>
      <c r="AM44" s="3658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58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58"/>
      <c r="AF45" s="3658"/>
      <c r="AG45" s="3658"/>
      <c r="AH45" s="526"/>
      <c r="AI45" s="3658"/>
      <c r="AJ45" s="3658"/>
      <c r="AK45" s="3658"/>
      <c r="AL45" s="3658"/>
      <c r="AM45" s="3658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7">SUM(M46:Q46)</f>
        <v>1</v>
      </c>
      <c r="K46" s="1651">
        <f t="shared" ref="K46:K56" si="8">J46*H46</f>
        <v>0.82</v>
      </c>
      <c r="L46" s="1704">
        <f t="shared" ref="L46:L56" si="9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X55" si="10">IF(M46&lt;&gt;0,M46*$H46,0)</f>
        <v>0.16400000000000001</v>
      </c>
      <c r="U46" s="479">
        <f t="shared" si="10"/>
        <v>0.16400000000000001</v>
      </c>
      <c r="V46" s="479">
        <f t="shared" si="10"/>
        <v>0.16400000000000001</v>
      </c>
      <c r="W46" s="479">
        <f t="shared" si="10"/>
        <v>0.16400000000000001</v>
      </c>
      <c r="X46" s="480">
        <f t="shared" si="10"/>
        <v>0.16400000000000001</v>
      </c>
      <c r="Y46" s="3658"/>
      <c r="Z46" s="478">
        <f t="shared" ref="Z46:AD55" si="11">IF(M46&lt;&gt;0,M46*$I46,0)</f>
        <v>2.3843834347199993</v>
      </c>
      <c r="AA46" s="479">
        <f t="shared" si="11"/>
        <v>2.3843834347199993</v>
      </c>
      <c r="AB46" s="479">
        <f t="shared" si="11"/>
        <v>2.3843834347199993</v>
      </c>
      <c r="AC46" s="479">
        <f t="shared" si="11"/>
        <v>2.3843834347199993</v>
      </c>
      <c r="AD46" s="480">
        <f t="shared" si="11"/>
        <v>2.3843834347199993</v>
      </c>
      <c r="AE46" s="3658"/>
      <c r="AF46" s="3658"/>
      <c r="AG46" s="3658"/>
      <c r="AH46" s="526"/>
      <c r="AI46" s="3658"/>
      <c r="AJ46" s="3658"/>
      <c r="AK46" s="3658"/>
      <c r="AL46" s="3658"/>
      <c r="AM46" s="3658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7"/>
        <v>1</v>
      </c>
      <c r="K47" s="1651">
        <f t="shared" si="8"/>
        <v>0.48</v>
      </c>
      <c r="L47" s="1704">
        <f t="shared" si="9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10"/>
        <v>9.6000000000000002E-2</v>
      </c>
      <c r="U47" s="479">
        <f t="shared" si="10"/>
        <v>9.6000000000000002E-2</v>
      </c>
      <c r="V47" s="479">
        <f t="shared" si="10"/>
        <v>9.6000000000000002E-2</v>
      </c>
      <c r="W47" s="479">
        <f t="shared" si="10"/>
        <v>9.6000000000000002E-2</v>
      </c>
      <c r="X47" s="480">
        <f t="shared" si="10"/>
        <v>9.6000000000000002E-2</v>
      </c>
      <c r="Y47" s="3658"/>
      <c r="Z47" s="478">
        <f t="shared" si="11"/>
        <v>1.8914732300799999</v>
      </c>
      <c r="AA47" s="479">
        <f t="shared" si="11"/>
        <v>1.8914732300799999</v>
      </c>
      <c r="AB47" s="479">
        <f t="shared" si="11"/>
        <v>1.8914732300799999</v>
      </c>
      <c r="AC47" s="479">
        <f t="shared" si="11"/>
        <v>1.8914732300799999</v>
      </c>
      <c r="AD47" s="480">
        <f t="shared" si="11"/>
        <v>1.8914732300799999</v>
      </c>
      <c r="AE47" s="3658"/>
      <c r="AF47" s="3658"/>
      <c r="AG47" s="3658"/>
      <c r="AH47" s="526"/>
      <c r="AI47" s="3658"/>
      <c r="AJ47" s="3658"/>
      <c r="AK47" s="3658"/>
      <c r="AL47" s="3658"/>
      <c r="AM47" s="3658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7"/>
        <v>5</v>
      </c>
      <c r="K48" s="1651">
        <f t="shared" si="8"/>
        <v>1.85</v>
      </c>
      <c r="L48" s="1704">
        <f t="shared" si="9"/>
        <v>27.252557037999999</v>
      </c>
      <c r="M48" s="317">
        <v>1</v>
      </c>
      <c r="N48" s="318">
        <v>1</v>
      </c>
      <c r="O48" s="318">
        <v>1</v>
      </c>
      <c r="P48" s="318">
        <v>1</v>
      </c>
      <c r="Q48" s="319">
        <v>1</v>
      </c>
      <c r="R48" s="542"/>
      <c r="S48" s="542"/>
      <c r="T48" s="478">
        <f t="shared" si="10"/>
        <v>0.37</v>
      </c>
      <c r="U48" s="479">
        <f t="shared" si="10"/>
        <v>0.37</v>
      </c>
      <c r="V48" s="479">
        <f t="shared" si="10"/>
        <v>0.37</v>
      </c>
      <c r="W48" s="479">
        <f t="shared" si="10"/>
        <v>0.37</v>
      </c>
      <c r="X48" s="480">
        <f t="shared" si="10"/>
        <v>0.37</v>
      </c>
      <c r="Y48" s="3658"/>
      <c r="Z48" s="478">
        <f t="shared" si="11"/>
        <v>5.4505114075999996</v>
      </c>
      <c r="AA48" s="479">
        <f t="shared" si="11"/>
        <v>5.4505114075999996</v>
      </c>
      <c r="AB48" s="479">
        <f t="shared" si="11"/>
        <v>5.4505114075999996</v>
      </c>
      <c r="AC48" s="479">
        <f t="shared" si="11"/>
        <v>5.4505114075999996</v>
      </c>
      <c r="AD48" s="480">
        <f t="shared" si="11"/>
        <v>5.4505114075999996</v>
      </c>
      <c r="AE48" s="3658"/>
      <c r="AF48" s="3658"/>
      <c r="AG48" s="3658"/>
      <c r="AH48" s="526"/>
      <c r="AI48" s="3658"/>
      <c r="AJ48" s="3658"/>
      <c r="AK48" s="3658"/>
      <c r="AL48" s="3658"/>
      <c r="AM48" s="365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7"/>
        <v>4.8600000000000003</v>
      </c>
      <c r="K49" s="1651">
        <f>J49*H49</f>
        <v>1.458</v>
      </c>
      <c r="L49" s="1704">
        <f>J49*I49</f>
        <v>90.355391784000005</v>
      </c>
      <c r="M49" s="317">
        <v>1.1000000000000001</v>
      </c>
      <c r="N49" s="318">
        <v>1</v>
      </c>
      <c r="O49" s="318">
        <v>0.9</v>
      </c>
      <c r="P49" s="318">
        <v>0.96</v>
      </c>
      <c r="Q49" s="319">
        <v>0.9</v>
      </c>
      <c r="R49" s="542"/>
      <c r="S49" s="542"/>
      <c r="T49" s="478">
        <f t="shared" si="10"/>
        <v>0.33</v>
      </c>
      <c r="U49" s="479">
        <f t="shared" si="10"/>
        <v>0.3</v>
      </c>
      <c r="V49" s="479">
        <f t="shared" si="10"/>
        <v>0.27</v>
      </c>
      <c r="W49" s="479">
        <f t="shared" si="10"/>
        <v>0.28799999999999998</v>
      </c>
      <c r="X49" s="480">
        <f t="shared" si="10"/>
        <v>0.27</v>
      </c>
      <c r="Y49" s="3658"/>
      <c r="Z49" s="478">
        <f t="shared" si="11"/>
        <v>20.450808840000001</v>
      </c>
      <c r="AA49" s="479">
        <f t="shared" si="11"/>
        <v>18.5916444</v>
      </c>
      <c r="AB49" s="479">
        <f t="shared" si="11"/>
        <v>16.732479959999999</v>
      </c>
      <c r="AC49" s="479">
        <f t="shared" si="11"/>
        <v>17.847978624</v>
      </c>
      <c r="AD49" s="480">
        <f t="shared" si="11"/>
        <v>16.732479959999999</v>
      </c>
      <c r="AE49" s="3658"/>
      <c r="AF49" s="3658"/>
      <c r="AG49" s="3658"/>
      <c r="AH49" s="526"/>
      <c r="AI49" s="3658"/>
      <c r="AJ49" s="3658"/>
      <c r="AK49" s="3658"/>
      <c r="AL49" s="3658"/>
      <c r="AM49" s="3658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7"/>
        <v>5</v>
      </c>
      <c r="K50" s="1651">
        <f t="shared" si="8"/>
        <v>1.75</v>
      </c>
      <c r="L50" s="1704">
        <f t="shared" si="9"/>
        <v>42.887877339999996</v>
      </c>
      <c r="M50" s="317">
        <v>1</v>
      </c>
      <c r="N50" s="318">
        <v>1</v>
      </c>
      <c r="O50" s="318">
        <v>1</v>
      </c>
      <c r="P50" s="318">
        <v>1</v>
      </c>
      <c r="Q50" s="319">
        <v>1</v>
      </c>
      <c r="R50" s="542"/>
      <c r="S50" s="542"/>
      <c r="T50" s="478">
        <f t="shared" si="10"/>
        <v>0.35</v>
      </c>
      <c r="U50" s="479">
        <f t="shared" si="10"/>
        <v>0.35</v>
      </c>
      <c r="V50" s="479">
        <f t="shared" si="10"/>
        <v>0.35</v>
      </c>
      <c r="W50" s="479">
        <f t="shared" si="10"/>
        <v>0.35</v>
      </c>
      <c r="X50" s="480">
        <f t="shared" si="10"/>
        <v>0.35</v>
      </c>
      <c r="Y50" s="3658"/>
      <c r="Z50" s="478">
        <f t="shared" si="11"/>
        <v>8.5775754679999991</v>
      </c>
      <c r="AA50" s="479">
        <f t="shared" si="11"/>
        <v>8.5775754679999991</v>
      </c>
      <c r="AB50" s="479">
        <f t="shared" si="11"/>
        <v>8.5775754679999991</v>
      </c>
      <c r="AC50" s="479">
        <f t="shared" si="11"/>
        <v>8.5775754679999991</v>
      </c>
      <c r="AD50" s="480">
        <f t="shared" si="11"/>
        <v>8.5775754679999991</v>
      </c>
      <c r="AE50" s="3658"/>
      <c r="AF50" s="3658"/>
      <c r="AG50" s="3658"/>
      <c r="AH50" s="526"/>
      <c r="AI50" s="3658"/>
      <c r="AJ50" s="3658"/>
      <c r="AK50" s="3658"/>
      <c r="AL50" s="3658"/>
      <c r="AM50" s="3658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7"/>
        <v>5</v>
      </c>
      <c r="K51" s="1651">
        <f t="shared" si="8"/>
        <v>1.3</v>
      </c>
      <c r="L51" s="1704">
        <f t="shared" si="9"/>
        <v>44.470594320000004</v>
      </c>
      <c r="M51" s="317">
        <v>1</v>
      </c>
      <c r="N51" s="318">
        <v>1</v>
      </c>
      <c r="O51" s="318">
        <v>1</v>
      </c>
      <c r="P51" s="318">
        <v>1</v>
      </c>
      <c r="Q51" s="319">
        <v>1</v>
      </c>
      <c r="R51" s="542"/>
      <c r="S51" s="542"/>
      <c r="T51" s="478">
        <f t="shared" si="10"/>
        <v>0.26</v>
      </c>
      <c r="U51" s="479">
        <f t="shared" si="10"/>
        <v>0.26</v>
      </c>
      <c r="V51" s="479">
        <f t="shared" si="10"/>
        <v>0.26</v>
      </c>
      <c r="W51" s="479">
        <f t="shared" si="10"/>
        <v>0.26</v>
      </c>
      <c r="X51" s="480">
        <f t="shared" si="10"/>
        <v>0.26</v>
      </c>
      <c r="Y51" s="3658"/>
      <c r="Z51" s="478">
        <f t="shared" si="11"/>
        <v>8.8941188640000011</v>
      </c>
      <c r="AA51" s="479">
        <f t="shared" si="11"/>
        <v>8.8941188640000011</v>
      </c>
      <c r="AB51" s="479">
        <f t="shared" si="11"/>
        <v>8.8941188640000011</v>
      </c>
      <c r="AC51" s="479">
        <f t="shared" si="11"/>
        <v>8.8941188640000011</v>
      </c>
      <c r="AD51" s="480">
        <f t="shared" si="11"/>
        <v>8.8941188640000011</v>
      </c>
      <c r="AE51" s="3658"/>
      <c r="AF51" s="3658"/>
      <c r="AG51" s="3658"/>
      <c r="AH51" s="526"/>
      <c r="AI51" s="3658"/>
      <c r="AJ51" s="3658"/>
      <c r="AK51" s="3658"/>
      <c r="AL51" s="3658"/>
      <c r="AM51" s="3658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7"/>
        <v>0</v>
      </c>
      <c r="K52" s="1651">
        <f t="shared" si="8"/>
        <v>0</v>
      </c>
      <c r="L52" s="1704">
        <f t="shared" si="9"/>
        <v>0</v>
      </c>
      <c r="M52" s="317"/>
      <c r="N52" s="318"/>
      <c r="O52" s="318"/>
      <c r="P52" s="318"/>
      <c r="Q52" s="319"/>
      <c r="R52" s="542"/>
      <c r="S52" s="542"/>
      <c r="T52" s="478">
        <f t="shared" si="10"/>
        <v>0</v>
      </c>
      <c r="U52" s="479">
        <f t="shared" si="10"/>
        <v>0</v>
      </c>
      <c r="V52" s="479">
        <f t="shared" si="10"/>
        <v>0</v>
      </c>
      <c r="W52" s="479">
        <f t="shared" si="10"/>
        <v>0</v>
      </c>
      <c r="X52" s="480">
        <f t="shared" si="10"/>
        <v>0</v>
      </c>
      <c r="Y52" s="3658"/>
      <c r="Z52" s="478">
        <f t="shared" si="11"/>
        <v>0</v>
      </c>
      <c r="AA52" s="479">
        <f t="shared" si="11"/>
        <v>0</v>
      </c>
      <c r="AB52" s="479">
        <f t="shared" si="11"/>
        <v>0</v>
      </c>
      <c r="AC52" s="479">
        <f t="shared" si="11"/>
        <v>0</v>
      </c>
      <c r="AD52" s="480">
        <f t="shared" si="11"/>
        <v>0</v>
      </c>
      <c r="AE52" s="3658"/>
      <c r="AF52" s="3658"/>
      <c r="AG52" s="3658"/>
      <c r="AH52" s="526"/>
      <c r="AI52" s="3658"/>
      <c r="AJ52" s="3658"/>
      <c r="AK52" s="3658"/>
      <c r="AL52" s="3658"/>
      <c r="AM52" s="3658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7"/>
        <v>0</v>
      </c>
      <c r="K53" s="1651">
        <f t="shared" si="8"/>
        <v>0</v>
      </c>
      <c r="L53" s="1704">
        <f t="shared" si="9"/>
        <v>0</v>
      </c>
      <c r="M53" s="317"/>
      <c r="N53" s="318"/>
      <c r="O53" s="318"/>
      <c r="P53" s="318"/>
      <c r="Q53" s="319"/>
      <c r="R53" s="542"/>
      <c r="S53" s="542"/>
      <c r="T53" s="478">
        <f t="shared" si="10"/>
        <v>0</v>
      </c>
      <c r="U53" s="479">
        <f t="shared" si="10"/>
        <v>0</v>
      </c>
      <c r="V53" s="479">
        <f t="shared" si="10"/>
        <v>0</v>
      </c>
      <c r="W53" s="479">
        <f t="shared" si="10"/>
        <v>0</v>
      </c>
      <c r="X53" s="480">
        <f t="shared" si="10"/>
        <v>0</v>
      </c>
      <c r="Y53" s="3658"/>
      <c r="Z53" s="478">
        <f t="shared" si="11"/>
        <v>0</v>
      </c>
      <c r="AA53" s="479">
        <f t="shared" si="11"/>
        <v>0</v>
      </c>
      <c r="AB53" s="479">
        <f t="shared" si="11"/>
        <v>0</v>
      </c>
      <c r="AC53" s="479">
        <f t="shared" si="11"/>
        <v>0</v>
      </c>
      <c r="AD53" s="480">
        <f t="shared" si="11"/>
        <v>0</v>
      </c>
      <c r="AE53" s="3658"/>
      <c r="AF53" s="3658"/>
      <c r="AG53" s="3658"/>
      <c r="AH53" s="526"/>
      <c r="AI53" s="3658"/>
      <c r="AJ53" s="3658"/>
      <c r="AK53" s="3658"/>
      <c r="AL53" s="3658"/>
      <c r="AM53" s="3658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7"/>
        <v>0</v>
      </c>
      <c r="K54" s="1651">
        <f t="shared" si="8"/>
        <v>0</v>
      </c>
      <c r="L54" s="1704">
        <f t="shared" si="9"/>
        <v>0</v>
      </c>
      <c r="M54" s="317"/>
      <c r="N54" s="318"/>
      <c r="O54" s="318"/>
      <c r="P54" s="318"/>
      <c r="Q54" s="319"/>
      <c r="R54" s="542"/>
      <c r="S54" s="542"/>
      <c r="T54" s="478">
        <f t="shared" si="10"/>
        <v>0</v>
      </c>
      <c r="U54" s="479">
        <f t="shared" si="10"/>
        <v>0</v>
      </c>
      <c r="V54" s="479">
        <f t="shared" si="10"/>
        <v>0</v>
      </c>
      <c r="W54" s="479">
        <f t="shared" si="10"/>
        <v>0</v>
      </c>
      <c r="X54" s="480">
        <f t="shared" si="10"/>
        <v>0</v>
      </c>
      <c r="Y54" s="3658"/>
      <c r="Z54" s="478">
        <f t="shared" si="11"/>
        <v>0</v>
      </c>
      <c r="AA54" s="479">
        <f t="shared" si="11"/>
        <v>0</v>
      </c>
      <c r="AB54" s="479">
        <f t="shared" si="11"/>
        <v>0</v>
      </c>
      <c r="AC54" s="479">
        <f t="shared" si="11"/>
        <v>0</v>
      </c>
      <c r="AD54" s="480">
        <f t="shared" si="11"/>
        <v>0</v>
      </c>
      <c r="AE54" s="3658"/>
      <c r="AF54" s="3658"/>
      <c r="AG54" s="3658"/>
      <c r="AH54" s="526"/>
      <c r="AI54" s="3658"/>
      <c r="AJ54" s="3658"/>
      <c r="AK54" s="3658"/>
      <c r="AL54" s="3658"/>
      <c r="AM54" s="3658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7"/>
        <v>0</v>
      </c>
      <c r="K55" s="1651">
        <f t="shared" si="8"/>
        <v>0</v>
      </c>
      <c r="L55" s="1704">
        <f t="shared" si="9"/>
        <v>0</v>
      </c>
      <c r="M55" s="317"/>
      <c r="N55" s="318"/>
      <c r="O55" s="318"/>
      <c r="P55" s="318"/>
      <c r="Q55" s="319"/>
      <c r="R55" s="542"/>
      <c r="S55" s="542"/>
      <c r="T55" s="478">
        <f t="shared" si="10"/>
        <v>0</v>
      </c>
      <c r="U55" s="479">
        <f t="shared" si="10"/>
        <v>0</v>
      </c>
      <c r="V55" s="479">
        <f t="shared" si="10"/>
        <v>0</v>
      </c>
      <c r="W55" s="479">
        <f t="shared" si="10"/>
        <v>0</v>
      </c>
      <c r="X55" s="480">
        <f t="shared" si="10"/>
        <v>0</v>
      </c>
      <c r="Y55" s="3658"/>
      <c r="Z55" s="478">
        <f t="shared" si="11"/>
        <v>0</v>
      </c>
      <c r="AA55" s="479">
        <f t="shared" si="11"/>
        <v>0</v>
      </c>
      <c r="AB55" s="479">
        <f t="shared" si="11"/>
        <v>0</v>
      </c>
      <c r="AC55" s="479">
        <f t="shared" si="11"/>
        <v>0</v>
      </c>
      <c r="AD55" s="480">
        <f t="shared" si="11"/>
        <v>0</v>
      </c>
      <c r="AE55" s="3658"/>
      <c r="AF55" s="3658"/>
      <c r="AG55" s="3658"/>
      <c r="AH55" s="526"/>
      <c r="AI55" s="3658"/>
      <c r="AJ55" s="3658"/>
      <c r="AK55" s="3658"/>
      <c r="AL55" s="3658"/>
      <c r="AM55" s="3658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7"/>
        <v>0</v>
      </c>
      <c r="K56" s="1651">
        <f t="shared" si="8"/>
        <v>0</v>
      </c>
      <c r="L56" s="1714">
        <f t="shared" si="9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58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58"/>
      <c r="AF56" s="3658"/>
      <c r="AG56" s="3658"/>
      <c r="AH56" s="526"/>
      <c r="AI56" s="3658"/>
      <c r="AJ56" s="3658"/>
      <c r="AK56" s="3658"/>
      <c r="AL56" s="3658"/>
      <c r="AM56" s="3658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7.6579999999999995</v>
      </c>
      <c r="L57" s="1716"/>
      <c r="M57" s="278">
        <f>SUM(T46:T56)</f>
        <v>1.57</v>
      </c>
      <c r="N57" s="508">
        <f>SUM(U46:U56)</f>
        <v>1.5399999999999998</v>
      </c>
      <c r="O57" s="508">
        <f>SUM(V46:V56)</f>
        <v>1.51</v>
      </c>
      <c r="P57" s="508">
        <f>SUM(W46:W56)</f>
        <v>1.5279999999999998</v>
      </c>
      <c r="Q57" s="510">
        <f>SUM(X46:X56)</f>
        <v>1.51</v>
      </c>
      <c r="R57" s="542"/>
      <c r="S57" s="526"/>
      <c r="T57" s="537"/>
      <c r="U57" s="537"/>
      <c r="V57" s="537"/>
      <c r="W57" s="537"/>
      <c r="X57" s="537"/>
      <c r="Y57" s="3658"/>
      <c r="Z57" s="537"/>
      <c r="AA57" s="537"/>
      <c r="AB57" s="537"/>
      <c r="AC57" s="537"/>
      <c r="AD57" s="537"/>
      <c r="AE57" s="3658"/>
      <c r="AF57" s="3658"/>
      <c r="AG57" s="3658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13.784399999999998</v>
      </c>
      <c r="L58" s="1718"/>
      <c r="M58" s="270">
        <f>IF(M57+(M57*$G$58/100)&gt;M57+10,M57+10,M57+(M57*$G$58/100))</f>
        <v>2.8260000000000001</v>
      </c>
      <c r="N58" s="509">
        <f>IF(N57+(N57*$G$58/100)&gt;(N57+10),N57+10,N57+(N57*$G$58/100))</f>
        <v>2.7719999999999998</v>
      </c>
      <c r="O58" s="509">
        <f>IF(O57+(O57*$G$58/100)&gt;(O57+10),O57+10,O57+(O57*$G$58/100))</f>
        <v>2.718</v>
      </c>
      <c r="P58" s="509">
        <f>P57+P57*$G$58/100</f>
        <v>2.7503999999999995</v>
      </c>
      <c r="Q58" s="511">
        <f>Q57+Q57*$G$58/100</f>
        <v>2.718</v>
      </c>
      <c r="R58" s="542"/>
      <c r="S58" s="542"/>
      <c r="T58" s="537"/>
      <c r="U58" s="537"/>
      <c r="V58" s="537"/>
      <c r="W58" s="537"/>
      <c r="X58" s="537"/>
      <c r="Y58" s="3658"/>
      <c r="Z58" s="537"/>
      <c r="AA58" s="537"/>
      <c r="AB58" s="537"/>
      <c r="AC58" s="537"/>
      <c r="AD58" s="537"/>
      <c r="AE58" s="3658"/>
      <c r="AF58" s="3658"/>
      <c r="AG58" s="36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580.72000000000014</v>
      </c>
      <c r="M59" s="253">
        <f>SUM(T61:T63)</f>
        <v>127.449</v>
      </c>
      <c r="N59" s="254">
        <f>SUM(U61:U63)</f>
        <v>127.449</v>
      </c>
      <c r="O59" s="254">
        <f>SUM(V61:V63)</f>
        <v>116.14399999999999</v>
      </c>
      <c r="P59" s="254">
        <f>SUM(W61:W63)</f>
        <v>104.839</v>
      </c>
      <c r="Q59" s="257">
        <f>SUM(X61:X63)</f>
        <v>104.839</v>
      </c>
      <c r="R59" s="542"/>
      <c r="S59" s="542"/>
      <c r="T59" s="528"/>
      <c r="U59" s="528"/>
      <c r="V59" s="528"/>
      <c r="W59" s="528"/>
      <c r="X59" s="528"/>
      <c r="Y59" s="3658"/>
      <c r="Z59" s="528"/>
      <c r="AA59" s="528"/>
      <c r="AB59" s="528"/>
      <c r="AC59" s="528"/>
      <c r="AD59" s="528"/>
      <c r="AE59" s="3658"/>
      <c r="AF59" s="3658"/>
      <c r="AG59" s="365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58"/>
      <c r="Z60" s="528"/>
      <c r="AA60" s="528"/>
      <c r="AB60" s="528"/>
      <c r="AC60" s="528"/>
      <c r="AD60" s="528"/>
      <c r="AE60" s="3658"/>
      <c r="AF60" s="3658"/>
      <c r="AG60" s="365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2615"/>
      <c r="F61" s="2615"/>
      <c r="G61" s="3060">
        <v>65</v>
      </c>
      <c r="H61" s="3089">
        <f>G61*(100+$H$59)/100</f>
        <v>77.349999999999994</v>
      </c>
      <c r="I61" s="2615"/>
      <c r="J61" s="3095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2">IF(N61&lt;&gt;0,N61*$H61,0)</f>
        <v>3.0939999999999999</v>
      </c>
      <c r="V61" s="594">
        <f t="shared" si="12"/>
        <v>3.0939999999999999</v>
      </c>
      <c r="W61" s="594">
        <f t="shared" si="12"/>
        <v>3.0939999999999999</v>
      </c>
      <c r="X61" s="594">
        <f t="shared" si="12"/>
        <v>3.0939999999999999</v>
      </c>
      <c r="Y61" s="3658"/>
      <c r="Z61" s="266"/>
      <c r="AA61" s="266"/>
      <c r="AB61" s="266"/>
      <c r="AC61" s="266"/>
      <c r="AD61" s="267"/>
      <c r="AE61" s="3658"/>
      <c r="AF61" s="3658"/>
      <c r="AG61" s="3658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58"/>
      <c r="C62" s="354"/>
      <c r="D62" s="3440" t="s">
        <v>1368</v>
      </c>
      <c r="E62" s="3081"/>
      <c r="F62" s="3081"/>
      <c r="G62" s="3441">
        <v>95</v>
      </c>
      <c r="H62" s="3090">
        <f>G62*(100+$H$59)/100</f>
        <v>113.05</v>
      </c>
      <c r="I62" s="3091"/>
      <c r="J62" s="3096">
        <f>SUM(M62:Q62)</f>
        <v>5.0000000000000009</v>
      </c>
      <c r="K62" s="2304"/>
      <c r="L62" s="3069">
        <f>J62*H62</f>
        <v>565.25000000000011</v>
      </c>
      <c r="M62" s="3442">
        <v>1.1000000000000001</v>
      </c>
      <c r="N62" s="3443">
        <v>1.1000000000000001</v>
      </c>
      <c r="O62" s="3443">
        <v>1</v>
      </c>
      <c r="P62" s="3443">
        <v>0.9</v>
      </c>
      <c r="Q62" s="3444">
        <v>0.9</v>
      </c>
      <c r="R62" s="542"/>
      <c r="S62" s="542"/>
      <c r="T62" s="594">
        <f>IF(M62&lt;&gt;0,M62*$H62,0)</f>
        <v>124.355</v>
      </c>
      <c r="U62" s="594">
        <f t="shared" si="12"/>
        <v>124.355</v>
      </c>
      <c r="V62" s="594">
        <f t="shared" si="12"/>
        <v>113.05</v>
      </c>
      <c r="W62" s="594">
        <f t="shared" si="12"/>
        <v>101.745</v>
      </c>
      <c r="X62" s="594">
        <f t="shared" si="12"/>
        <v>101.745</v>
      </c>
      <c r="Y62" s="3658"/>
      <c r="Z62" s="3058"/>
      <c r="AA62" s="3058"/>
      <c r="AB62" s="3058"/>
      <c r="AC62" s="3058"/>
      <c r="AD62" s="3059"/>
      <c r="AE62" s="3658"/>
      <c r="AF62" s="3658"/>
      <c r="AG62" s="3658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2"/>
        <v>0</v>
      </c>
      <c r="V63" s="594">
        <f t="shared" si="12"/>
        <v>0</v>
      </c>
      <c r="W63" s="594">
        <f t="shared" si="12"/>
        <v>0</v>
      </c>
      <c r="X63" s="594">
        <f t="shared" si="12"/>
        <v>0</v>
      </c>
      <c r="Y63" s="3658"/>
      <c r="Z63" s="268"/>
      <c r="AA63" s="268"/>
      <c r="AB63" s="268"/>
      <c r="AC63" s="268"/>
      <c r="AD63" s="269"/>
      <c r="AE63" s="3658"/>
      <c r="AF63" s="3658"/>
      <c r="AG63" s="3658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3486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58"/>
      <c r="Z64" s="529"/>
      <c r="AA64" s="529"/>
      <c r="AB64" s="529"/>
      <c r="AC64" s="529"/>
      <c r="AD64" s="529"/>
      <c r="AE64" s="3658"/>
      <c r="AF64" s="3658"/>
      <c r="AG64" s="3658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58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58"/>
      <c r="Z65" s="529" t="s">
        <v>1159</v>
      </c>
      <c r="AA65" s="529"/>
      <c r="AB65" s="529"/>
      <c r="AC65" s="529"/>
      <c r="AD65" s="529"/>
      <c r="AE65" s="3658"/>
      <c r="AF65" s="3658"/>
      <c r="AG65" s="3658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58"/>
      <c r="U66" s="3658"/>
      <c r="V66" s="3658"/>
      <c r="W66" s="3057">
        <f>K10/100</f>
        <v>0.35</v>
      </c>
      <c r="X66" s="3658"/>
      <c r="Y66" s="3658"/>
      <c r="Z66" s="274" t="s">
        <v>356</v>
      </c>
      <c r="AA66" s="274" t="s">
        <v>563</v>
      </c>
      <c r="AB66" s="274" t="s">
        <v>564</v>
      </c>
      <c r="AC66" s="275"/>
      <c r="AD66" s="529"/>
      <c r="AE66" s="3658"/>
      <c r="AF66" s="3658"/>
      <c r="AG66" s="3658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3">SUM(L69:L70)</f>
        <v>41.650000000000006</v>
      </c>
      <c r="M67" s="253">
        <f t="shared" si="13"/>
        <v>12.494999999999999</v>
      </c>
      <c r="N67" s="254">
        <f t="shared" si="13"/>
        <v>8.33</v>
      </c>
      <c r="O67" s="254">
        <f t="shared" si="13"/>
        <v>8.33</v>
      </c>
      <c r="P67" s="254">
        <f t="shared" si="13"/>
        <v>6.2474999999999996</v>
      </c>
      <c r="Q67" s="257">
        <f t="shared" si="13"/>
        <v>6.2474999999999996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41.650000000000006</v>
      </c>
      <c r="M69" s="1386">
        <f>IF(AND($B69&lt;3,V$5=1),M$7*$I69/100,IF(AND($B69=3,V$5=3),M$7*$I69/100,0))</f>
        <v>12.494999999999999</v>
      </c>
      <c r="N69" s="933">
        <f t="shared" ref="N69:P70" si="14">IF(AND($B69&lt;3,W$5=1),N$7*$I69/100,IF(AND($B69=3,W$5=3),N$7*$I69/100,0))</f>
        <v>8.33</v>
      </c>
      <c r="O69" s="933">
        <f t="shared" si="14"/>
        <v>8.33</v>
      </c>
      <c r="P69" s="933">
        <f t="shared" si="14"/>
        <v>6.2474999999999996</v>
      </c>
      <c r="Q69" s="934">
        <f>IF(AND($B69&lt;3,Z$5=1),Q7*$I69/100,IF(AND($B69=3,Z$5=3),Q7*$I69/100,0))</f>
        <v>6.2474999999999996</v>
      </c>
      <c r="R69" s="542"/>
      <c r="S69" s="542"/>
      <c r="T69" s="528"/>
      <c r="U69" s="528"/>
      <c r="V69" s="528"/>
      <c r="W69" s="528"/>
      <c r="X69" s="528"/>
      <c r="Y69" s="3658"/>
      <c r="Z69" s="528"/>
      <c r="AA69" s="528"/>
      <c r="AB69" s="528"/>
      <c r="AC69" s="528"/>
      <c r="AD69" s="528"/>
      <c r="AE69" s="3658"/>
      <c r="AF69" s="3658"/>
      <c r="AG69" s="365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4"/>
        <v>0</v>
      </c>
      <c r="O70" s="933">
        <f t="shared" si="14"/>
        <v>0</v>
      </c>
      <c r="P70" s="933">
        <f t="shared" si="14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58"/>
      <c r="Z70" s="528"/>
      <c r="AA70" s="528"/>
      <c r="AB70" s="528"/>
      <c r="AC70" s="528"/>
      <c r="AD70" s="528"/>
      <c r="AE70" s="3658"/>
      <c r="AF70" s="3658"/>
      <c r="AG70" s="3658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58"/>
      <c r="Z71" s="528"/>
      <c r="AA71" s="528"/>
      <c r="AB71" s="528"/>
      <c r="AC71" s="528"/>
      <c r="AD71" s="528"/>
      <c r="AE71" s="3658"/>
      <c r="AF71" s="3658"/>
      <c r="AG71" s="3658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58"/>
      <c r="Z72" s="529"/>
      <c r="AA72" s="529"/>
      <c r="AB72" s="529"/>
      <c r="AC72" s="529"/>
      <c r="AD72" s="529"/>
      <c r="AE72" s="3658"/>
      <c r="AF72" s="3658"/>
      <c r="AG72" s="3658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5">K16</f>
        <v>56.547619047619037</v>
      </c>
      <c r="L77" s="3321">
        <f t="shared" si="15"/>
        <v>0</v>
      </c>
      <c r="M77" s="3321">
        <f t="shared" si="15"/>
        <v>16.964285714285712</v>
      </c>
      <c r="N77" s="3321">
        <f t="shared" si="15"/>
        <v>11.30952380952381</v>
      </c>
      <c r="O77" s="3321">
        <f t="shared" si="15"/>
        <v>11.30952380952381</v>
      </c>
      <c r="P77" s="3321">
        <f t="shared" si="15"/>
        <v>8.4821428571428559</v>
      </c>
      <c r="Q77" s="3321">
        <f t="shared" si="15"/>
        <v>8.4821428571428559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233.55815972222223</v>
      </c>
      <c r="L79" s="3321"/>
      <c r="M79" s="3321">
        <f>M78*M16</f>
        <v>82.432291666666657</v>
      </c>
      <c r="N79" s="3321">
        <f>N78*N16</f>
        <v>54.954861111111114</v>
      </c>
      <c r="O79" s="3321">
        <f>O78*O16</f>
        <v>54.954861111111114</v>
      </c>
      <c r="P79" s="3321">
        <f>P78*P16</f>
        <v>41.216145833333329</v>
      </c>
      <c r="Q79" s="3321">
        <f>Q78*Q16</f>
        <v>41.216145833333329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46310" r:id="rId4" name="Drop Down 6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5</xdr:col>
                    <xdr:colOff>571500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1" r:id="rId5" name="Drop Down 7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5</xdr:col>
                    <xdr:colOff>571500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2" r:id="rId6" name="Drop Down 8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9525</xdr:rowOff>
                  </from>
                  <to>
                    <xdr:col>5</xdr:col>
                    <xdr:colOff>571500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3" r:id="rId7" name="Drop Down 9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28575</xdr:rowOff>
                  </from>
                  <to>
                    <xdr:col>5</xdr:col>
                    <xdr:colOff>571500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4" r:id="rId8" name="Drop Down 10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47625</xdr:rowOff>
                  </from>
                  <to>
                    <xdr:col>5</xdr:col>
                    <xdr:colOff>571500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5" r:id="rId9" name="Drop Down 11">
              <controlPr defaultSize="0" autoLine="0" autoPict="0">
                <anchor moveWithCells="1">
                  <from>
                    <xdr:col>3</xdr:col>
                    <xdr:colOff>38100</xdr:colOff>
                    <xdr:row>50</xdr:row>
                    <xdr:rowOff>66675</xdr:rowOff>
                  </from>
                  <to>
                    <xdr:col>5</xdr:col>
                    <xdr:colOff>571500</xdr:colOff>
                    <xdr:row>51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6" r:id="rId10" name="Drop Down 12">
              <controlPr defaultSize="0" autoLine="0" autoPict="0">
                <anchor moveWithCells="1">
                  <from>
                    <xdr:col>3</xdr:col>
                    <xdr:colOff>38100</xdr:colOff>
                    <xdr:row>51</xdr:row>
                    <xdr:rowOff>28575</xdr:rowOff>
                  </from>
                  <to>
                    <xdr:col>5</xdr:col>
                    <xdr:colOff>571500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7" r:id="rId11" name="Drop Down 13">
              <controlPr defaultSize="0" autoLine="0" autoPict="0">
                <anchor moveWithCells="1">
                  <from>
                    <xdr:col>3</xdr:col>
                    <xdr:colOff>38100</xdr:colOff>
                    <xdr:row>52</xdr:row>
                    <xdr:rowOff>28575</xdr:rowOff>
                  </from>
                  <to>
                    <xdr:col>5</xdr:col>
                    <xdr:colOff>571500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8" r:id="rId12" name="Drop Down 14">
              <controlPr defaultSize="0" autoLine="0" autoPict="0">
                <anchor moveWithCells="1">
                  <from>
                    <xdr:col>3</xdr:col>
                    <xdr:colOff>38100</xdr:colOff>
                    <xdr:row>53</xdr:row>
                    <xdr:rowOff>28575</xdr:rowOff>
                  </from>
                  <to>
                    <xdr:col>5</xdr:col>
                    <xdr:colOff>571500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9" r:id="rId13" name="Drop Down 15">
              <controlPr defaultSize="0" autoLine="0" autoPict="0">
                <anchor moveWithCells="1">
                  <from>
                    <xdr:col>3</xdr:col>
                    <xdr:colOff>38100</xdr:colOff>
                    <xdr:row>54</xdr:row>
                    <xdr:rowOff>28575</xdr:rowOff>
                  </from>
                  <to>
                    <xdr:col>5</xdr:col>
                    <xdr:colOff>571500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20" r:id="rId14" name="Drop Down 16">
              <controlPr defaultSize="0" autoLine="0" autoPict="0">
                <anchor moveWithCells="1">
                  <from>
                    <xdr:col>3</xdr:col>
                    <xdr:colOff>38100</xdr:colOff>
                    <xdr:row>54</xdr:row>
                    <xdr:rowOff>180975</xdr:rowOff>
                  </from>
                  <to>
                    <xdr:col>5</xdr:col>
                    <xdr:colOff>571500</xdr:colOff>
                    <xdr:row>56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4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58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'9)GS 5Nutz.Fremdmech(a)'!H2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'9)GS 5Nutz.Fremdmech(a)'!K2</f>
        <v>Wiese; 5 Nutzungen, Fremdmech, 5 x Silage</v>
      </c>
      <c r="S2" s="3658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58"/>
      <c r="AL2" s="3658"/>
      <c r="AM2" s="39"/>
      <c r="AN2" s="3658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'9)GS 5Nutz.Fremdmech(a)'!H3</f>
        <v>5 x Silage, Eigenmechanisierung bis Schwaden, Ernte LU LW, 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58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58"/>
      <c r="AH3" s="205"/>
      <c r="AI3" s="3658"/>
      <c r="AJ3" s="3658"/>
      <c r="AK3" s="3658"/>
      <c r="AL3" s="3658"/>
      <c r="AM3" s="39"/>
      <c r="AN3" s="3658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58"/>
      <c r="V4" s="177"/>
      <c r="AG4" s="3658"/>
      <c r="AH4" s="3658"/>
      <c r="AI4" s="3658"/>
      <c r="AJ4" s="3658"/>
      <c r="AK4" s="3658"/>
      <c r="AL4" s="3658"/>
      <c r="AM4" s="3658"/>
      <c r="AN4" s="3658"/>
      <c r="AO4" s="3658"/>
      <c r="AP4" s="3658"/>
      <c r="AQ4" s="3658"/>
      <c r="AR4" s="3658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'9)GS 5Nutz.Fremdmech(a)'!M5</f>
        <v>Silage</v>
      </c>
      <c r="O5" s="1568" t="str">
        <f>'9)GS 5Nutz.Fremdmech(a)'!N5</f>
        <v>Silage</v>
      </c>
      <c r="P5" s="1568" t="str">
        <f>'9)GS 5Nutz.Fremdmech(a)'!O5</f>
        <v>Silage</v>
      </c>
      <c r="Q5" s="1568" t="str">
        <f>'9)GS 5Nutz.Fremdmech(a)'!P5</f>
        <v>Silage</v>
      </c>
      <c r="R5" s="1573" t="str">
        <f>'9)GS 5Nutz.Fremdmech(a)'!Q5</f>
        <v>Silage</v>
      </c>
      <c r="S5" s="3658"/>
      <c r="V5" s="177"/>
      <c r="AG5" s="3658"/>
      <c r="AH5" s="3658"/>
      <c r="AI5" s="3658"/>
      <c r="AJ5" s="3658"/>
      <c r="AK5" s="3658"/>
      <c r="AL5" s="3658"/>
      <c r="AM5" s="3658"/>
      <c r="AN5" s="3658"/>
      <c r="AO5" s="3658"/>
      <c r="AP5" s="3658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'9)GS 5Nutz.Fremdmech(a)'!K6</f>
        <v>125</v>
      </c>
      <c r="N6" s="1821">
        <f>'9)GS 5Nutz.Fremdmech(a)'!M6</f>
        <v>37.5</v>
      </c>
      <c r="O6" s="1821">
        <f>'9)GS 5Nutz.Fremdmech(a)'!N6</f>
        <v>25</v>
      </c>
      <c r="P6" s="1821">
        <f>'9)GS 5Nutz.Fremdmech(a)'!O6</f>
        <v>25</v>
      </c>
      <c r="Q6" s="1821">
        <f>'9)GS 5Nutz.Fremdmech(a)'!P6</f>
        <v>18.75</v>
      </c>
      <c r="R6" s="1822">
        <f>'9)GS 5Nutz.Fremdmech(a)'!Q6</f>
        <v>18.75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'9)GS 5Nutz.Fremdmech(a)'!K14</f>
        <v>118.75</v>
      </c>
      <c r="N7" s="452">
        <f>'9)GS 5Nutz.Fremdmech(a)'!M14</f>
        <v>35.625</v>
      </c>
      <c r="O7" s="452">
        <f>'9)GS 5Nutz.Fremdmech(a)'!N14</f>
        <v>23.75</v>
      </c>
      <c r="P7" s="452">
        <f>'9)GS 5Nutz.Fremdmech(a)'!O14</f>
        <v>23.75</v>
      </c>
      <c r="Q7" s="452">
        <f>'9)GS 5Nutz.Fremdmech(a)'!P14</f>
        <v>17.8125</v>
      </c>
      <c r="R7" s="1744">
        <f>'9)GS 5Nutz.Fremdmech(a)'!Q14</f>
        <v>17.8125</v>
      </c>
      <c r="S7" s="3658"/>
      <c r="V7" s="177"/>
      <c r="AG7" s="3658"/>
      <c r="AH7" s="3658"/>
      <c r="AI7" s="3658"/>
      <c r="AJ7" s="3658"/>
      <c r="AK7" s="3658"/>
      <c r="AL7" s="3658"/>
      <c r="AM7" s="3658"/>
      <c r="AN7" s="3658"/>
      <c r="AO7" s="3658"/>
      <c r="AP7" s="3658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'9)GS 5Nutz.Fremdmech(a)'!K15</f>
        <v>339.28571428571422</v>
      </c>
      <c r="N8" s="473">
        <f>'9)GS 5Nutz.Fremdmech(a)'!M15</f>
        <v>101.78571428571428</v>
      </c>
      <c r="O8" s="473">
        <f>'9)GS 5Nutz.Fremdmech(a)'!N15</f>
        <v>67.857142857142861</v>
      </c>
      <c r="P8" s="473">
        <f>'9)GS 5Nutz.Fremdmech(a)'!O15</f>
        <v>67.857142857142861</v>
      </c>
      <c r="Q8" s="473">
        <f>'9)GS 5Nutz.Fremdmech(a)'!P15</f>
        <v>50.892857142857139</v>
      </c>
      <c r="R8" s="1583">
        <f>'9)GS 5Nutz.Fremdmech(a)'!Q15</f>
        <v>50.892857142857139</v>
      </c>
      <c r="S8" s="3658"/>
      <c r="V8" s="177"/>
      <c r="AG8" s="3658"/>
      <c r="AH8" s="3658"/>
      <c r="AI8" s="3658"/>
      <c r="AJ8" s="3658"/>
      <c r="AK8" s="3658"/>
      <c r="AL8" s="3658"/>
      <c r="AM8" s="3658"/>
      <c r="AN8" s="3658"/>
      <c r="AO8" s="3658"/>
      <c r="AP8" s="365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'9)GS 5Nutz.Fremdmech(a)'!K17</f>
        <v>110.4375</v>
      </c>
      <c r="N9" s="452">
        <f>'9)GS 5Nutz.Fremdmech(a)'!M17</f>
        <v>33.131250000000001</v>
      </c>
      <c r="O9" s="452">
        <f>'9)GS 5Nutz.Fremdmech(a)'!N17</f>
        <v>22.087499999999999</v>
      </c>
      <c r="P9" s="452">
        <f>'9)GS 5Nutz.Fremdmech(a)'!O17</f>
        <v>22.087499999999999</v>
      </c>
      <c r="Q9" s="452">
        <f>'9)GS 5Nutz.Fremdmech(a)'!P17</f>
        <v>16.565625000000001</v>
      </c>
      <c r="R9" s="1744">
        <f>'9)GS 5Nutz.Fremdmech(a)'!Q17</f>
        <v>16.565625000000001</v>
      </c>
      <c r="S9" s="3658"/>
      <c r="V9" s="177"/>
      <c r="AG9" s="3658"/>
      <c r="AH9" s="3658"/>
      <c r="AI9" s="3658"/>
      <c r="AJ9" s="3658"/>
      <c r="AK9" s="3658"/>
      <c r="AL9" s="3658"/>
      <c r="AM9" s="3658"/>
      <c r="AN9" s="3658"/>
      <c r="AO9" s="3658"/>
      <c r="AP9" s="3658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'9)GS 5Nutz.Fremdmech(a)'!K18</f>
        <v>298.47972972972968</v>
      </c>
      <c r="N10" s="1748">
        <f>'9)GS 5Nutz.Fremdmech(a)'!M18</f>
        <v>89.543918918918919</v>
      </c>
      <c r="O10" s="1748">
        <f>'9)GS 5Nutz.Fremdmech(a)'!N18</f>
        <v>59.695945945945937</v>
      </c>
      <c r="P10" s="1748">
        <f>'9)GS 5Nutz.Fremdmech(a)'!O18</f>
        <v>59.695945945945937</v>
      </c>
      <c r="Q10" s="1748">
        <f>'9)GS 5Nutz.Fremdmech(a)'!P18</f>
        <v>44.77195945945946</v>
      </c>
      <c r="R10" s="1745">
        <f>'9)GS 5Nutz.Fremdmech(a)'!Q18</f>
        <v>44.77195945945946</v>
      </c>
      <c r="S10" s="3658"/>
      <c r="V10" s="177"/>
      <c r="AG10" s="3658"/>
      <c r="AH10" s="3658"/>
      <c r="AI10" s="3658"/>
      <c r="AJ10" s="3658"/>
      <c r="AK10" s="3658"/>
      <c r="AL10" s="3658"/>
      <c r="AM10" s="3658"/>
      <c r="AN10" s="3658"/>
      <c r="AO10" s="3658"/>
      <c r="AP10" s="3658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'9)GS 5Nutz.Fremdmech(a)'!K19</f>
        <v>49.746621621621614</v>
      </c>
      <c r="N11" s="2094">
        <f>'9)GS 5Nutz.Fremdmech(a)'!M19</f>
        <v>14.923986486486486</v>
      </c>
      <c r="O11" s="2094">
        <f>'9)GS 5Nutz.Fremdmech(a)'!N19</f>
        <v>9.9493243243243228</v>
      </c>
      <c r="P11" s="2094">
        <f>'9)GS 5Nutz.Fremdmech(a)'!O19</f>
        <v>9.9493243243243228</v>
      </c>
      <c r="Q11" s="2094">
        <f>'9)GS 5Nutz.Fremdmech(a)'!P19</f>
        <v>7.461993243243243</v>
      </c>
      <c r="R11" s="2078">
        <f>'9)GS 5Nutz.Fremdmech(a)'!Q19</f>
        <v>7.461993243243243</v>
      </c>
      <c r="S11" s="3658"/>
      <c r="V11" s="177"/>
      <c r="AG11" s="3658"/>
      <c r="AH11" s="3658"/>
      <c r="AI11" s="3658"/>
      <c r="AJ11" s="3658"/>
      <c r="AK11" s="3658"/>
      <c r="AL11" s="3658"/>
      <c r="AM11" s="3658"/>
      <c r="AN11" s="3658"/>
      <c r="AO11" s="3658"/>
      <c r="AP11" s="3658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'9)GS 5Nutz.Fremdmech(a)'!K22</f>
        <v>6648.3374999999996</v>
      </c>
      <c r="N12" s="1176">
        <f>'9)GS 5Nutz.Fremdmech(a)'!M22</f>
        <v>2054.1375000000003</v>
      </c>
      <c r="O12" s="1176">
        <f>'9)GS 5Nutz.Fremdmech(a)'!N22</f>
        <v>1347.3374999999999</v>
      </c>
      <c r="P12" s="1176">
        <f>'9)GS 5Nutz.Fremdmech(a)'!O22</f>
        <v>1325.2499999999998</v>
      </c>
      <c r="Q12" s="1176">
        <f>'9)GS 5Nutz.Fremdmech(a)'!P22</f>
        <v>960.80624999999998</v>
      </c>
      <c r="R12" s="1747">
        <f>'9)GS 5Nutz.Fremdmech(a)'!Q22</f>
        <v>960.80624999999998</v>
      </c>
      <c r="S12" s="3658"/>
      <c r="V12" s="177"/>
      <c r="AG12" s="3658"/>
      <c r="AH12" s="3658"/>
      <c r="AI12" s="3658"/>
      <c r="AJ12" s="3658"/>
      <c r="AK12" s="3658"/>
      <c r="AL12" s="3658"/>
      <c r="AM12" s="3658"/>
      <c r="AN12" s="3658"/>
      <c r="AO12" s="3658"/>
      <c r="AP12" s="3658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'9)GS 5Nutz.Fremdmech(a)'!K23</f>
        <v>11080.5625</v>
      </c>
      <c r="N13" s="2065">
        <f>'9)GS 5Nutz.Fremdmech(a)'!M23</f>
        <v>3423.5625000000005</v>
      </c>
      <c r="O13" s="2065">
        <f>'9)GS 5Nutz.Fremdmech(a)'!N23</f>
        <v>2245.5625</v>
      </c>
      <c r="P13" s="2065">
        <f>'9)GS 5Nutz.Fremdmech(a)'!O23</f>
        <v>2208.75</v>
      </c>
      <c r="Q13" s="2065">
        <f>'9)GS 5Nutz.Fremdmech(a)'!P23</f>
        <v>1601.34375</v>
      </c>
      <c r="R13" s="2067">
        <f>'9)GS 5Nutz.Fremdmech(a)'!Q23</f>
        <v>1601.34375</v>
      </c>
      <c r="S13" s="3658"/>
      <c r="V13" s="177"/>
      <c r="AG13" s="3658"/>
      <c r="AH13" s="3658"/>
      <c r="AI13" s="3658"/>
      <c r="AJ13" s="3658"/>
      <c r="AK13" s="3658"/>
      <c r="AL13" s="3658"/>
      <c r="AM13" s="3658"/>
      <c r="AN13" s="3658"/>
      <c r="AO13" s="3658"/>
      <c r="AP13" s="3658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58"/>
      <c r="V14" s="177"/>
      <c r="AG14" s="3658"/>
      <c r="AH14" s="3658"/>
      <c r="AI14" s="3658"/>
      <c r="AJ14" s="3658"/>
      <c r="AK14" s="3658"/>
      <c r="AL14" s="3658"/>
      <c r="AM14" s="3658"/>
      <c r="AN14" s="3658"/>
      <c r="AO14" s="3658"/>
      <c r="AP14" s="3658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  <c r="S15" s="3658"/>
      <c r="V15" s="177"/>
      <c r="AG15" s="3658"/>
      <c r="AH15" s="3658"/>
      <c r="AI15" s="3658"/>
      <c r="AJ15" s="3658"/>
      <c r="AK15" s="3658"/>
      <c r="AL15" s="3658"/>
      <c r="AM15" s="3658"/>
      <c r="AN15" s="3658"/>
      <c r="AO15" s="3658"/>
      <c r="AP15" s="3658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58"/>
      <c r="V16" s="177"/>
      <c r="AG16" s="3658"/>
      <c r="AH16" s="3658"/>
      <c r="AI16" s="3658"/>
      <c r="AJ16" s="3658"/>
      <c r="AK16" s="3658"/>
      <c r="AL16" s="3658"/>
      <c r="AM16" s="3658"/>
      <c r="AN16" s="3658"/>
      <c r="AO16" s="3658"/>
      <c r="AP16" s="3658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  <c r="S17" s="3658"/>
      <c r="V17" s="177"/>
      <c r="AG17" s="3658"/>
      <c r="AH17" s="3658"/>
      <c r="AI17" s="3658"/>
      <c r="AJ17" s="3658"/>
      <c r="AK17" s="3658"/>
      <c r="AL17" s="3658"/>
      <c r="AM17" s="3658"/>
      <c r="AN17" s="3658"/>
      <c r="AO17" s="3658"/>
      <c r="AP17" s="3658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'9)GS 5Nutz.Fremdmech(a)'!L32</f>
        <v>23.54</v>
      </c>
      <c r="N19" s="2071">
        <f>'9)GS 5Nutz.Fremdmech(a)'!M32</f>
        <v>7.0619999999999994</v>
      </c>
      <c r="O19" s="2071">
        <f>'9)GS 5Nutz.Fremdmech(a)'!N32</f>
        <v>4.7079999999999993</v>
      </c>
      <c r="P19" s="2071">
        <f>'9)GS 5Nutz.Fremdmech(a)'!O32</f>
        <v>4.7079999999999993</v>
      </c>
      <c r="Q19" s="2071">
        <f>'9)GS 5Nutz.Fremdmech(a)'!P32</f>
        <v>3.5309999999999997</v>
      </c>
      <c r="R19" s="2073">
        <f>'9)GS 5Nutz.Fremdmech(a)'!Q32</f>
        <v>3.5309999999999997</v>
      </c>
      <c r="AG19" s="3658"/>
      <c r="AH19" s="3658"/>
      <c r="AI19" s="3658"/>
      <c r="AJ19" s="3658"/>
      <c r="AK19" s="3658"/>
      <c r="AL19" s="3658"/>
      <c r="AM19" s="3658"/>
      <c r="AN19" s="3658"/>
      <c r="AO19" s="3658"/>
      <c r="AP19" s="3658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'9)GS 5Nutz.Fremdmech(a)'!L34</f>
        <v>1026.2212916666667</v>
      </c>
      <c r="N20" s="285">
        <f>'9)GS 5Nutz.Fremdmech(a)'!M34</f>
        <v>307.86638750000003</v>
      </c>
      <c r="O20" s="285">
        <f>'9)GS 5Nutz.Fremdmech(a)'!N34</f>
        <v>205.24425833333333</v>
      </c>
      <c r="P20" s="285">
        <f>'9)GS 5Nutz.Fremdmech(a)'!O34</f>
        <v>205.24425833333333</v>
      </c>
      <c r="Q20" s="285">
        <f>'9)GS 5Nutz.Fremdmech(a)'!P34</f>
        <v>153.93319375000002</v>
      </c>
      <c r="R20" s="1574">
        <f>'9)GS 5Nutz.Fremdmech(a)'!Q34</f>
        <v>153.93319375000002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'9)GS 5Nutz.Fremdmech(a)'!L40</f>
        <v>0</v>
      </c>
      <c r="N21" s="285">
        <f>'9)GS 5Nutz.Fremdmech(a)'!M40</f>
        <v>0</v>
      </c>
      <c r="O21" s="285">
        <f>'9)GS 5Nutz.Fremdmech(a)'!N40</f>
        <v>0</v>
      </c>
      <c r="P21" s="285">
        <f>'9)GS 5Nutz.Fremdmech(a)'!O40</f>
        <v>0</v>
      </c>
      <c r="Q21" s="285">
        <f>'9)GS 5Nutz.Fremdmech(a)'!P40</f>
        <v>0</v>
      </c>
      <c r="R21" s="1574">
        <f>'9)GS 5Nutz.Fremdmech(a)'!Q40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'9)GS 5Nutz.Fremdmech(a)'!L67</f>
        <v>41.650000000000006</v>
      </c>
      <c r="N23" s="285">
        <f>'9)GS 5Nutz.Fremdmech(a)'!M67</f>
        <v>12.494999999999999</v>
      </c>
      <c r="O23" s="285">
        <f>'9)GS 5Nutz.Fremdmech(a)'!N67</f>
        <v>8.33</v>
      </c>
      <c r="P23" s="285">
        <f>'9)GS 5Nutz.Fremdmech(a)'!O67</f>
        <v>8.33</v>
      </c>
      <c r="Q23" s="285">
        <f>'9)GS 5Nutz.Fremdmech(a)'!P67</f>
        <v>6.2474999999999996</v>
      </c>
      <c r="R23" s="1574">
        <f>'9)GS 5Nutz.Fremdmech(a)'!Q67</f>
        <v>6.2474999999999996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'9)GS 5Nutz.Fremdmech(a)'!L43</f>
        <v>226.34570380599999</v>
      </c>
      <c r="N24" s="285">
        <f>'9)GS 5Nutz.Fremdmech(a)'!M43</f>
        <v>47.648871244399999</v>
      </c>
      <c r="O24" s="285">
        <f>'9)GS 5Nutz.Fremdmech(a)'!N43</f>
        <v>45.789706804399998</v>
      </c>
      <c r="P24" s="285">
        <f>'9)GS 5Nutz.Fremdmech(a)'!O43</f>
        <v>43.930542364399997</v>
      </c>
      <c r="Q24" s="285">
        <f>'9)GS 5Nutz.Fremdmech(a)'!P43</f>
        <v>45.046041028399998</v>
      </c>
      <c r="R24" s="1574">
        <f>'9)GS 5Nutz.Fremdmech(a)'!Q43</f>
        <v>43.930542364399997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'9)GS 5Nutz.Fremdmech(a)'!L59</f>
        <v>580.72000000000014</v>
      </c>
      <c r="N25" s="285">
        <f>'9)GS 5Nutz.Fremdmech(a)'!M59</f>
        <v>127.449</v>
      </c>
      <c r="O25" s="285">
        <f>'9)GS 5Nutz.Fremdmech(a)'!N59</f>
        <v>127.449</v>
      </c>
      <c r="P25" s="285">
        <f>'9)GS 5Nutz.Fremdmech(a)'!O59</f>
        <v>116.14399999999999</v>
      </c>
      <c r="Q25" s="285">
        <f>'9)GS 5Nutz.Fremdmech(a)'!P59</f>
        <v>104.839</v>
      </c>
      <c r="R25" s="1574">
        <f>'9)GS 5Nutz.Fremdmech(a)'!Q59</f>
        <v>104.839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'9)GS 5Nutz.Fremdmech(a)'!L64</f>
        <v>0</v>
      </c>
      <c r="N26" s="1979">
        <f>'9)GS 5Nutz.Fremdmech(a)'!M64</f>
        <v>0</v>
      </c>
      <c r="O26" s="1979">
        <f>'9)GS 5Nutz.Fremdmech(a)'!N64</f>
        <v>0</v>
      </c>
      <c r="P26" s="1979">
        <f>'9)GS 5Nutz.Fremdmech(a)'!O64</f>
        <v>0</v>
      </c>
      <c r="Q26" s="1979">
        <f>'9)GS 5Nutz.Fremdmech(a)'!P64</f>
        <v>0</v>
      </c>
      <c r="R26" s="1981">
        <f>'9)GS 5Nutz.Fremdmech(a)'!Q64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1898.4769954726671</v>
      </c>
      <c r="N27" s="2407">
        <f t="shared" si="4"/>
        <v>502.52125874440009</v>
      </c>
      <c r="O27" s="2407">
        <f t="shared" si="4"/>
        <v>391.52096513773336</v>
      </c>
      <c r="P27" s="2407">
        <f t="shared" si="4"/>
        <v>378.35680069773332</v>
      </c>
      <c r="Q27" s="2407">
        <f t="shared" si="4"/>
        <v>313.59673477839999</v>
      </c>
      <c r="R27" s="2525">
        <f t="shared" si="4"/>
        <v>312.48123611440002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-1898.4769954726671</v>
      </c>
      <c r="N28" s="1777">
        <f t="shared" si="5"/>
        <v>-502.52125874440009</v>
      </c>
      <c r="O28" s="1777">
        <f t="shared" si="5"/>
        <v>-391.52096513773336</v>
      </c>
      <c r="P28" s="1777">
        <f t="shared" si="5"/>
        <v>-378.35680069773332</v>
      </c>
      <c r="Q28" s="1777">
        <f t="shared" si="5"/>
        <v>-313.59673477839999</v>
      </c>
      <c r="R28" s="1871">
        <f t="shared" si="5"/>
        <v>-312.48123611440002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-0.28555665164000282</v>
      </c>
      <c r="N29" s="1874">
        <f t="shared" si="6"/>
        <v>-0.24463856910474591</v>
      </c>
      <c r="O29" s="1874">
        <f t="shared" si="6"/>
        <v>-0.29058863509531457</v>
      </c>
      <c r="P29" s="1874">
        <f t="shared" si="6"/>
        <v>-0.28549843478417913</v>
      </c>
      <c r="Q29" s="1874">
        <f t="shared" si="6"/>
        <v>-0.32638914950688547</v>
      </c>
      <c r="R29" s="2410">
        <f t="shared" si="6"/>
        <v>-0.32522814679275869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54</v>
      </c>
      <c r="P30" s="2097">
        <f t="shared" si="7"/>
        <v>54</v>
      </c>
      <c r="Q30" s="2097">
        <f t="shared" si="7"/>
        <v>40.5</v>
      </c>
      <c r="R30" s="1744">
        <f t="shared" si="7"/>
        <v>40.5</v>
      </c>
      <c r="T30" s="3297" t="s">
        <v>1216</v>
      </c>
      <c r="U30" s="3308">
        <f>'9)GS 5Nutz.Fremdmech(a)'!L25</f>
        <v>0</v>
      </c>
      <c r="V30" s="3308">
        <f>'9)GS 5Nutz.Fremdmech(a)'!M25</f>
        <v>0</v>
      </c>
      <c r="W30" s="3308">
        <f>'9)GS 5Nutz.Fremdmech(a)'!N25</f>
        <v>0</v>
      </c>
      <c r="X30" s="3308">
        <f>'9)GS 5Nutz.Fremdmech(a)'!O25</f>
        <v>0</v>
      </c>
      <c r="Y30" s="3308">
        <f>'9)GS 5Nutz.Fremdmech(a)'!P25</f>
        <v>0</v>
      </c>
      <c r="Z30" s="3308">
        <f>'9)GS 5Nutz.Fremdmech(a)'!Q25</f>
        <v>0</v>
      </c>
      <c r="AA30" s="3658"/>
      <c r="AB30" s="3658"/>
      <c r="AC30" s="3658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M27*'9)GS 5Nutz.Fremdmech(a)'!$L$72*'9)GS 5Nutz.Fremdmech(a)'!$Q$72/12/100</f>
        <v>11.865481221704169</v>
      </c>
      <c r="N31" s="1979">
        <f>N27*'9)GS 5Nutz.Fremdmech(a)'!$L$72*'9)GS 5Nutz.Fremdmech(a)'!$Q$72/12/100</f>
        <v>3.1407578671525012</v>
      </c>
      <c r="O31" s="1979">
        <f>O27*'9)GS 5Nutz.Fremdmech(a)'!$L$72*'9)GS 5Nutz.Fremdmech(a)'!$Q$72/12/100</f>
        <v>2.4470060321108336</v>
      </c>
      <c r="P31" s="1979">
        <f>P27*'9)GS 5Nutz.Fremdmech(a)'!$L$72*'9)GS 5Nutz.Fremdmech(a)'!$Q$72/12/100</f>
        <v>2.3647300043608332</v>
      </c>
      <c r="Q31" s="1979">
        <f>Q27*'9)GS 5Nutz.Fremdmech(a)'!$L$72*'9)GS 5Nutz.Fremdmech(a)'!$Q$72/12/100</f>
        <v>1.9599795923650001</v>
      </c>
      <c r="R31" s="1981">
        <f>R27*'9)GS 5Nutz.Fremdmech(a)'!$L$72*'9)GS 5Nutz.Fremdmech(a)'!$Q$72/12/100</f>
        <v>1.9530077257150003</v>
      </c>
      <c r="T31" s="3297" t="s">
        <v>1215</v>
      </c>
      <c r="U31" s="3308">
        <f>'9)GS 5Nutz.Fremdmech(a)'!L30</f>
        <v>270</v>
      </c>
      <c r="V31" s="3308">
        <f>'9)GS 5Nutz.Fremdmech(a)'!M30</f>
        <v>81</v>
      </c>
      <c r="W31" s="3308">
        <f>'9)GS 5Nutz.Fremdmech(a)'!N30</f>
        <v>54</v>
      </c>
      <c r="X31" s="3308">
        <f>'9)GS 5Nutz.Fremdmech(a)'!O30</f>
        <v>54</v>
      </c>
      <c r="Y31" s="3308">
        <f>'9)GS 5Nutz.Fremdmech(a)'!P30</f>
        <v>40.5</v>
      </c>
      <c r="Z31" s="3308">
        <f>'9)GS 5Nutz.Fremdmech(a)'!Q30</f>
        <v>40.5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-1640.3424766943713</v>
      </c>
      <c r="N32" s="1769">
        <f t="shared" si="8"/>
        <v>-424.66201661155259</v>
      </c>
      <c r="O32" s="1769">
        <f t="shared" si="8"/>
        <v>-339.96797116984419</v>
      </c>
      <c r="P32" s="1769">
        <f t="shared" si="8"/>
        <v>-326.72153070209413</v>
      </c>
      <c r="Q32" s="1769">
        <f t="shared" si="8"/>
        <v>-275.05671437076501</v>
      </c>
      <c r="R32" s="1776">
        <f t="shared" si="8"/>
        <v>-273.93424384011502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54</v>
      </c>
      <c r="X32" s="429">
        <f t="shared" si="9"/>
        <v>54</v>
      </c>
      <c r="Y32" s="429">
        <f t="shared" si="9"/>
        <v>40.5</v>
      </c>
      <c r="Z32" s="429">
        <f t="shared" si="9"/>
        <v>40.5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-0.24672972403918594</v>
      </c>
      <c r="N33" s="1581">
        <f t="shared" si="10"/>
        <v>-0.20673495158505822</v>
      </c>
      <c r="O33" s="1581">
        <f t="shared" si="10"/>
        <v>-0.25232576928189426</v>
      </c>
      <c r="P33" s="1581">
        <f t="shared" si="10"/>
        <v>-0.24653577113910144</v>
      </c>
      <c r="Q33" s="1581">
        <f t="shared" si="10"/>
        <v>-0.28627698286804965</v>
      </c>
      <c r="R33" s="2404">
        <f t="shared" si="10"/>
        <v>-0.28510872388695957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-0.14803783442351157</v>
      </c>
      <c r="N34" s="2149">
        <f t="shared" si="11"/>
        <v>-0.12404097095103493</v>
      </c>
      <c r="O34" s="2149">
        <f t="shared" si="11"/>
        <v>-0.15139546156913655</v>
      </c>
      <c r="P34" s="2149">
        <f t="shared" si="11"/>
        <v>-0.14792146268346085</v>
      </c>
      <c r="Q34" s="2149">
        <f t="shared" si="11"/>
        <v>-0.17176618972082977</v>
      </c>
      <c r="R34" s="2412">
        <f t="shared" si="11"/>
        <v>-0.17106523433217571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'9)GS 5Nutz.Fremdmech(a)'!K58</f>
        <v>13.784399999999998</v>
      </c>
      <c r="N36" s="2397">
        <f>'9)GS 5Nutz.Fremdmech(a)'!M58</f>
        <v>2.8260000000000001</v>
      </c>
      <c r="O36" s="2397">
        <f>'9)GS 5Nutz.Fremdmech(a)'!N58</f>
        <v>2.7719999999999998</v>
      </c>
      <c r="P36" s="2397">
        <f>'9)GS 5Nutz.Fremdmech(a)'!O58</f>
        <v>2.718</v>
      </c>
      <c r="Q36" s="2397">
        <f>'9)GS 5Nutz.Fremdmech(a)'!P58</f>
        <v>2.7503999999999995</v>
      </c>
      <c r="R36" s="2398">
        <f>'9)GS 5Nutz.Fremdmech(a)'!Q58</f>
        <v>2.718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'9)GS 5Nutz.Fremdmech(a)'!K16</f>
        <v>56.547619047619037</v>
      </c>
      <c r="N37" s="2400">
        <f>'9)GS 5Nutz.Fremdmech(a)'!M16</f>
        <v>16.964285714285712</v>
      </c>
      <c r="O37" s="2400">
        <f>'9)GS 5Nutz.Fremdmech(a)'!N16</f>
        <v>11.30952380952381</v>
      </c>
      <c r="P37" s="2400">
        <f>'9)GS 5Nutz.Fremdmech(a)'!O16</f>
        <v>11.30952380952381</v>
      </c>
      <c r="Q37" s="2400">
        <f>'9)GS 5Nutz.Fremdmech(a)'!P16</f>
        <v>8.4821428571428559</v>
      </c>
      <c r="R37" s="2401">
        <f>'9)GS 5Nutz.Fremdmech(a)'!Q16</f>
        <v>8.4821428571428559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'9)GS 5Nutz.Fremdmech(a)'!M78</f>
        <v>4.8591666666666669</v>
      </c>
      <c r="O38" s="1997">
        <f>'9)GS 5Nutz.Fremdmech(a)'!N78</f>
        <v>4.8591666666666669</v>
      </c>
      <c r="P38" s="1997">
        <f>'9)GS 5Nutz.Fremdmech(a)'!O78</f>
        <v>4.8591666666666669</v>
      </c>
      <c r="Q38" s="1997">
        <f>'9)GS 5Nutz.Fremdmech(a)'!P78</f>
        <v>4.8591666666666669</v>
      </c>
      <c r="R38" s="1998">
        <f>'9)GS 5Nutz.Fremdmech(a)'!Q78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241.22699999999998</v>
      </c>
      <c r="N39" s="285">
        <f t="shared" si="13"/>
        <v>49.454999999999998</v>
      </c>
      <c r="O39" s="285">
        <f t="shared" si="13"/>
        <v>48.51</v>
      </c>
      <c r="P39" s="285">
        <f t="shared" si="13"/>
        <v>47.564999999999998</v>
      </c>
      <c r="Q39" s="285">
        <f t="shared" si="13"/>
        <v>48.131999999999991</v>
      </c>
      <c r="R39" s="1574">
        <f t="shared" si="13"/>
        <v>47.564999999999998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274.77430555555554</v>
      </c>
      <c r="N40" s="285">
        <f>N37*N38</f>
        <v>82.432291666666657</v>
      </c>
      <c r="O40" s="285">
        <f>O37*O38</f>
        <v>54.954861111111114</v>
      </c>
      <c r="P40" s="285">
        <f>P37*P38</f>
        <v>54.954861111111114</v>
      </c>
      <c r="Q40" s="285">
        <f>Q37*Q38</f>
        <v>41.216145833333329</v>
      </c>
      <c r="R40" s="1574">
        <f>R37*R38</f>
        <v>41.216145833333329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75</v>
      </c>
      <c r="O41" s="285">
        <f>O$6/$M$6*$M$41</f>
        <v>50</v>
      </c>
      <c r="P41" s="285">
        <f>P$6/$M$6*$M$41</f>
        <v>50</v>
      </c>
      <c r="Q41" s="285">
        <f>Q$6/$M$6*$M$41</f>
        <v>37.5</v>
      </c>
      <c r="R41" s="1574">
        <f>R$6/$M$6*$M$41</f>
        <v>37.5</v>
      </c>
      <c r="AG41" s="3658"/>
      <c r="AH41" s="3658"/>
      <c r="AI41" s="3658"/>
      <c r="AJ41" s="3658"/>
      <c r="AK41" s="3658"/>
      <c r="AL41" s="3658"/>
      <c r="AM41" s="3658"/>
      <c r="AN41" s="3658"/>
      <c r="AO41" s="3658"/>
      <c r="AP41" s="3658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1173.8213055555555</v>
      </c>
      <c r="N45" s="1991">
        <f t="shared" si="14"/>
        <v>329.23329166666667</v>
      </c>
      <c r="O45" s="1991">
        <f t="shared" si="14"/>
        <v>235.0288611111111</v>
      </c>
      <c r="P45" s="1991">
        <f t="shared" si="14"/>
        <v>234.0838611111111</v>
      </c>
      <c r="Q45" s="1991">
        <f t="shared" si="14"/>
        <v>188.02114583333332</v>
      </c>
      <c r="R45" s="1994">
        <f t="shared" si="14"/>
        <v>187.45414583333331</v>
      </c>
      <c r="AG45" s="17"/>
      <c r="AH45" s="17"/>
      <c r="AI45" s="3658"/>
      <c r="AJ45" s="168"/>
      <c r="AK45" s="3658"/>
      <c r="AL45" s="3658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58"/>
      <c r="AJ46" s="168"/>
      <c r="AK46" s="3658"/>
      <c r="AL46" s="3658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58"/>
      <c r="AJ47" s="168"/>
      <c r="AK47" s="3658"/>
      <c r="AL47" s="3658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3084.163782249927</v>
      </c>
      <c r="N48" s="2127">
        <f t="shared" si="16"/>
        <v>834.89530827821932</v>
      </c>
      <c r="O48" s="2041">
        <f t="shared" si="16"/>
        <v>628.99683228095523</v>
      </c>
      <c r="P48" s="2041">
        <f t="shared" si="16"/>
        <v>614.80539181320523</v>
      </c>
      <c r="Q48" s="2041">
        <f t="shared" si="16"/>
        <v>503.57786020409833</v>
      </c>
      <c r="R48" s="2080">
        <f t="shared" si="16"/>
        <v>501.88838967344833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-3084.163782249927</v>
      </c>
      <c r="N49" s="2125">
        <f t="shared" si="17"/>
        <v>-834.89530827821932</v>
      </c>
      <c r="O49" s="1772">
        <f t="shared" si="17"/>
        <v>-628.99683228095523</v>
      </c>
      <c r="P49" s="1772">
        <f t="shared" si="17"/>
        <v>-614.80539181320523</v>
      </c>
      <c r="Q49" s="1772">
        <f t="shared" si="17"/>
        <v>-503.57786020409833</v>
      </c>
      <c r="R49" s="1773">
        <f t="shared" si="17"/>
        <v>-501.88838967344833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-0.46390000240660573</v>
      </c>
      <c r="N50" s="2511">
        <f t="shared" si="18"/>
        <v>-0.40644567770084483</v>
      </c>
      <c r="O50" s="2168">
        <f t="shared" si="18"/>
        <v>-0.46684430017048834</v>
      </c>
      <c r="P50" s="2168">
        <f t="shared" si="18"/>
        <v>-0.46391653787074538</v>
      </c>
      <c r="Q50" s="2168">
        <f t="shared" si="18"/>
        <v>-0.52412009206236776</v>
      </c>
      <c r="R50" s="2187">
        <f t="shared" si="18"/>
        <v>-0.52236170369775214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54</v>
      </c>
      <c r="P51" s="2185">
        <f t="shared" si="19"/>
        <v>54</v>
      </c>
      <c r="Q51" s="2185">
        <f t="shared" si="19"/>
        <v>40.5</v>
      </c>
      <c r="R51" s="2186">
        <f t="shared" si="19"/>
        <v>40.5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-2814.163782249927</v>
      </c>
      <c r="N52" s="2178">
        <f t="shared" si="20"/>
        <v>-753.89530827821932</v>
      </c>
      <c r="O52" s="2081">
        <f t="shared" si="20"/>
        <v>-574.99683228095523</v>
      </c>
      <c r="P52" s="2081">
        <f t="shared" si="20"/>
        <v>-560.80539181320523</v>
      </c>
      <c r="Q52" s="2081">
        <f t="shared" si="20"/>
        <v>-463.07786020409833</v>
      </c>
      <c r="R52" s="2082">
        <f t="shared" si="20"/>
        <v>-461.38838967344833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-0.42328834573303886</v>
      </c>
      <c r="N53" s="2511">
        <f t="shared" si="21"/>
        <v>-0.36701306912425252</v>
      </c>
      <c r="O53" s="2168">
        <f t="shared" si="21"/>
        <v>-0.42676525538772231</v>
      </c>
      <c r="P53" s="2168">
        <f t="shared" si="21"/>
        <v>-0.42316950900826661</v>
      </c>
      <c r="Q53" s="2168">
        <f t="shared" si="21"/>
        <v>-0.48196799323911388</v>
      </c>
      <c r="R53" s="2187">
        <f t="shared" si="21"/>
        <v>-0.48020960487449821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2814.163782249927</v>
      </c>
      <c r="N55" s="2038">
        <f t="shared" si="22"/>
        <v>753.89530827821932</v>
      </c>
      <c r="O55" s="2038">
        <f t="shared" si="22"/>
        <v>574.99683228095523</v>
      </c>
      <c r="P55" s="2038">
        <f t="shared" si="22"/>
        <v>560.80539181320523</v>
      </c>
      <c r="Q55" s="2038">
        <f t="shared" si="22"/>
        <v>463.07786020409833</v>
      </c>
      <c r="R55" s="2039">
        <f t="shared" si="22"/>
        <v>461.38838967344833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9.4283246128577076</v>
      </c>
      <c r="N56" s="2103">
        <f t="shared" si="24"/>
        <v>8.4192798057103531</v>
      </c>
      <c r="O56" s="2103">
        <f t="shared" si="24"/>
        <v>9.6320918141008924</v>
      </c>
      <c r="P56" s="2103">
        <f t="shared" si="24"/>
        <v>9.3943630999835186</v>
      </c>
      <c r="Q56" s="2103">
        <f t="shared" si="24"/>
        <v>10.343033134911384</v>
      </c>
      <c r="R56" s="2104">
        <f t="shared" si="24"/>
        <v>10.30529812060673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25.481958413128936</v>
      </c>
      <c r="N57" s="3427">
        <f>IF($N$7=0,0,N$55/$N$9)</f>
        <v>22.754810285703655</v>
      </c>
      <c r="O57" s="3427">
        <f>IF($O$7=0,0,O$55/$O$9)</f>
        <v>26.03268057865106</v>
      </c>
      <c r="P57" s="3427">
        <f>IF($P$7=0,0,P$55/$P$9)</f>
        <v>25.390170540495994</v>
      </c>
      <c r="Q57" s="3427">
        <f>IF($Q$7=0,0,Q$55/$Q$9)</f>
        <v>27.954143607868602</v>
      </c>
      <c r="R57" s="3428">
        <f>IF($R$7=0,0,R$55/$R$9)</f>
        <v>27.852157082720893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56.569947677146246</v>
      </c>
      <c r="N58" s="2134">
        <f t="shared" si="25"/>
        <v>50.515678834262125</v>
      </c>
      <c r="O58" s="2134">
        <f t="shared" si="25"/>
        <v>57.792550884605355</v>
      </c>
      <c r="P58" s="2134">
        <f t="shared" si="25"/>
        <v>56.366178599901112</v>
      </c>
      <c r="Q58" s="2134">
        <f t="shared" si="25"/>
        <v>62.058198809468301</v>
      </c>
      <c r="R58" s="2135">
        <f t="shared" si="25"/>
        <v>61.831788723640386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0.42328834573303886</v>
      </c>
      <c r="N59" s="2136">
        <f t="shared" si="25"/>
        <v>0.36701306912425252</v>
      </c>
      <c r="O59" s="2136">
        <f t="shared" si="25"/>
        <v>0.42676525538772231</v>
      </c>
      <c r="P59" s="2136">
        <f t="shared" si="25"/>
        <v>0.42316950900826661</v>
      </c>
      <c r="Q59" s="2136">
        <f t="shared" si="25"/>
        <v>0.48196799323911388</v>
      </c>
      <c r="R59" s="2137">
        <f t="shared" si="25"/>
        <v>0.48020960487449821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0.11758009603695524</v>
      </c>
      <c r="N60" s="2136">
        <f t="shared" si="26"/>
        <v>0.10194807475673681</v>
      </c>
      <c r="O60" s="2136">
        <f t="shared" si="26"/>
        <v>0.1185459042743673</v>
      </c>
      <c r="P60" s="2136">
        <f t="shared" si="26"/>
        <v>0.11754708583562962</v>
      </c>
      <c r="Q60" s="2136">
        <f t="shared" si="26"/>
        <v>0.13387999812197607</v>
      </c>
      <c r="R60" s="2137">
        <f t="shared" si="26"/>
        <v>0.13339155690958285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58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0.42328834573303886</v>
      </c>
      <c r="N61" s="2136">
        <f t="shared" si="27"/>
        <v>0.36701306912425252</v>
      </c>
      <c r="O61" s="2136">
        <f t="shared" si="27"/>
        <v>0.42676525538772231</v>
      </c>
      <c r="P61" s="2136">
        <f t="shared" si="27"/>
        <v>0.42316950900826661</v>
      </c>
      <c r="Q61" s="2136">
        <f t="shared" si="27"/>
        <v>0.48196799323911388</v>
      </c>
      <c r="R61" s="2137">
        <f t="shared" si="27"/>
        <v>0.48020960487449821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0.25397300743982332</v>
      </c>
      <c r="N62" s="2513">
        <f t="shared" si="28"/>
        <v>0.2202078414745515</v>
      </c>
      <c r="O62" s="2513">
        <f t="shared" si="28"/>
        <v>0.25605915323263334</v>
      </c>
      <c r="P62" s="2513">
        <f t="shared" si="28"/>
        <v>0.25390170540495993</v>
      </c>
      <c r="Q62" s="2513">
        <f t="shared" si="28"/>
        <v>0.28918079594346829</v>
      </c>
      <c r="R62" s="2514">
        <f t="shared" si="28"/>
        <v>0.28812576292469894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2539.3894766943713</v>
      </c>
      <c r="N63" s="1769">
        <f t="shared" si="29"/>
        <v>671.46301661155269</v>
      </c>
      <c r="O63" s="1769">
        <f t="shared" si="29"/>
        <v>520.04197116984415</v>
      </c>
      <c r="P63" s="1769">
        <f t="shared" si="29"/>
        <v>505.85053070209415</v>
      </c>
      <c r="Q63" s="1769">
        <f t="shared" si="29"/>
        <v>421.86171437076501</v>
      </c>
      <c r="R63" s="1776">
        <f t="shared" si="29"/>
        <v>420.17224384011502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22.993905844431207</v>
      </c>
      <c r="N64" s="3427">
        <f>IF($N$7=0,0,N$63/$N$9)</f>
        <v>20.266757717005927</v>
      </c>
      <c r="O64" s="3427">
        <f>IF($O$7=0,0,O$63/$O$9)</f>
        <v>23.544628009953332</v>
      </c>
      <c r="P64" s="3427">
        <f>IF($P$7=0,0,P$63/$P$9)</f>
        <v>22.902117971798265</v>
      </c>
      <c r="Q64" s="3427">
        <f>IF($Q$7=0,0,Q$63/$Q$9)</f>
        <v>25.466091039170873</v>
      </c>
      <c r="R64" s="3428">
        <f>IF($R$7=0,0,R$63/$R$9)</f>
        <v>25.364104514023165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0.38195856884437224</v>
      </c>
      <c r="N65" s="2169">
        <f t="shared" si="30"/>
        <v>0.32688318898396657</v>
      </c>
      <c r="O65" s="2169">
        <f t="shared" si="30"/>
        <v>0.3859775083598907</v>
      </c>
      <c r="P65" s="2169">
        <f t="shared" si="30"/>
        <v>0.38170196619663777</v>
      </c>
      <c r="Q65" s="2169">
        <f t="shared" si="30"/>
        <v>0.43907053515811856</v>
      </c>
      <c r="R65" s="2172">
        <f t="shared" si="30"/>
        <v>0.43731214679350289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0.22917514130662331</v>
      </c>
      <c r="N66" s="2171">
        <f t="shared" si="30"/>
        <v>0.19612991339037994</v>
      </c>
      <c r="O66" s="2171">
        <f t="shared" si="30"/>
        <v>0.23158650501593439</v>
      </c>
      <c r="P66" s="2171">
        <f t="shared" si="30"/>
        <v>0.22902117971798264</v>
      </c>
      <c r="Q66" s="2171">
        <f t="shared" si="30"/>
        <v>0.26344232109487109</v>
      </c>
      <c r="R66" s="2173">
        <f t="shared" si="30"/>
        <v>0.26238728807610173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1103.2767728883709</v>
      </c>
      <c r="N68" s="1772">
        <f t="shared" si="31"/>
        <v>330.56414536715255</v>
      </c>
      <c r="O68" s="1772">
        <f t="shared" si="31"/>
        <v>220.72926436544418</v>
      </c>
      <c r="P68" s="1772">
        <f t="shared" si="31"/>
        <v>220.64698833769418</v>
      </c>
      <c r="Q68" s="1772">
        <f t="shared" si="31"/>
        <v>165.67167334236501</v>
      </c>
      <c r="R68" s="1773">
        <f t="shared" si="31"/>
        <v>165.66470147571502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0.16594776857949389</v>
      </c>
      <c r="N69" s="2031">
        <f t="shared" si="32"/>
        <v>0.16092600683603336</v>
      </c>
      <c r="O69" s="2031">
        <f t="shared" si="32"/>
        <v>0.16382626058091918</v>
      </c>
      <c r="P69" s="2031">
        <f t="shared" si="32"/>
        <v>0.16649461485583417</v>
      </c>
      <c r="Q69" s="2031">
        <f t="shared" si="32"/>
        <v>0.17242984560348668</v>
      </c>
      <c r="R69" s="2032">
        <f t="shared" si="32"/>
        <v>0.17242258933652338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1298.2927038060002</v>
      </c>
      <c r="N70" s="1769">
        <f t="shared" si="33"/>
        <v>299.55287124439997</v>
      </c>
      <c r="O70" s="1769">
        <f t="shared" si="33"/>
        <v>271.7487068044</v>
      </c>
      <c r="P70" s="1769">
        <f t="shared" si="33"/>
        <v>257.63954236439997</v>
      </c>
      <c r="Q70" s="1769">
        <f t="shared" si="33"/>
        <v>235.5170410284</v>
      </c>
      <c r="R70" s="1776">
        <f t="shared" si="33"/>
        <v>233.83454236439999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0.19528080573617093</v>
      </c>
      <c r="N71" s="2168">
        <f t="shared" si="34"/>
        <v>0.14582902617005916</v>
      </c>
      <c r="O71" s="2168">
        <f t="shared" si="34"/>
        <v>0.20169312203096851</v>
      </c>
      <c r="P71" s="2168">
        <f t="shared" si="34"/>
        <v>0.19440825683033391</v>
      </c>
      <c r="Q71" s="2168">
        <f t="shared" si="34"/>
        <v>0.2451243848886287</v>
      </c>
      <c r="R71" s="2187">
        <f t="shared" si="34"/>
        <v>0.24337325279097632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58"/>
      <c r="F97" s="3658"/>
      <c r="G97" s="3658"/>
      <c r="H97" s="3658"/>
      <c r="I97" s="3658"/>
      <c r="J97" s="3658"/>
      <c r="K97" s="3658"/>
      <c r="L97" s="203"/>
      <c r="M97" s="3658"/>
      <c r="N97" s="3658"/>
      <c r="O97" s="3658"/>
      <c r="P97" s="3658"/>
      <c r="Q97" s="3658"/>
      <c r="R97" s="3658"/>
      <c r="T97" s="3658"/>
      <c r="U97" s="3658"/>
      <c r="V97" s="3658"/>
      <c r="W97" s="3658"/>
      <c r="X97" s="3658"/>
      <c r="Y97" s="3658"/>
      <c r="Z97" s="3658"/>
      <c r="AA97" s="3658"/>
      <c r="AB97" s="3658"/>
      <c r="AC97" s="3658"/>
      <c r="AD97" s="3658"/>
      <c r="AE97" s="3658"/>
      <c r="AF97" s="3658"/>
    </row>
    <row r="98" spans="5:32" x14ac:dyDescent="0.2">
      <c r="E98" s="3658"/>
      <c r="F98" s="3658"/>
      <c r="G98" s="3658"/>
      <c r="H98" s="3658"/>
      <c r="I98" s="3658"/>
      <c r="J98" s="3658"/>
      <c r="K98" s="3658"/>
      <c r="L98" s="203"/>
      <c r="M98" s="3658"/>
      <c r="N98" s="3658"/>
      <c r="O98" s="3658"/>
      <c r="P98" s="3658"/>
      <c r="Q98" s="3658"/>
      <c r="R98" s="3658"/>
      <c r="T98" s="3658"/>
      <c r="U98" s="3658"/>
      <c r="V98" s="3658"/>
      <c r="W98" s="3658"/>
      <c r="X98" s="3658"/>
      <c r="Y98" s="3658"/>
      <c r="Z98" s="3658"/>
      <c r="AA98" s="3658"/>
      <c r="AB98" s="3658"/>
      <c r="AC98" s="3658"/>
      <c r="AD98" s="3658"/>
      <c r="AE98" s="3658"/>
      <c r="AF98" s="3658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7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S1" sqref="S1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1063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1884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1588</v>
      </c>
      <c r="E6" s="225"/>
      <c r="F6" s="225"/>
      <c r="G6" s="225"/>
      <c r="H6" s="225"/>
      <c r="I6" s="357" t="s">
        <v>139</v>
      </c>
      <c r="J6" s="172"/>
      <c r="K6" s="4034">
        <v>75</v>
      </c>
      <c r="L6" s="1676"/>
      <c r="M6" s="520">
        <f>$K$6*M7/100</f>
        <v>33.75</v>
      </c>
      <c r="N6" s="521">
        <f>$K$6*N7/100</f>
        <v>26.25</v>
      </c>
      <c r="O6" s="521">
        <f>$K$6*O7/100</f>
        <v>15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5.5</v>
      </c>
      <c r="L12" s="1679"/>
      <c r="M12" s="644">
        <v>5.5</v>
      </c>
      <c r="N12" s="645">
        <v>5.5</v>
      </c>
      <c r="O12" s="645">
        <v>5.5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2.0350000000000001</v>
      </c>
      <c r="L13" s="1683"/>
      <c r="M13" s="641">
        <f>M12*M11/100</f>
        <v>2.0350000000000001</v>
      </c>
      <c r="N13" s="642">
        <f>N12*N11/100</f>
        <v>2.0350000000000001</v>
      </c>
      <c r="O13" s="642">
        <f>O12*O11/100</f>
        <v>2.0350000000000001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32.0625</v>
      </c>
      <c r="N14" s="252">
        <f>N6*(100-N8)/100</f>
        <v>24.9375</v>
      </c>
      <c r="O14" s="252">
        <f>O6*(100-O8)/100</f>
        <v>14.25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203.57142857142856</v>
      </c>
      <c r="L15" s="1684"/>
      <c r="M15" s="251">
        <f>IF(M10=0,0,M14/M10*100)</f>
        <v>91.607142857142847</v>
      </c>
      <c r="N15" s="252">
        <f>IF(N10=0,0,N14/N10*100)</f>
        <v>71.25</v>
      </c>
      <c r="O15" s="252">
        <f>IF(O10=0,0,O14/O10*100)</f>
        <v>40.714285714285715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 t="s">
        <v>1201</v>
      </c>
      <c r="L16" s="4311"/>
      <c r="M16" s="2419"/>
      <c r="N16" s="2420"/>
      <c r="O16" s="2420"/>
      <c r="P16" s="2420"/>
      <c r="Q16" s="2421"/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29.818124999999998</v>
      </c>
      <c r="N17" s="254">
        <f>N14*(100-N9)/100</f>
        <v>23.191875</v>
      </c>
      <c r="O17" s="254">
        <f>O14*(100-O9)/100</f>
        <v>13.2525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179.08783783783781</v>
      </c>
      <c r="L18" s="1686"/>
      <c r="M18" s="251">
        <f>IF(M11=0,0,M17/M11*100)</f>
        <v>80.589527027027017</v>
      </c>
      <c r="N18" s="254">
        <f>IF(N11=0,0,N17/N11*100)</f>
        <v>62.680743243243242</v>
      </c>
      <c r="O18" s="254">
        <f>IF(O11=0,0,O17/O11*100)</f>
        <v>35.817567567567565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32.561425061425062</v>
      </c>
      <c r="L19" s="1688"/>
      <c r="M19" s="504">
        <f>IF(M12=0,0,1/M12*M18)</f>
        <v>14.652641277641276</v>
      </c>
      <c r="N19" s="505">
        <f>IF(N12=0,0,1/N12*N18)</f>
        <v>11.396498771498772</v>
      </c>
      <c r="O19" s="505">
        <f>IF(O12=0,0,1/O12*O18)</f>
        <v>6.5122850122850116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5.8499999999999988</v>
      </c>
      <c r="L20" s="1689"/>
      <c r="M20" s="312">
        <v>6</v>
      </c>
      <c r="N20" s="313">
        <v>5.8</v>
      </c>
      <c r="O20" s="313">
        <v>5.6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9.75</v>
      </c>
      <c r="L21" s="1689"/>
      <c r="M21" s="515">
        <f>IF($G21=0,0,M20/$G21)</f>
        <v>10</v>
      </c>
      <c r="N21" s="516">
        <f>IF($G21=0,0,N20/$G21)</f>
        <v>9.6666666666666661</v>
      </c>
      <c r="O21" s="516">
        <f>IF($G21=0,0,O20/$G21)</f>
        <v>9.3333333333333339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3876.3562499999998</v>
      </c>
      <c r="L22" s="1690"/>
      <c r="M22" s="446">
        <f t="shared" ref="M22:Q23" si="1">M$17*M20*10</f>
        <v>1789.0875000000001</v>
      </c>
      <c r="N22" s="448">
        <f t="shared" si="1"/>
        <v>1345.1287499999999</v>
      </c>
      <c r="O22" s="448">
        <f t="shared" si="1"/>
        <v>742.14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6460.59375</v>
      </c>
      <c r="L23" s="1691"/>
      <c r="M23" s="447">
        <f t="shared" si="1"/>
        <v>2981.8125</v>
      </c>
      <c r="N23" s="449">
        <f t="shared" si="1"/>
        <v>2241.8812499999999</v>
      </c>
      <c r="O23" s="449">
        <f t="shared" si="1"/>
        <v>1236.9000000000001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3925">
        <f t="shared" si="4"/>
        <v>0</v>
      </c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10.593</v>
      </c>
      <c r="N32" s="461">
        <f>$L32*N$7/100</f>
        <v>8.238999999999999</v>
      </c>
      <c r="O32" s="461">
        <f>$L32*O$7/100</f>
        <v>4.7079999999999993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510.35356458333325</v>
      </c>
      <c r="M34" s="460">
        <f>$L34*M$7/100</f>
        <v>229.65910406249998</v>
      </c>
      <c r="N34" s="461">
        <f>$L34*N$7/100</f>
        <v>178.62374760416662</v>
      </c>
      <c r="O34" s="461">
        <f>$L34*O$7/100</f>
        <v>102.07071291666665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-40</v>
      </c>
      <c r="J36" s="159"/>
      <c r="K36" s="1703">
        <f>H36*$K$14+I36</f>
        <v>116.75</v>
      </c>
      <c r="L36" s="1704">
        <f>K36*$F36</f>
        <v>200.52590833333335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0.38</v>
      </c>
      <c r="I39" s="120"/>
      <c r="J39" s="161"/>
      <c r="K39" s="1705">
        <f>H39*$K$14+I39</f>
        <v>27.074999999999999</v>
      </c>
      <c r="L39" s="1706">
        <f>K39*$F39</f>
        <v>16.109624999999998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193.81317689795998</v>
      </c>
      <c r="M43" s="484">
        <f>SUM(Z46:Z56)</f>
        <v>72.075939271300001</v>
      </c>
      <c r="N43" s="484">
        <f>SUM(AA46:AA56)</f>
        <v>65.406161232459993</v>
      </c>
      <c r="O43" s="484">
        <f>SUM(AB46:AB56)</f>
        <v>56.331076394199997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0.99</v>
      </c>
      <c r="K46" s="1651">
        <f t="shared" ref="K46:K56" si="6">J46*H46</f>
        <v>0.81179999999999997</v>
      </c>
      <c r="L46" s="1704">
        <f t="shared" ref="L46:L56" si="7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8">IF(M46&lt;&gt;0,M46*$H46,0)</f>
        <v>0.27060000000000001</v>
      </c>
      <c r="U46" s="479">
        <f t="shared" ref="U46:U56" si="9">IF(N46&lt;&gt;0,N46*$H46,0)</f>
        <v>0.27060000000000001</v>
      </c>
      <c r="V46" s="479">
        <f t="shared" ref="V46:V56" si="10">IF(O46&lt;&gt;0,O46*$H46,0)</f>
        <v>0.27060000000000001</v>
      </c>
      <c r="W46" s="479">
        <f t="shared" ref="W46:W56" si="11">IF(P46&lt;&gt;0,P46*$H46,0)</f>
        <v>0</v>
      </c>
      <c r="X46" s="480">
        <f t="shared" ref="X46:X56" si="12">IF(Q46&lt;&gt;0,Q46*$H46,0)</f>
        <v>0</v>
      </c>
      <c r="Y46"/>
      <c r="Z46" s="478">
        <f t="shared" ref="Z46:Z56" si="13">IF(M46&lt;&gt;0,M46*$I46,0)</f>
        <v>3.9342326672879988</v>
      </c>
      <c r="AA46" s="479">
        <f t="shared" ref="AA46:AA56" si="14">IF(N46&lt;&gt;0,N46*$I46,0)</f>
        <v>3.9342326672879988</v>
      </c>
      <c r="AB46" s="479">
        <f t="shared" ref="AB46:AB56" si="15">IF(O46&lt;&gt;0,O46*$I46,0)</f>
        <v>3.9342326672879988</v>
      </c>
      <c r="AC46" s="479">
        <f t="shared" ref="AC46:AC56" si="16">IF(P46&lt;&gt;0,P46*$I46,0)</f>
        <v>0</v>
      </c>
      <c r="AD46" s="480">
        <f t="shared" ref="AD46:AD56" si="17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0.99</v>
      </c>
      <c r="K47" s="1651">
        <f t="shared" si="6"/>
        <v>0.47519999999999996</v>
      </c>
      <c r="L47" s="1704">
        <f t="shared" si="7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8"/>
        <v>0.15840000000000001</v>
      </c>
      <c r="U47" s="479">
        <f t="shared" si="9"/>
        <v>0.15840000000000001</v>
      </c>
      <c r="V47" s="479">
        <f t="shared" si="10"/>
        <v>0.15840000000000001</v>
      </c>
      <c r="W47" s="479">
        <f t="shared" si="11"/>
        <v>0</v>
      </c>
      <c r="X47" s="480">
        <f t="shared" si="12"/>
        <v>0</v>
      </c>
      <c r="Y47"/>
      <c r="Z47" s="478">
        <f t="shared" si="13"/>
        <v>3.1209308296319995</v>
      </c>
      <c r="AA47" s="479">
        <f t="shared" si="14"/>
        <v>3.1209308296319995</v>
      </c>
      <c r="AB47" s="479">
        <f t="shared" si="15"/>
        <v>3.1209308296319995</v>
      </c>
      <c r="AC47" s="479">
        <f t="shared" si="16"/>
        <v>0</v>
      </c>
      <c r="AD47" s="480">
        <f t="shared" si="17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3</v>
      </c>
      <c r="K48" s="1651">
        <f t="shared" si="6"/>
        <v>1.1099999999999999</v>
      </c>
      <c r="L48" s="1704">
        <f t="shared" si="7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8"/>
        <v>0.37</v>
      </c>
      <c r="U48" s="479">
        <f t="shared" si="9"/>
        <v>0.37</v>
      </c>
      <c r="V48" s="479">
        <f t="shared" si="10"/>
        <v>0.37</v>
      </c>
      <c r="W48" s="479">
        <f t="shared" si="11"/>
        <v>0</v>
      </c>
      <c r="X48" s="480">
        <f t="shared" si="12"/>
        <v>0</v>
      </c>
      <c r="Y48"/>
      <c r="Z48" s="478">
        <f t="shared" si="13"/>
        <v>5.4505114075999996</v>
      </c>
      <c r="AA48" s="479">
        <f t="shared" si="14"/>
        <v>5.4505114075999996</v>
      </c>
      <c r="AB48" s="479">
        <f t="shared" si="15"/>
        <v>5.4505114075999996</v>
      </c>
      <c r="AC48" s="479">
        <f t="shared" si="16"/>
        <v>0</v>
      </c>
      <c r="AD48" s="480">
        <f t="shared" si="17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5"/>
        <v>3</v>
      </c>
      <c r="K49" s="1651">
        <f t="shared" si="6"/>
        <v>0.89999999999999991</v>
      </c>
      <c r="L49" s="1704">
        <f t="shared" si="7"/>
        <v>55.7749332</v>
      </c>
      <c r="M49" s="317">
        <v>1.1000000000000001</v>
      </c>
      <c r="N49" s="318">
        <v>1</v>
      </c>
      <c r="O49" s="318">
        <v>0.9</v>
      </c>
      <c r="P49" s="318"/>
      <c r="Q49" s="319"/>
      <c r="R49" s="542"/>
      <c r="S49" s="542"/>
      <c r="T49" s="478">
        <f t="shared" si="8"/>
        <v>0.33</v>
      </c>
      <c r="U49" s="479">
        <f t="shared" si="9"/>
        <v>0.3</v>
      </c>
      <c r="V49" s="479">
        <f t="shared" si="10"/>
        <v>0.27</v>
      </c>
      <c r="W49" s="479">
        <f t="shared" si="11"/>
        <v>0</v>
      </c>
      <c r="X49" s="480">
        <f t="shared" si="12"/>
        <v>0</v>
      </c>
      <c r="Y49"/>
      <c r="Z49" s="478">
        <f t="shared" si="13"/>
        <v>20.450808840000001</v>
      </c>
      <c r="AA49" s="479">
        <f t="shared" si="14"/>
        <v>18.5916444</v>
      </c>
      <c r="AB49" s="479">
        <f t="shared" si="15"/>
        <v>16.732479959999999</v>
      </c>
      <c r="AC49" s="479">
        <f t="shared" si="16"/>
        <v>0</v>
      </c>
      <c r="AD49" s="480">
        <f t="shared" si="17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5"/>
        <v>3</v>
      </c>
      <c r="K50" s="1651">
        <f t="shared" si="6"/>
        <v>1.0499999999999998</v>
      </c>
      <c r="L50" s="1704">
        <f t="shared" si="7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8"/>
        <v>0.35</v>
      </c>
      <c r="U50" s="479">
        <f t="shared" si="9"/>
        <v>0.35</v>
      </c>
      <c r="V50" s="479">
        <f t="shared" si="10"/>
        <v>0.35</v>
      </c>
      <c r="W50" s="479">
        <f t="shared" si="11"/>
        <v>0</v>
      </c>
      <c r="X50" s="480">
        <f t="shared" si="12"/>
        <v>0</v>
      </c>
      <c r="Y50"/>
      <c r="Z50" s="478">
        <f t="shared" si="13"/>
        <v>8.5775754679999991</v>
      </c>
      <c r="AA50" s="479">
        <f t="shared" si="14"/>
        <v>8.5775754679999991</v>
      </c>
      <c r="AB50" s="479">
        <f t="shared" si="15"/>
        <v>8.5775754679999991</v>
      </c>
      <c r="AC50" s="479">
        <f t="shared" si="16"/>
        <v>0</v>
      </c>
      <c r="AD50" s="480">
        <f t="shared" si="17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5"/>
        <v>3</v>
      </c>
      <c r="K51" s="1651">
        <f t="shared" si="6"/>
        <v>0.78</v>
      </c>
      <c r="L51" s="1704">
        <f t="shared" si="7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8"/>
        <v>0.26</v>
      </c>
      <c r="U51" s="479">
        <f t="shared" si="9"/>
        <v>0.26</v>
      </c>
      <c r="V51" s="479">
        <f t="shared" si="10"/>
        <v>0.26</v>
      </c>
      <c r="W51" s="479">
        <f t="shared" si="11"/>
        <v>0</v>
      </c>
      <c r="X51" s="480">
        <f t="shared" si="12"/>
        <v>0</v>
      </c>
      <c r="Y51"/>
      <c r="Z51" s="478">
        <f t="shared" si="13"/>
        <v>8.8941188640000011</v>
      </c>
      <c r="AA51" s="479">
        <f t="shared" si="14"/>
        <v>8.8941188640000011</v>
      </c>
      <c r="AB51" s="479">
        <f t="shared" si="15"/>
        <v>8.8941188640000011</v>
      </c>
      <c r="AC51" s="479">
        <f t="shared" si="16"/>
        <v>0</v>
      </c>
      <c r="AD51" s="480">
        <f t="shared" si="17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40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1.1399999999999999</v>
      </c>
      <c r="I52" s="469">
        <f>IF($B52=0,0,VLOOKUP($B52,Arbeitsgänge!$B$27:$T$80,14))</f>
        <v>32.070757325599992</v>
      </c>
      <c r="J52" s="593">
        <f t="shared" si="5"/>
        <v>1.5000000000000002</v>
      </c>
      <c r="K52" s="1651">
        <f t="shared" si="6"/>
        <v>1.7100000000000002</v>
      </c>
      <c r="L52" s="1704">
        <f t="shared" si="7"/>
        <v>48.106135988399998</v>
      </c>
      <c r="M52" s="317">
        <f>M6/50</f>
        <v>0.67500000000000004</v>
      </c>
      <c r="N52" s="318">
        <f>N6/50</f>
        <v>0.52500000000000002</v>
      </c>
      <c r="O52" s="318">
        <f>O6/50</f>
        <v>0.3</v>
      </c>
      <c r="P52" s="318"/>
      <c r="Q52" s="319"/>
      <c r="R52" s="542"/>
      <c r="S52" s="542"/>
      <c r="T52" s="478">
        <f t="shared" si="8"/>
        <v>0.76949999999999996</v>
      </c>
      <c r="U52" s="479">
        <f t="shared" si="9"/>
        <v>0.59849999999999992</v>
      </c>
      <c r="V52" s="479">
        <f t="shared" si="10"/>
        <v>0.34199999999999997</v>
      </c>
      <c r="W52" s="479">
        <f t="shared" si="11"/>
        <v>0</v>
      </c>
      <c r="X52" s="480">
        <f t="shared" si="12"/>
        <v>0</v>
      </c>
      <c r="Y52"/>
      <c r="Z52" s="478">
        <f t="shared" si="13"/>
        <v>21.647761194779996</v>
      </c>
      <c r="AA52" s="479">
        <f t="shared" si="14"/>
        <v>16.837147595939996</v>
      </c>
      <c r="AB52" s="479">
        <f t="shared" si="15"/>
        <v>9.6212271976799979</v>
      </c>
      <c r="AC52" s="479">
        <f t="shared" si="16"/>
        <v>0</v>
      </c>
      <c r="AD52" s="480">
        <f t="shared" si="17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47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8"/>
        <v>0</v>
      </c>
      <c r="U53" s="479">
        <f t="shared" si="9"/>
        <v>0</v>
      </c>
      <c r="V53" s="479">
        <f t="shared" si="10"/>
        <v>0</v>
      </c>
      <c r="W53" s="479">
        <f t="shared" si="11"/>
        <v>0</v>
      </c>
      <c r="X53" s="480">
        <f t="shared" si="12"/>
        <v>0</v>
      </c>
      <c r="Y53"/>
      <c r="Z53" s="478">
        <f t="shared" si="13"/>
        <v>0</v>
      </c>
      <c r="AA53" s="479">
        <f t="shared" si="14"/>
        <v>0</v>
      </c>
      <c r="AB53" s="479">
        <f t="shared" si="15"/>
        <v>0</v>
      </c>
      <c r="AC53" s="479">
        <f t="shared" si="16"/>
        <v>0</v>
      </c>
      <c r="AD53" s="480">
        <f t="shared" si="17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50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8"/>
        <v>0</v>
      </c>
      <c r="U54" s="479">
        <f t="shared" si="9"/>
        <v>0</v>
      </c>
      <c r="V54" s="479">
        <f t="shared" si="10"/>
        <v>0</v>
      </c>
      <c r="W54" s="479">
        <f t="shared" si="11"/>
        <v>0</v>
      </c>
      <c r="X54" s="480">
        <f t="shared" si="12"/>
        <v>0</v>
      </c>
      <c r="Y54"/>
      <c r="Z54" s="478">
        <f t="shared" si="13"/>
        <v>0</v>
      </c>
      <c r="AA54" s="479">
        <f t="shared" si="14"/>
        <v>0</v>
      </c>
      <c r="AB54" s="479">
        <f t="shared" si="15"/>
        <v>0</v>
      </c>
      <c r="AC54" s="479">
        <f t="shared" si="16"/>
        <v>0</v>
      </c>
      <c r="AD54" s="480">
        <f t="shared" si="17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8"/>
        <v>0</v>
      </c>
      <c r="U55" s="479">
        <f t="shared" si="9"/>
        <v>0</v>
      </c>
      <c r="V55" s="479">
        <f t="shared" si="10"/>
        <v>0</v>
      </c>
      <c r="W55" s="479">
        <f t="shared" si="11"/>
        <v>0</v>
      </c>
      <c r="X55" s="480">
        <f t="shared" si="12"/>
        <v>0</v>
      </c>
      <c r="Y55"/>
      <c r="Z55" s="478">
        <f t="shared" si="13"/>
        <v>0</v>
      </c>
      <c r="AA55" s="479">
        <f t="shared" si="14"/>
        <v>0</v>
      </c>
      <c r="AB55" s="479">
        <f t="shared" si="15"/>
        <v>0</v>
      </c>
      <c r="AC55" s="479">
        <f t="shared" si="16"/>
        <v>0</v>
      </c>
      <c r="AD55" s="480">
        <f t="shared" si="17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46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5"/>
        <v>0</v>
      </c>
      <c r="K56" s="1652">
        <f t="shared" si="6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8"/>
        <v>0</v>
      </c>
      <c r="U56" s="482">
        <f t="shared" si="9"/>
        <v>0</v>
      </c>
      <c r="V56" s="482">
        <f t="shared" si="10"/>
        <v>0</v>
      </c>
      <c r="W56" s="482">
        <f t="shared" si="11"/>
        <v>0</v>
      </c>
      <c r="X56" s="483">
        <f t="shared" si="12"/>
        <v>0</v>
      </c>
      <c r="Y56"/>
      <c r="Z56" s="481">
        <f t="shared" si="13"/>
        <v>0</v>
      </c>
      <c r="AA56" s="482">
        <f t="shared" si="14"/>
        <v>0</v>
      </c>
      <c r="AB56" s="482">
        <f t="shared" si="15"/>
        <v>0</v>
      </c>
      <c r="AC56" s="482">
        <f t="shared" si="16"/>
        <v>0</v>
      </c>
      <c r="AD56" s="483">
        <f t="shared" si="17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6.8369999999999997</v>
      </c>
      <c r="L57" s="1716"/>
      <c r="M57" s="278">
        <f>SUM(T46:T56)</f>
        <v>2.5085000000000002</v>
      </c>
      <c r="N57" s="508">
        <f>SUM(U46:U56)</f>
        <v>2.3074999999999997</v>
      </c>
      <c r="O57" s="508">
        <f>SUM(V46:V56)</f>
        <v>2.0209999999999999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12.3066</v>
      </c>
      <c r="L58" s="1718"/>
      <c r="M58" s="270">
        <f>IF(M57+(M57*$G$58/100)&gt;M57+10,M57+10,M57+(M57*$G$58/100))</f>
        <v>4.5152999999999999</v>
      </c>
      <c r="N58" s="509">
        <f>IF(N57+(N57*$G$58/100)&gt;(N57+10),N57+10,N57+(N57*$G$58/100))</f>
        <v>4.1534999999999993</v>
      </c>
      <c r="O58" s="509">
        <f>IF(O57+(O57*$G$58/100)&gt;(O57+10),O57+10,O57+(O57*$G$58/100))</f>
        <v>3.6377999999999999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533.04349999999999</v>
      </c>
      <c r="M59" s="253">
        <f>SUM(T61:T63)</f>
        <v>237.97449999999998</v>
      </c>
      <c r="N59" s="254">
        <f>SUM(U61:U63)</f>
        <v>186.2945</v>
      </c>
      <c r="O59" s="254">
        <f>SUM(V61:V63)</f>
        <v>108.7745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3060"/>
      <c r="F61" s="3077"/>
      <c r="G61" s="4042">
        <v>65</v>
      </c>
      <c r="H61" s="4039">
        <f>G61*(100+$H$59)/100</f>
        <v>77.349999999999994</v>
      </c>
      <c r="I61" s="4029"/>
      <c r="J61" s="4028">
        <f>SUM(M61:Q61)</f>
        <v>0.21000000000000002</v>
      </c>
      <c r="K61" s="2618"/>
      <c r="L61" s="2619">
        <f>J61*H61</f>
        <v>16.243500000000001</v>
      </c>
      <c r="M61" s="3111">
        <v>7.0000000000000007E-2</v>
      </c>
      <c r="N61" s="3088">
        <v>7.0000000000000007E-2</v>
      </c>
      <c r="O61" s="3088">
        <v>7.0000000000000007E-2</v>
      </c>
      <c r="P61" s="3088"/>
      <c r="Q61" s="2620"/>
      <c r="R61" s="542"/>
      <c r="S61" s="542"/>
      <c r="T61" s="594">
        <f>IF(M61&lt;&gt;0,M61*$H61,0)</f>
        <v>5.4145000000000003</v>
      </c>
      <c r="U61" s="594">
        <f t="shared" ref="U61:X63" si="18">IF(N61&lt;&gt;0,N61*$H61,0)</f>
        <v>5.4145000000000003</v>
      </c>
      <c r="V61" s="594">
        <f t="shared" si="18"/>
        <v>5.4145000000000003</v>
      </c>
      <c r="W61" s="594">
        <f t="shared" si="18"/>
        <v>0</v>
      </c>
      <c r="X61" s="594">
        <f t="shared" si="18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20" t="s">
        <v>1370</v>
      </c>
      <c r="E62" s="3447"/>
      <c r="F62" s="3081"/>
      <c r="G62" s="4041">
        <v>16</v>
      </c>
      <c r="H62" s="4040">
        <f>G62*(100+$H$59)/100</f>
        <v>19.04</v>
      </c>
      <c r="I62" s="4030"/>
      <c r="J62" s="4036">
        <f>K15/7.5</f>
        <v>27.142857142857142</v>
      </c>
      <c r="K62" s="3470"/>
      <c r="L62" s="1671">
        <f>J62*H62</f>
        <v>516.79999999999995</v>
      </c>
      <c r="M62" s="4037">
        <f>$J$62*M7/100</f>
        <v>12.214285714285714</v>
      </c>
      <c r="N62" s="4038">
        <f>$J$62*N7/100</f>
        <v>9.5</v>
      </c>
      <c r="O62" s="4038">
        <f>$J$62*O7/100</f>
        <v>5.4285714285714288</v>
      </c>
      <c r="P62" s="4026">
        <f>$J$62*P7/100</f>
        <v>0</v>
      </c>
      <c r="Q62" s="4027">
        <f>$J$62*Q7/100</f>
        <v>0</v>
      </c>
      <c r="R62" s="542"/>
      <c r="S62" s="542"/>
      <c r="T62" s="594">
        <f>IF(M62&lt;&gt;0,M62*$H62,0)</f>
        <v>232.55999999999997</v>
      </c>
      <c r="U62" s="594">
        <f t="shared" si="18"/>
        <v>180.88</v>
      </c>
      <c r="V62" s="594">
        <f t="shared" si="18"/>
        <v>103.36</v>
      </c>
      <c r="W62" s="594">
        <f t="shared" si="18"/>
        <v>0</v>
      </c>
      <c r="X62" s="594">
        <f t="shared" si="18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.5" hidden="1" customHeight="1" x14ac:dyDescent="0.2">
      <c r="A63" s="54"/>
      <c r="B63" s="94"/>
      <c r="C63" s="3070"/>
      <c r="D63" s="3116" t="s">
        <v>1185</v>
      </c>
      <c r="E63" s="3092"/>
      <c r="F63" s="3092"/>
      <c r="G63" s="3163">
        <f>'Preise-Stammdaten'!$K$132</f>
        <v>4.5</v>
      </c>
      <c r="H63" s="3103">
        <f>G63*(100+$H$59)/100</f>
        <v>5.3550000000000004</v>
      </c>
      <c r="I63" s="3093"/>
      <c r="J63" s="3094">
        <f>IF(K24=0,0,SUM(M63:Q63))</f>
        <v>0</v>
      </c>
      <c r="K63" s="3469">
        <f>IF(K24=0,0,K36/Z67)*K24</f>
        <v>0</v>
      </c>
      <c r="L63" s="3119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8"/>
        <v>0</v>
      </c>
      <c r="V63" s="594">
        <f t="shared" si="18"/>
        <v>0</v>
      </c>
      <c r="W63" s="594">
        <f t="shared" si="18"/>
        <v>0</v>
      </c>
      <c r="X63" s="594">
        <f t="shared" si="18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9">SUM(L69:L70)</f>
        <v>0</v>
      </c>
      <c r="M67" s="253">
        <f t="shared" si="19"/>
        <v>0</v>
      </c>
      <c r="N67" s="254">
        <f t="shared" si="19"/>
        <v>0</v>
      </c>
      <c r="O67" s="254">
        <f t="shared" si="19"/>
        <v>0</v>
      </c>
      <c r="P67" s="254">
        <f t="shared" si="19"/>
        <v>0</v>
      </c>
      <c r="Q67" s="257">
        <f t="shared" si="19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1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20">IF(AND($B69&lt;3,V$5=1),M$7*$I69/100,IF(AND($B69=3,V$5=3),M$7*$I69/100,0))</f>
        <v>0</v>
      </c>
      <c r="N69" s="933">
        <f t="shared" si="20"/>
        <v>0</v>
      </c>
      <c r="O69" s="933">
        <f t="shared" si="20"/>
        <v>0</v>
      </c>
      <c r="P69" s="933">
        <f t="shared" si="20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20"/>
        <v>0</v>
      </c>
      <c r="N70" s="933">
        <f t="shared" si="20"/>
        <v>0</v>
      </c>
      <c r="O70" s="933">
        <f t="shared" si="20"/>
        <v>0</v>
      </c>
      <c r="P70" s="933">
        <f t="shared" si="20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 t="str">
        <f t="shared" ref="K77:Q77" si="21">K16</f>
        <v>-</v>
      </c>
      <c r="L77" s="3321">
        <f t="shared" si="21"/>
        <v>0</v>
      </c>
      <c r="M77" s="3321">
        <f t="shared" si="21"/>
        <v>0</v>
      </c>
      <c r="N77" s="3321">
        <f t="shared" si="21"/>
        <v>0</v>
      </c>
      <c r="O77" s="3321">
        <f t="shared" si="21"/>
        <v>0</v>
      </c>
      <c r="P77" s="3321">
        <f t="shared" si="21"/>
        <v>0</v>
      </c>
      <c r="Q77" s="3321">
        <f t="shared" si="21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Drop Down 1">
              <controlPr defaultSize="0" print="0" autoFill="0" autoLine="0" autoPict="0">
                <anchor moveWithCells="1">
                  <from>
                    <xdr:col>12</xdr:col>
                    <xdr:colOff>114300</xdr:colOff>
                    <xdr:row>4</xdr:row>
                    <xdr:rowOff>28575</xdr:rowOff>
                  </from>
                  <to>
                    <xdr:col>12</xdr:col>
                    <xdr:colOff>514350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5" name="Drop Down 2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4</xdr:row>
                    <xdr:rowOff>47625</xdr:rowOff>
                  </from>
                  <to>
                    <xdr:col>13</xdr:col>
                    <xdr:colOff>466725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3" r:id="rId6" name="Drop Down 3">
              <controlPr defaultSize="0" print="0" autoFill="0" autoLine="0" autoPict="0">
                <anchor moveWithCells="1">
                  <from>
                    <xdr:col>14</xdr:col>
                    <xdr:colOff>76200</xdr:colOff>
                    <xdr:row>4</xdr:row>
                    <xdr:rowOff>47625</xdr:rowOff>
                  </from>
                  <to>
                    <xdr:col>14</xdr:col>
                    <xdr:colOff>485775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4" r:id="rId7" name="Drop Down 4">
              <controlPr defaultSize="0" print="0" autoFill="0" autoLine="0" autoPict="0">
                <anchor moveWithCells="1">
                  <from>
                    <xdr:col>15</xdr:col>
                    <xdr:colOff>95250</xdr:colOff>
                    <xdr:row>4</xdr:row>
                    <xdr:rowOff>57150</xdr:rowOff>
                  </from>
                  <to>
                    <xdr:col>15</xdr:col>
                    <xdr:colOff>504825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5" r:id="rId8" name="Drop Down 5">
              <controlPr defaultSize="0" print="0" autoFill="0" autoLine="0" autoPict="0">
                <anchor moveWithCells="1">
                  <from>
                    <xdr:col>16</xdr:col>
                    <xdr:colOff>104775</xdr:colOff>
                    <xdr:row>4</xdr:row>
                    <xdr:rowOff>19050</xdr:rowOff>
                  </from>
                  <to>
                    <xdr:col>16</xdr:col>
                    <xdr:colOff>504825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6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7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8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9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0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504825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1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504825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2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504825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3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4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5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5</xdr:col>
                    <xdr:colOff>504825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6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5</xdr:col>
                    <xdr:colOff>504825</xdr:colOff>
                    <xdr:row>56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8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'10) GS 3Nutz. Ballensil-(a)'!H2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'10) GS 3Nutz. Ballensil-(a)'!K2</f>
        <v>Wiese; 3 Nutzungen (3 x Ballensilage)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'10) GS 3Nutz. Ballensil-(a)'!H3</f>
        <v>3 Nutzungen,ungünstiger Ertragslage, eigene Mechanisierung bis Schwaden, Rundballen LU, einfahren eigene Leistung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'10) GS 3Nutz. Ballensil-(a)'!M5</f>
        <v>Silage</v>
      </c>
      <c r="O5" s="1568" t="str">
        <f>'10) GS 3Nutz. Ballensil-(a)'!N5</f>
        <v>Silage</v>
      </c>
      <c r="P5" s="1568" t="str">
        <f>'10) GS 3Nutz. Ballensil-(a)'!O5</f>
        <v>Silage</v>
      </c>
      <c r="Q5" s="1568" t="str">
        <f>'10) GS 3Nutz. Ballensil-(a)'!P5</f>
        <v>Silage</v>
      </c>
      <c r="R5" s="1573" t="str">
        <f>'10) GS 3Nutz. Ballensil-(a)'!Q5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1588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'10) GS 3Nutz. Ballensil-(a)'!K6</f>
        <v>75</v>
      </c>
      <c r="N6" s="1821">
        <f>'10) GS 3Nutz. Ballensil-(a)'!M6</f>
        <v>33.75</v>
      </c>
      <c r="O6" s="1821">
        <f>'10) GS 3Nutz. Ballensil-(a)'!N6</f>
        <v>26.25</v>
      </c>
      <c r="P6" s="1821">
        <f>'10) GS 3Nutz. Ballensil-(a)'!O6</f>
        <v>15</v>
      </c>
      <c r="Q6" s="1821">
        <f>'10) GS 3Nutz. Ballensil-(a)'!P6</f>
        <v>0</v>
      </c>
      <c r="R6" s="1822">
        <f>'10) GS 3Nutz. Ballensil-(a)'!Q6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'10) GS 3Nutz. Ballensil-(a)'!K14</f>
        <v>71.25</v>
      </c>
      <c r="N7" s="452">
        <f>'10) GS 3Nutz. Ballensil-(a)'!M14</f>
        <v>32.0625</v>
      </c>
      <c r="O7" s="452">
        <f>'10) GS 3Nutz. Ballensil-(a)'!N14</f>
        <v>24.9375</v>
      </c>
      <c r="P7" s="452">
        <f>'10) GS 3Nutz. Ballensil-(a)'!O14</f>
        <v>14.25</v>
      </c>
      <c r="Q7" s="452">
        <f>'10) GS 3Nutz. Ballensil-(a)'!P14</f>
        <v>0</v>
      </c>
      <c r="R7" s="1744">
        <f>'10) GS 3Nutz. Ballensil-(a)'!Q14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'10) GS 3Nutz. Ballensil-(a)'!K15</f>
        <v>203.57142857142856</v>
      </c>
      <c r="N8" s="473">
        <f>'10) GS 3Nutz. Ballensil-(a)'!M15</f>
        <v>91.607142857142847</v>
      </c>
      <c r="O8" s="473">
        <f>'10) GS 3Nutz. Ballensil-(a)'!N15</f>
        <v>71.25</v>
      </c>
      <c r="P8" s="473">
        <f>'10) GS 3Nutz. Ballensil-(a)'!O15</f>
        <v>40.714285714285715</v>
      </c>
      <c r="Q8" s="473">
        <f>'10) GS 3Nutz. Ballensil-(a)'!P15</f>
        <v>0</v>
      </c>
      <c r="R8" s="1583">
        <f>'10) GS 3Nutz. Ballensil-(a)'!Q15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'10) GS 3Nutz. Ballensil-(a)'!K17</f>
        <v>66.262500000000003</v>
      </c>
      <c r="N9" s="452">
        <f>'10) GS 3Nutz. Ballensil-(a)'!M17</f>
        <v>29.818124999999998</v>
      </c>
      <c r="O9" s="452">
        <f>'10) GS 3Nutz. Ballensil-(a)'!N17</f>
        <v>23.191875</v>
      </c>
      <c r="P9" s="452">
        <f>'10) GS 3Nutz. Ballensil-(a)'!O17</f>
        <v>13.2525</v>
      </c>
      <c r="Q9" s="452">
        <f>'10) GS 3Nutz. Ballensil-(a)'!P17</f>
        <v>0</v>
      </c>
      <c r="R9" s="1744">
        <f>'10) GS 3Nutz. Ballensil-(a)'!Q17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'10) GS 3Nutz. Ballensil-(a)'!K18</f>
        <v>179.08783783783781</v>
      </c>
      <c r="N10" s="1748">
        <f>'10) GS 3Nutz. Ballensil-(a)'!M18</f>
        <v>80.589527027027017</v>
      </c>
      <c r="O10" s="1748">
        <f>'10) GS 3Nutz. Ballensil-(a)'!N18</f>
        <v>62.680743243243242</v>
      </c>
      <c r="P10" s="1748">
        <f>'10) GS 3Nutz. Ballensil-(a)'!O18</f>
        <v>35.817567567567565</v>
      </c>
      <c r="Q10" s="1748">
        <f>'10) GS 3Nutz. Ballensil-(a)'!P18</f>
        <v>0</v>
      </c>
      <c r="R10" s="1745">
        <f>'10) GS 3Nutz. Ballensil-(a)'!Q18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'10) GS 3Nutz. Ballensil-(a)'!K19</f>
        <v>32.561425061425062</v>
      </c>
      <c r="N11" s="2094">
        <f>'10) GS 3Nutz. Ballensil-(a)'!M19</f>
        <v>14.652641277641276</v>
      </c>
      <c r="O11" s="2094">
        <f>'10) GS 3Nutz. Ballensil-(a)'!N19</f>
        <v>11.396498771498772</v>
      </c>
      <c r="P11" s="2094">
        <f>'10) GS 3Nutz. Ballensil-(a)'!O19</f>
        <v>6.5122850122850116</v>
      </c>
      <c r="Q11" s="2094">
        <f>'10) GS 3Nutz. Ballensil-(a)'!P19</f>
        <v>0</v>
      </c>
      <c r="R11" s="2078">
        <f>'10) GS 3Nutz. Ballensil-(a)'!Q19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'10) GS 3Nutz. Ballensil-(a)'!K22</f>
        <v>3876.3562499999998</v>
      </c>
      <c r="N12" s="1176">
        <f>'10) GS 3Nutz. Ballensil-(a)'!M22</f>
        <v>1789.0875000000001</v>
      </c>
      <c r="O12" s="1176">
        <f>'10) GS 3Nutz. Ballensil-(a)'!N22</f>
        <v>1345.1287499999999</v>
      </c>
      <c r="P12" s="1176">
        <f>'10) GS 3Nutz. Ballensil-(a)'!O22</f>
        <v>742.14</v>
      </c>
      <c r="Q12" s="1176">
        <f>'10) GS 3Nutz. Ballensil-(a)'!P22</f>
        <v>0</v>
      </c>
      <c r="R12" s="1747">
        <f>'10) GS 3Nutz. Ballensil-(a)'!Q22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'10) GS 3Nutz. Ballensil-(a)'!K23</f>
        <v>6460.59375</v>
      </c>
      <c r="N13" s="2065">
        <f>'10) GS 3Nutz. Ballensil-(a)'!M23</f>
        <v>2981.8125</v>
      </c>
      <c r="O13" s="2065">
        <f>'10) GS 3Nutz. Ballensil-(a)'!N23</f>
        <v>2241.8812499999999</v>
      </c>
      <c r="P13" s="2065">
        <f>'10) GS 3Nutz. Ballensil-(a)'!O23</f>
        <v>1236.9000000000001</v>
      </c>
      <c r="Q13" s="2065">
        <f>'10) GS 3Nutz. Ballensil-(a)'!P23</f>
        <v>0</v>
      </c>
      <c r="R13" s="2067">
        <f>'10) GS 3Nutz. Ballensil-(a)'!Q23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'10) GS 3Nutz. Ballensil-(a)'!L32</f>
        <v>23.54</v>
      </c>
      <c r="N19" s="2071">
        <f>'10) GS 3Nutz. Ballensil-(a)'!M32</f>
        <v>10.593</v>
      </c>
      <c r="O19" s="2071">
        <f>'10) GS 3Nutz. Ballensil-(a)'!N32</f>
        <v>8.238999999999999</v>
      </c>
      <c r="P19" s="2071">
        <f>'10) GS 3Nutz. Ballensil-(a)'!O32</f>
        <v>4.7079999999999993</v>
      </c>
      <c r="Q19" s="2071">
        <f>'10) GS 3Nutz. Ballensil-(a)'!P32</f>
        <v>0</v>
      </c>
      <c r="R19" s="2073">
        <f>'10) GS 3Nutz. Ballensil-(a)'!Q32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'10) GS 3Nutz. Ballensil-(a)'!L34</f>
        <v>510.35356458333325</v>
      </c>
      <c r="N20" s="285">
        <f>'10) GS 3Nutz. Ballensil-(a)'!M34</f>
        <v>229.65910406249998</v>
      </c>
      <c r="O20" s="285">
        <f>'10) GS 3Nutz. Ballensil-(a)'!N34</f>
        <v>178.62374760416662</v>
      </c>
      <c r="P20" s="285">
        <f>'10) GS 3Nutz. Ballensil-(a)'!O34</f>
        <v>102.07071291666665</v>
      </c>
      <c r="Q20" s="285">
        <f>'10) GS 3Nutz. Ballensil-(a)'!P34</f>
        <v>0</v>
      </c>
      <c r="R20" s="1574">
        <f>'10) GS 3Nutz. Ballensil-(a)'!Q34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'10) GS 3Nutz. Ballensil-(a)'!L40</f>
        <v>0</v>
      </c>
      <c r="N21" s="285">
        <f>'10) GS 3Nutz. Ballensil-(a)'!M40</f>
        <v>0</v>
      </c>
      <c r="O21" s="285">
        <f>'10) GS 3Nutz. Ballensil-(a)'!N40</f>
        <v>0</v>
      </c>
      <c r="P21" s="285">
        <f>'10) GS 3Nutz. Ballensil-(a)'!O40</f>
        <v>0</v>
      </c>
      <c r="Q21" s="285">
        <f>'10) GS 3Nutz. Ballensil-(a)'!P40</f>
        <v>0</v>
      </c>
      <c r="R21" s="1574">
        <f>'10) GS 3Nutz. Ballensil-(a)'!Q40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'10) GS 3Nutz. Ballensil-(a)'!L67</f>
        <v>0</v>
      </c>
      <c r="N23" s="285">
        <f>'10) GS 3Nutz. Ballensil-(a)'!M67</f>
        <v>0</v>
      </c>
      <c r="O23" s="285">
        <f>'10) GS 3Nutz. Ballensil-(a)'!N67</f>
        <v>0</v>
      </c>
      <c r="P23" s="285">
        <f>'10) GS 3Nutz. Ballensil-(a)'!O67</f>
        <v>0</v>
      </c>
      <c r="Q23" s="285">
        <f>'10) GS 3Nutz. Ballensil-(a)'!P67</f>
        <v>0</v>
      </c>
      <c r="R23" s="1574">
        <f>'10) GS 3Nutz. Ballensil-(a)'!Q67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'10) GS 3Nutz. Ballensil-(a)'!L43</f>
        <v>193.81317689795998</v>
      </c>
      <c r="N24" s="285">
        <f>'10) GS 3Nutz. Ballensil-(a)'!M43</f>
        <v>72.075939271300001</v>
      </c>
      <c r="O24" s="285">
        <f>'10) GS 3Nutz. Ballensil-(a)'!N43</f>
        <v>65.406161232459993</v>
      </c>
      <c r="P24" s="285">
        <f>'10) GS 3Nutz. Ballensil-(a)'!O43</f>
        <v>56.331076394199997</v>
      </c>
      <c r="Q24" s="285">
        <f>'10) GS 3Nutz. Ballensil-(a)'!P43</f>
        <v>0</v>
      </c>
      <c r="R24" s="1574">
        <f>'10) GS 3Nutz. Ballensil-(a)'!Q43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'10) GS 3Nutz. Ballensil-(a)'!L59</f>
        <v>533.04349999999999</v>
      </c>
      <c r="N25" s="285">
        <f>'10) GS 3Nutz. Ballensil-(a)'!M59</f>
        <v>237.97449999999998</v>
      </c>
      <c r="O25" s="285">
        <f>'10) GS 3Nutz. Ballensil-(a)'!N59</f>
        <v>186.2945</v>
      </c>
      <c r="P25" s="285">
        <f>'10) GS 3Nutz. Ballensil-(a)'!O59</f>
        <v>108.7745</v>
      </c>
      <c r="Q25" s="285">
        <f>'10) GS 3Nutz. Ballensil-(a)'!P59</f>
        <v>0</v>
      </c>
      <c r="R25" s="1574">
        <f>'10) GS 3Nutz. Ballensil-(a)'!Q59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'10) GS 3Nutz. Ballensil-(a)'!L64</f>
        <v>0</v>
      </c>
      <c r="N26" s="1979">
        <f>'10) GS 3Nutz. Ballensil-(a)'!M64</f>
        <v>0</v>
      </c>
      <c r="O26" s="1979">
        <f>'10) GS 3Nutz. Ballensil-(a)'!N64</f>
        <v>0</v>
      </c>
      <c r="P26" s="1979">
        <f>'10) GS 3Nutz. Ballensil-(a)'!O64</f>
        <v>0</v>
      </c>
      <c r="Q26" s="1979">
        <f>'10) GS 3Nutz. Ballensil-(a)'!P64</f>
        <v>0</v>
      </c>
      <c r="R26" s="1981">
        <f>'10) GS 3Nutz. Ballensil-(a)'!Q64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1260.7502414812932</v>
      </c>
      <c r="N27" s="2407">
        <f t="shared" si="4"/>
        <v>550.30254333380003</v>
      </c>
      <c r="O27" s="2407">
        <f t="shared" si="4"/>
        <v>438.56340883662665</v>
      </c>
      <c r="P27" s="2407">
        <f t="shared" si="4"/>
        <v>271.88428931086662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-1260.7502414812932</v>
      </c>
      <c r="N28" s="1777">
        <f t="shared" si="5"/>
        <v>-550.30254333380003</v>
      </c>
      <c r="O28" s="1777">
        <f t="shared" si="5"/>
        <v>-438.56340883662665</v>
      </c>
      <c r="P28" s="1777">
        <f t="shared" si="5"/>
        <v>-271.88428931086662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-0.32524106665410157</v>
      </c>
      <c r="N29" s="1874">
        <f t="shared" si="6"/>
        <v>-0.30758838979859843</v>
      </c>
      <c r="O29" s="1874">
        <f t="shared" si="6"/>
        <v>-0.32603823896904049</v>
      </c>
      <c r="P29" s="1874">
        <f t="shared" si="6"/>
        <v>-0.36635175210993426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121.5</v>
      </c>
      <c r="O30" s="2097">
        <f t="shared" si="7"/>
        <v>94.5</v>
      </c>
      <c r="P30" s="2097">
        <f t="shared" si="7"/>
        <v>54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'10) GS 3Nutz. Ballensil-(a)'!L25</f>
        <v>0</v>
      </c>
      <c r="V30" s="3308">
        <f>'10) GS 3Nutz. Ballensil-(a)'!M25</f>
        <v>0</v>
      </c>
      <c r="W30" s="3308">
        <f>'10) GS 3Nutz. Ballensil-(a)'!N25</f>
        <v>0</v>
      </c>
      <c r="X30" s="3308">
        <f>'10) GS 3Nutz. Ballensil-(a)'!O25</f>
        <v>0</v>
      </c>
      <c r="Y30" s="3308">
        <f>'10) GS 3Nutz. Ballensil-(a)'!P25</f>
        <v>0</v>
      </c>
      <c r="Z30" s="3308">
        <f>'10) GS 3Nutz. Ballensil-(a)'!Q25</f>
        <v>0</v>
      </c>
      <c r="AA30"/>
      <c r="AB30"/>
      <c r="AC30"/>
      <c r="AD30"/>
      <c r="AE30"/>
      <c r="AF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M27*'10) GS 3Nutz. Ballensil-(a)'!$L$72*'10) GS 3Nutz. Ballensil-(a)'!$Q$72/12/100</f>
        <v>7.8796890092580814</v>
      </c>
      <c r="N31" s="1979">
        <f>N27*'10) GS 3Nutz. Ballensil-(a)'!$L$72*'10) GS 3Nutz. Ballensil-(a)'!$Q$72/12/100</f>
        <v>3.43939089583625</v>
      </c>
      <c r="O31" s="1979">
        <f>O27*'10) GS 3Nutz. Ballensil-(a)'!$L$72*'10) GS 3Nutz. Ballensil-(a)'!$Q$72/12/100</f>
        <v>2.7410213052289163</v>
      </c>
      <c r="P31" s="1979">
        <f>P27*'10) GS 3Nutz. Ballensil-(a)'!$L$72*'10) GS 3Nutz. Ballensil-(a)'!$Q$72/12/100</f>
        <v>1.6992768081929162</v>
      </c>
      <c r="Q31" s="1979">
        <f>Q27*'10) GS 3Nutz. Ballensil-(a)'!$L$72*'10) GS 3Nutz. Ballensil-(a)'!$Q$72/12/100</f>
        <v>0</v>
      </c>
      <c r="R31" s="1981">
        <f>R27*'10) GS 3Nutz. Ballensil-(a)'!$L$72*'10) GS 3Nutz. Ballensil-(a)'!$Q$72/12/100</f>
        <v>0</v>
      </c>
      <c r="T31" s="3297" t="s">
        <v>1215</v>
      </c>
      <c r="U31" s="3308">
        <f>'10) GS 3Nutz. Ballensil-(a)'!L30</f>
        <v>270</v>
      </c>
      <c r="V31" s="3308">
        <f>'10) GS 3Nutz. Ballensil-(a)'!M30</f>
        <v>121.5</v>
      </c>
      <c r="W31" s="3308">
        <f>'10) GS 3Nutz. Ballensil-(a)'!N30</f>
        <v>94.5</v>
      </c>
      <c r="X31" s="3308">
        <f>'10) GS 3Nutz. Ballensil-(a)'!O30</f>
        <v>54</v>
      </c>
      <c r="Y31" s="3308">
        <f>'10) GS 3Nutz. Ballensil-(a)'!P30</f>
        <v>0</v>
      </c>
      <c r="Z31" s="3308">
        <f>'10) GS 3Nutz. Ballensil-(a)'!Q30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-998.62993049055126</v>
      </c>
      <c r="N32" s="1769">
        <f t="shared" si="8"/>
        <v>-432.24193422963629</v>
      </c>
      <c r="O32" s="1769">
        <f t="shared" si="8"/>
        <v>-346.80443014185556</v>
      </c>
      <c r="P32" s="1769">
        <f t="shared" si="8"/>
        <v>-219.58356611905953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121.5</v>
      </c>
      <c r="W32" s="429">
        <f t="shared" si="9"/>
        <v>94.5</v>
      </c>
      <c r="X32" s="429">
        <f t="shared" si="9"/>
        <v>54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-0.25762078253012771</v>
      </c>
      <c r="N33" s="1581">
        <f t="shared" si="10"/>
        <v>-0.24159910246404173</v>
      </c>
      <c r="O33" s="1581">
        <f t="shared" si="10"/>
        <v>-0.25782247992384044</v>
      </c>
      <c r="P33" s="1581">
        <f t="shared" si="10"/>
        <v>-0.2958788990204807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-0.1545724695180766</v>
      </c>
      <c r="N34" s="2149">
        <f t="shared" si="11"/>
        <v>-0.14495946147842503</v>
      </c>
      <c r="O34" s="2149">
        <f t="shared" si="11"/>
        <v>-0.15469348795430427</v>
      </c>
      <c r="P34" s="2149">
        <f t="shared" si="11"/>
        <v>-0.1775273394122884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'10) GS 3Nutz. Ballensil-(a)'!K58</f>
        <v>12.3066</v>
      </c>
      <c r="N36" s="2397">
        <f>'10) GS 3Nutz. Ballensil-(a)'!M58</f>
        <v>4.5152999999999999</v>
      </c>
      <c r="O36" s="2397">
        <f>'10) GS 3Nutz. Ballensil-(a)'!N58</f>
        <v>4.1534999999999993</v>
      </c>
      <c r="P36" s="2397">
        <f>'10) GS 3Nutz. Ballensil-(a)'!O58</f>
        <v>3.6377999999999999</v>
      </c>
      <c r="Q36" s="2397">
        <f>'10) GS 3Nutz. Ballensil-(a)'!P58</f>
        <v>0</v>
      </c>
      <c r="R36" s="2398">
        <f>'10) GS 3Nutz. Ballensil-(a)'!Q58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 t="str">
        <f>'10) GS 3Nutz. Ballensil-(a)'!K16</f>
        <v>-</v>
      </c>
      <c r="N37" s="2400">
        <f>'10) GS 3Nutz. Ballensil-(a)'!M16</f>
        <v>0</v>
      </c>
      <c r="O37" s="2400">
        <f>'10) GS 3Nutz. Ballensil-(a)'!N16</f>
        <v>0</v>
      </c>
      <c r="P37" s="2400">
        <f>'10) GS 3Nutz. Ballensil-(a)'!O16</f>
        <v>0</v>
      </c>
      <c r="Q37" s="2400">
        <f>'10) GS 3Nutz. Ballensil-(a)'!P16</f>
        <v>0</v>
      </c>
      <c r="R37" s="2401">
        <f>'10) GS 3Nutz. Ballensil-(a)'!Q16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/>
      <c r="O38" s="1997"/>
      <c r="P38" s="1997"/>
      <c r="Q38" s="1997"/>
      <c r="R38" s="1998"/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215.3655</v>
      </c>
      <c r="N39" s="285">
        <f t="shared" si="13"/>
        <v>79.017749999999992</v>
      </c>
      <c r="O39" s="285">
        <f t="shared" si="13"/>
        <v>72.686249999999987</v>
      </c>
      <c r="P39" s="285">
        <f t="shared" si="13"/>
        <v>63.661499999999997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3180">
        <v>250</v>
      </c>
      <c r="N41" s="285">
        <f>N$6/$M$6*$M$41</f>
        <v>112.5</v>
      </c>
      <c r="O41" s="285">
        <f>O$6/$M$6*$M$41</f>
        <v>87.5</v>
      </c>
      <c r="P41" s="285">
        <f>P$6/$M$6*$M$41</f>
        <v>50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94.5</v>
      </c>
      <c r="O43" s="285">
        <f>O$6/$M$6*$M$43</f>
        <v>73.5</v>
      </c>
      <c r="P43" s="285">
        <f>P$6/$M$6*$M$43</f>
        <v>42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873.18550000000005</v>
      </c>
      <c r="N45" s="1991">
        <f t="shared" si="14"/>
        <v>375.03674999999998</v>
      </c>
      <c r="O45" s="1991">
        <f t="shared" si="14"/>
        <v>302.92324999999994</v>
      </c>
      <c r="P45" s="1991">
        <f t="shared" si="14"/>
        <v>195.22550000000001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2141.8154304905511</v>
      </c>
      <c r="N48" s="2127">
        <f t="shared" si="16"/>
        <v>928.77868422963627</v>
      </c>
      <c r="O48" s="2041">
        <f t="shared" si="16"/>
        <v>744.22768014185544</v>
      </c>
      <c r="P48" s="2041">
        <f t="shared" si="16"/>
        <v>468.80906611905954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-2141.8154304905511</v>
      </c>
      <c r="N49" s="2125">
        <f t="shared" si="17"/>
        <v>-928.77868422963627</v>
      </c>
      <c r="O49" s="1772">
        <f t="shared" si="17"/>
        <v>-744.22768014185544</v>
      </c>
      <c r="P49" s="1772">
        <f t="shared" si="17"/>
        <v>-468.80906611905954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-0.55253317609560559</v>
      </c>
      <c r="N50" s="2511">
        <f t="shared" si="18"/>
        <v>-0.51913541636707883</v>
      </c>
      <c r="O50" s="2168">
        <f t="shared" si="18"/>
        <v>-0.55327616790723977</v>
      </c>
      <c r="P50" s="2168">
        <f t="shared" si="18"/>
        <v>-0.63169895992543124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121.5</v>
      </c>
      <c r="O51" s="2185">
        <f t="shared" si="19"/>
        <v>94.5</v>
      </c>
      <c r="P51" s="2185">
        <f t="shared" si="19"/>
        <v>54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-1871.8154304905511</v>
      </c>
      <c r="N52" s="2178">
        <f t="shared" si="20"/>
        <v>-807.27868422963627</v>
      </c>
      <c r="O52" s="2081">
        <f t="shared" si="20"/>
        <v>-649.72768014185544</v>
      </c>
      <c r="P52" s="2081">
        <f t="shared" si="20"/>
        <v>-414.80906611905954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-0.48288013530504353</v>
      </c>
      <c r="N53" s="2511">
        <f t="shared" si="21"/>
        <v>-0.45122370159628089</v>
      </c>
      <c r="O53" s="2168">
        <f t="shared" si="21"/>
        <v>-0.48302266986848325</v>
      </c>
      <c r="P53" s="2168">
        <f t="shared" si="21"/>
        <v>-0.55893640838529057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1871.8154304905511</v>
      </c>
      <c r="N55" s="2038">
        <f t="shared" si="22"/>
        <v>807.27868422963627</v>
      </c>
      <c r="O55" s="2038">
        <f t="shared" si="22"/>
        <v>649.72768014185544</v>
      </c>
      <c r="P55" s="2038">
        <f t="shared" si="22"/>
        <v>414.80906611905954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10.451940528677669</v>
      </c>
      <c r="N56" s="2103">
        <f t="shared" si="24"/>
        <v>10.017166175437438</v>
      </c>
      <c r="O56" s="2103">
        <f t="shared" si="24"/>
        <v>10.365666495377649</v>
      </c>
      <c r="P56" s="2103">
        <f t="shared" si="24"/>
        <v>11.581162381743221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28.248487915345045</v>
      </c>
      <c r="N57" s="3427">
        <f>IF($N$7=0,0,N$55/$N$9)</f>
        <v>27.073422095776859</v>
      </c>
      <c r="O57" s="3427">
        <f>IF($O$7=0,0,O$55/$O$9)</f>
        <v>28.015314852372025</v>
      </c>
      <c r="P57" s="3427">
        <f>IF($P$7=0,0,P$55/$P$9)</f>
        <v>31.300438869576272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57.485672907727164</v>
      </c>
      <c r="N58" s="2134">
        <f t="shared" si="25"/>
        <v>55.094413964905911</v>
      </c>
      <c r="O58" s="2134">
        <f t="shared" si="25"/>
        <v>57.011165724577069</v>
      </c>
      <c r="P58" s="2134">
        <f t="shared" si="25"/>
        <v>63.696393099587716</v>
      </c>
      <c r="Q58" s="2134">
        <f t="shared" si="25"/>
        <v>0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0.48288013530504353</v>
      </c>
      <c r="N59" s="2136">
        <f t="shared" si="25"/>
        <v>0.45122370159628089</v>
      </c>
      <c r="O59" s="2136">
        <f t="shared" si="25"/>
        <v>0.48302266986848325</v>
      </c>
      <c r="P59" s="2136">
        <f t="shared" si="25"/>
        <v>0.55893640838529057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0.13413337091806765</v>
      </c>
      <c r="N60" s="2136">
        <f t="shared" si="26"/>
        <v>0.12533991711007803</v>
      </c>
      <c r="O60" s="2136">
        <f t="shared" si="26"/>
        <v>0.13417296385235647</v>
      </c>
      <c r="P60" s="2136">
        <f t="shared" si="26"/>
        <v>0.1552601134403585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0.48288013530504353</v>
      </c>
      <c r="N61" s="2136">
        <f t="shared" si="27"/>
        <v>0.45122370159628089</v>
      </c>
      <c r="O61" s="2136">
        <f t="shared" si="27"/>
        <v>0.48302266986848325</v>
      </c>
      <c r="P61" s="2136">
        <f t="shared" si="27"/>
        <v>0.55893640838529057</v>
      </c>
      <c r="Q61" s="2136">
        <f t="shared" si="27"/>
        <v>0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0.28972808118302612</v>
      </c>
      <c r="N62" s="2513">
        <f t="shared" si="28"/>
        <v>0.27073422095776856</v>
      </c>
      <c r="O62" s="2513">
        <f t="shared" si="28"/>
        <v>0.2898136019210899</v>
      </c>
      <c r="P62" s="2513">
        <f t="shared" si="28"/>
        <v>0.33536184503117433</v>
      </c>
      <c r="Q62" s="2513">
        <f t="shared" si="28"/>
        <v>0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1871.8154304905511</v>
      </c>
      <c r="N63" s="1769">
        <f t="shared" si="29"/>
        <v>807.27868422963627</v>
      </c>
      <c r="O63" s="1769">
        <f t="shared" si="29"/>
        <v>649.72768014185544</v>
      </c>
      <c r="P63" s="1769">
        <f t="shared" si="29"/>
        <v>414.80906611905954</v>
      </c>
      <c r="Q63" s="1769">
        <f t="shared" si="29"/>
        <v>0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28.248487915345045</v>
      </c>
      <c r="N64" s="3427">
        <f>IF($N$7=0,0,N$63/$N$9)</f>
        <v>27.073422095776859</v>
      </c>
      <c r="O64" s="3427">
        <f>IF($O$7=0,0,O$63/$O$9)</f>
        <v>28.015314852372025</v>
      </c>
      <c r="P64" s="3427">
        <f>IF($P$7=0,0,P$63/$P$9)</f>
        <v>31.300438869576272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0.48288013530504353</v>
      </c>
      <c r="N65" s="2169">
        <f t="shared" si="30"/>
        <v>0.45122370159628089</v>
      </c>
      <c r="O65" s="2169">
        <f t="shared" si="30"/>
        <v>0.48302266986848325</v>
      </c>
      <c r="P65" s="2169">
        <f t="shared" si="30"/>
        <v>0.55893640838529057</v>
      </c>
      <c r="Q65" s="2169">
        <f t="shared" si="30"/>
        <v>0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0.28972808118302612</v>
      </c>
      <c r="N66" s="2171">
        <f t="shared" si="30"/>
        <v>0.27073422095776856</v>
      </c>
      <c r="O66" s="2171">
        <f t="shared" si="30"/>
        <v>0.2898136019210899</v>
      </c>
      <c r="P66" s="2171">
        <f t="shared" si="30"/>
        <v>0.33536184503117433</v>
      </c>
      <c r="Q66" s="2171">
        <f t="shared" si="30"/>
        <v>0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541.77325359259135</v>
      </c>
      <c r="N68" s="1772">
        <f t="shared" si="31"/>
        <v>243.69149495833622</v>
      </c>
      <c r="O68" s="1772">
        <f t="shared" si="31"/>
        <v>189.60376890939554</v>
      </c>
      <c r="P68" s="1772">
        <f t="shared" si="31"/>
        <v>108.47798972485957</v>
      </c>
      <c r="Q68" s="1772">
        <f t="shared" si="31"/>
        <v>0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0.13976353530266764</v>
      </c>
      <c r="N69" s="2031">
        <f t="shared" si="32"/>
        <v>0.13620993660641875</v>
      </c>
      <c r="O69" s="2031">
        <f t="shared" si="32"/>
        <v>0.14095585192822291</v>
      </c>
      <c r="P69" s="2031">
        <f t="shared" si="32"/>
        <v>0.14616917256159156</v>
      </c>
      <c r="Q69" s="2031">
        <f t="shared" si="32"/>
        <v>0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1192.2221768979598</v>
      </c>
      <c r="N70" s="1769">
        <f t="shared" si="33"/>
        <v>501.56818927129996</v>
      </c>
      <c r="O70" s="1769">
        <f t="shared" si="33"/>
        <v>411.88691123245997</v>
      </c>
      <c r="P70" s="1769">
        <f t="shared" si="33"/>
        <v>278.76707639419999</v>
      </c>
      <c r="Q70" s="1769">
        <f t="shared" si="33"/>
        <v>0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0.30756259229217126</v>
      </c>
      <c r="N71" s="2168">
        <f t="shared" si="34"/>
        <v>0.28034860747241258</v>
      </c>
      <c r="O71" s="2168">
        <f t="shared" si="34"/>
        <v>0.30620631016358846</v>
      </c>
      <c r="P71" s="2168">
        <f t="shared" si="34"/>
        <v>0.37562599562643167</v>
      </c>
      <c r="Q71" s="2168">
        <f t="shared" si="34"/>
        <v>0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D32:K32"/>
    <mergeCell ref="B55:B71"/>
    <mergeCell ref="B47:B53"/>
    <mergeCell ref="B28:B34"/>
    <mergeCell ref="B36:B45"/>
    <mergeCell ref="B1:H1"/>
    <mergeCell ref="L1:N1"/>
    <mergeCell ref="O1:R1"/>
    <mergeCell ref="I3:M3"/>
    <mergeCell ref="D28:K28"/>
    <mergeCell ref="B6:B13"/>
    <mergeCell ref="B3:B5"/>
    <mergeCell ref="B19:B27"/>
    <mergeCell ref="D19:D23"/>
    <mergeCell ref="D24:D26"/>
    <mergeCell ref="F3:G3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35&amp;9
&amp;R&amp;12&amp;F
&amp;A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9">
    <tabColor rgb="FFFFC0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3" width="8.85546875" style="7" customWidth="1"/>
    <col min="14" max="14" width="9" style="7" customWidth="1"/>
    <col min="15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1013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1885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Heu</v>
      </c>
      <c r="N5" s="246" t="str">
        <f>VLOOKUP(W5,$S$4:$T$9,2)</f>
        <v>Heu</v>
      </c>
      <c r="O5" s="246" t="str">
        <f>VLOOKUP($X$5,$S$4:$T$9,2)</f>
        <v>Heu</v>
      </c>
      <c r="P5" s="246" t="str">
        <f>VLOOKUP($Y$5,$S$4:$T$9,2)</f>
        <v>Heu</v>
      </c>
      <c r="Q5" s="255" t="str">
        <f>VLOOKUP($Z$5,$S$4:$T$9,2)</f>
        <v>Heu</v>
      </c>
      <c r="R5" s="565"/>
      <c r="S5" s="599">
        <v>2</v>
      </c>
      <c r="T5" s="601" t="s">
        <v>1120</v>
      </c>
      <c r="U5"/>
      <c r="V5" s="3311">
        <v>4</v>
      </c>
      <c r="W5" s="3312">
        <v>4</v>
      </c>
      <c r="X5" s="3312">
        <v>4</v>
      </c>
      <c r="Y5" s="3312">
        <v>4</v>
      </c>
      <c r="Z5" s="3313">
        <v>4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43">
        <v>60</v>
      </c>
      <c r="L6" s="1676"/>
      <c r="M6" s="520">
        <f>$K$6*M7/100</f>
        <v>36</v>
      </c>
      <c r="N6" s="521">
        <f>$K$6*N7/100</f>
        <v>24</v>
      </c>
      <c r="O6" s="521">
        <f>$K$6*O7/100</f>
        <v>0</v>
      </c>
      <c r="P6" s="521">
        <f>$K$6*P7/100</f>
        <v>0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366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60</v>
      </c>
      <c r="N7" s="466">
        <v>40</v>
      </c>
      <c r="O7" s="466"/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10</v>
      </c>
      <c r="L8" s="1679"/>
      <c r="M8" s="476">
        <v>10</v>
      </c>
      <c r="N8" s="412">
        <v>10</v>
      </c>
      <c r="O8" s="412">
        <v>0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5</v>
      </c>
      <c r="L9" s="1681"/>
      <c r="M9" s="488">
        <v>5</v>
      </c>
      <c r="N9" s="489">
        <v>5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86</v>
      </c>
      <c r="L10" s="1679"/>
      <c r="M10" s="443">
        <v>86</v>
      </c>
      <c r="N10" s="444">
        <v>86</v>
      </c>
      <c r="O10" s="444">
        <v>0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88</v>
      </c>
      <c r="L11" s="1682"/>
      <c r="M11" s="488">
        <v>88</v>
      </c>
      <c r="N11" s="489">
        <v>88</v>
      </c>
      <c r="O11" s="489">
        <v>0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1.8</v>
      </c>
      <c r="L12" s="1679"/>
      <c r="M12" s="644">
        <v>1.8</v>
      </c>
      <c r="N12" s="645">
        <v>1.8</v>
      </c>
      <c r="O12" s="645">
        <v>0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1.5840000000000001</v>
      </c>
      <c r="L13" s="1683"/>
      <c r="M13" s="641">
        <f>M12*M11/100</f>
        <v>1.5840000000000001</v>
      </c>
      <c r="N13" s="642">
        <f>N12*N11/100</f>
        <v>1.5840000000000001</v>
      </c>
      <c r="O13" s="642">
        <f>O12*O11/100</f>
        <v>0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B14" s="304"/>
      <c r="C14" s="207"/>
      <c r="D14" s="225" t="s">
        <v>237</v>
      </c>
      <c r="F14" s="8"/>
      <c r="J14" s="1185" t="s">
        <v>139</v>
      </c>
      <c r="K14" s="1617">
        <f t="shared" ref="K14:K19" si="0">SUM(M14:Q14)</f>
        <v>54</v>
      </c>
      <c r="L14" s="1684"/>
      <c r="M14" s="251">
        <f>M6*(100-M8)/100</f>
        <v>32.4</v>
      </c>
      <c r="N14" s="252">
        <f>N6*(100-N8)/100</f>
        <v>21.6</v>
      </c>
      <c r="O14" s="252">
        <f>O6*(100-O8)/100</f>
        <v>0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B15" s="304"/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62.790697674418603</v>
      </c>
      <c r="L15" s="1684"/>
      <c r="M15" s="251">
        <f>IF(M10=0,0,M14/M10*100)</f>
        <v>37.674418604651159</v>
      </c>
      <c r="N15" s="252">
        <f>IF(N10=0,0,N14/N10*100)</f>
        <v>25.116279069767444</v>
      </c>
      <c r="O15" s="252">
        <f>IF(O10=0,0,O14/O10*100)</f>
        <v>0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842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34.883720930232556</v>
      </c>
      <c r="L16" s="4311"/>
      <c r="M16" s="2419">
        <f>IF(V5&lt;3,0,IF(M12=0,0,M15/M12))</f>
        <v>20.930232558139533</v>
      </c>
      <c r="N16" s="2420">
        <f>IF(W5&lt;3,0,IF(N12=0,0,N15/N12))</f>
        <v>13.953488372093023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84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51.3</v>
      </c>
      <c r="L17" s="1686"/>
      <c r="M17" s="251">
        <f>M14*(100-M9)/100</f>
        <v>30.78</v>
      </c>
      <c r="N17" s="254">
        <f>N14*(100-N9)/100</f>
        <v>20.52</v>
      </c>
      <c r="O17" s="254">
        <f>O14*(100-O9)/100</f>
        <v>0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84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58.295454545454547</v>
      </c>
      <c r="L18" s="1686"/>
      <c r="M18" s="251">
        <f>IF(M11=0,0,M17/M11*100)</f>
        <v>34.977272727272727</v>
      </c>
      <c r="N18" s="254">
        <f>IF(N11=0,0,N17/N11*100)</f>
        <v>23.31818181818182</v>
      </c>
      <c r="O18" s="254">
        <f>IF(O11=0,0,O17/O11*100)</f>
        <v>0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84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32.38636363636364</v>
      </c>
      <c r="L19" s="1688"/>
      <c r="M19" s="504">
        <f>IF(M12=0,0,1/M12*M18)</f>
        <v>19.431818181818183</v>
      </c>
      <c r="N19" s="505">
        <f>IF(N12=0,0,1/N12*N18)</f>
        <v>12.954545454545457</v>
      </c>
      <c r="O19" s="505">
        <f>IF(O12=0,0,1/O12*O18)</f>
        <v>0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B20" s="304"/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</v>
      </c>
      <c r="L20" s="1689"/>
      <c r="M20" s="312">
        <v>5</v>
      </c>
      <c r="N20" s="313">
        <v>5</v>
      </c>
      <c r="O20" s="313"/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84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8.3333333333333339</v>
      </c>
      <c r="L21" s="1689"/>
      <c r="M21" s="515">
        <f>IF($G21=0,0,M20/$G21)</f>
        <v>8.3333333333333339</v>
      </c>
      <c r="N21" s="516">
        <f>IF($G21=0,0,N20/$G21)</f>
        <v>8.3333333333333339</v>
      </c>
      <c r="O21" s="516">
        <f>IF($G21=0,0,O20/$G21)</f>
        <v>0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84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2565</v>
      </c>
      <c r="L22" s="1690"/>
      <c r="M22" s="446">
        <f t="shared" ref="M22:Q23" si="1">M$17*M20*10</f>
        <v>1539</v>
      </c>
      <c r="N22" s="448">
        <f t="shared" si="1"/>
        <v>1026</v>
      </c>
      <c r="O22" s="448">
        <f t="shared" si="1"/>
        <v>0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845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4275</v>
      </c>
      <c r="L23" s="1691"/>
      <c r="M23" s="447">
        <f t="shared" si="1"/>
        <v>2565</v>
      </c>
      <c r="N23" s="449">
        <f t="shared" si="1"/>
        <v>1710</v>
      </c>
      <c r="O23" s="449">
        <f t="shared" si="1"/>
        <v>0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3034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36"/>
      <c r="I29" s="36"/>
      <c r="J29" s="36"/>
      <c r="K29" s="1695"/>
      <c r="L29" s="1893">
        <f>IF(B29=0,0,VLOOKUP(B29,Ausglleist!$C$8:$O$44,13))</f>
        <v>0</v>
      </c>
      <c r="M29" s="494">
        <f t="shared" si="2"/>
        <v>0</v>
      </c>
      <c r="N29" s="3925">
        <f t="shared" si="3"/>
        <v>0</v>
      </c>
      <c r="O29" s="582"/>
      <c r="P29" s="582"/>
      <c r="Q29" s="308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172"/>
      <c r="I30" s="172"/>
      <c r="J30" s="2382" t="s">
        <v>266</v>
      </c>
      <c r="K30" s="2118"/>
      <c r="L30" s="2119">
        <f>L31</f>
        <v>270</v>
      </c>
      <c r="M30" s="253">
        <f>$L30*M7/100</f>
        <v>162</v>
      </c>
      <c r="N30" s="254">
        <f>$L30*N7/100</f>
        <v>108</v>
      </c>
      <c r="O30" s="254">
        <f>$L30*O7/100</f>
        <v>0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36"/>
      <c r="I31" s="36"/>
      <c r="J31" s="36"/>
      <c r="K31" s="1695"/>
      <c r="L31" s="1893">
        <f>IF(B31=0,0,VLOOKUP(B31,Ausglleist!$R$8:$AA$15,10))</f>
        <v>270</v>
      </c>
      <c r="M31" s="307"/>
      <c r="N31" s="582"/>
      <c r="O31" s="582"/>
      <c r="P31" s="582"/>
      <c r="Q31" s="308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14.124000000000001</v>
      </c>
      <c r="M32" s="460">
        <f>$L32*M$7/100</f>
        <v>8.474400000000001</v>
      </c>
      <c r="N32" s="461">
        <f>$L32*N$7/100</f>
        <v>5.6496000000000004</v>
      </c>
      <c r="O32" s="461">
        <f>$L32*O$7/100</f>
        <v>0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3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309.05727999999999</v>
      </c>
      <c r="M34" s="460">
        <f>$L34*M$7/100</f>
        <v>185.43436800000001</v>
      </c>
      <c r="N34" s="461">
        <f>$L34*N$7/100</f>
        <v>123.622912</v>
      </c>
      <c r="O34" s="461">
        <f>$L34*O$7/100</f>
        <v>0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1.8</v>
      </c>
      <c r="I36" s="117">
        <v>-30</v>
      </c>
      <c r="J36" s="159"/>
      <c r="K36" s="1703">
        <f>H36*$K$14+I36</f>
        <v>67.2</v>
      </c>
      <c r="L36" s="1704">
        <f>K36*$F36</f>
        <v>115.42048000000001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0.7</v>
      </c>
      <c r="I37" s="117"/>
      <c r="J37" s="159"/>
      <c r="K37" s="1703">
        <f>H37*$K$14+I37</f>
        <v>37.799999999999997</v>
      </c>
      <c r="L37" s="1704">
        <f>K37*$F37</f>
        <v>42.732899999999994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2.5</v>
      </c>
      <c r="I38" s="117"/>
      <c r="J38" s="159"/>
      <c r="K38" s="1703">
        <f>H38*$K$14+I38</f>
        <v>135</v>
      </c>
      <c r="L38" s="1704">
        <f>K38*$F38</f>
        <v>141.9075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0.28000000000000003</v>
      </c>
      <c r="I39" s="120"/>
      <c r="J39" s="161"/>
      <c r="K39" s="1705">
        <f>H39*$K$14+I39</f>
        <v>15.120000000000001</v>
      </c>
      <c r="L39" s="1706">
        <f>K39*$F39</f>
        <v>8.9963999999999995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158.14244739741497</v>
      </c>
      <c r="M43" s="484">
        <f>SUM(Z46:Z56)</f>
        <v>82.870742995728989</v>
      </c>
      <c r="N43" s="484">
        <f>SUM(AA46:AA56)</f>
        <v>75.271704401685994</v>
      </c>
      <c r="O43" s="484">
        <f>SUM(AB46:AB56)</f>
        <v>0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4">SUM(M46:Q46)</f>
        <v>1</v>
      </c>
      <c r="K46" s="1651">
        <f t="shared" ref="K46:K56" si="5">J46*H46</f>
        <v>0.82</v>
      </c>
      <c r="L46" s="1704">
        <f t="shared" ref="L46:L56" si="6">J46*I46</f>
        <v>11.921917173599995</v>
      </c>
      <c r="M46" s="317">
        <v>0.5</v>
      </c>
      <c r="N46" s="318">
        <v>0.5</v>
      </c>
      <c r="O46" s="318"/>
      <c r="P46" s="318"/>
      <c r="Q46" s="319"/>
      <c r="R46" s="542"/>
      <c r="S46" s="542"/>
      <c r="T46" s="478">
        <f t="shared" ref="T46:T56" si="7">IF(M46&lt;&gt;0,M46*$H46,0)</f>
        <v>0.41</v>
      </c>
      <c r="U46" s="479">
        <f t="shared" ref="U46:U56" si="8">IF(N46&lt;&gt;0,N46*$H46,0)</f>
        <v>0.41</v>
      </c>
      <c r="V46" s="479">
        <f t="shared" ref="V46:V56" si="9">IF(O46&lt;&gt;0,O46*$H46,0)</f>
        <v>0</v>
      </c>
      <c r="W46" s="479">
        <f t="shared" ref="W46:W56" si="10">IF(P46&lt;&gt;0,P46*$H46,0)</f>
        <v>0</v>
      </c>
      <c r="X46" s="480">
        <f t="shared" ref="X46:X56" si="11">IF(Q46&lt;&gt;0,Q46*$H46,0)</f>
        <v>0</v>
      </c>
      <c r="Y46"/>
      <c r="Z46" s="478">
        <f t="shared" ref="Z46:Z56" si="12">IF(M46&lt;&gt;0,M46*$I46,0)</f>
        <v>5.9609585867999977</v>
      </c>
      <c r="AA46" s="479">
        <f t="shared" ref="AA46:AA56" si="13">IF(N46&lt;&gt;0,N46*$I46,0)</f>
        <v>5.9609585867999977</v>
      </c>
      <c r="AB46" s="479">
        <f t="shared" ref="AB46:AB56" si="14">IF(O46&lt;&gt;0,O46*$I46,0)</f>
        <v>0</v>
      </c>
      <c r="AC46" s="479">
        <f t="shared" ref="AC46:AC56" si="15">IF(P46&lt;&gt;0,P46*$I46,0)</f>
        <v>0</v>
      </c>
      <c r="AD46" s="480">
        <f t="shared" ref="AD46:AD56" si="16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4"/>
        <v>1</v>
      </c>
      <c r="K47" s="1651">
        <f t="shared" si="5"/>
        <v>0.48</v>
      </c>
      <c r="L47" s="1704">
        <f t="shared" si="6"/>
        <v>9.4573661503999986</v>
      </c>
      <c r="M47" s="317">
        <v>0.5</v>
      </c>
      <c r="N47" s="318">
        <v>0.5</v>
      </c>
      <c r="O47" s="318"/>
      <c r="P47" s="318"/>
      <c r="Q47" s="319"/>
      <c r="R47" s="542"/>
      <c r="S47" s="542"/>
      <c r="T47" s="478">
        <f t="shared" si="7"/>
        <v>0.24</v>
      </c>
      <c r="U47" s="479">
        <f t="shared" si="8"/>
        <v>0.24</v>
      </c>
      <c r="V47" s="479">
        <f t="shared" si="9"/>
        <v>0</v>
      </c>
      <c r="W47" s="479">
        <f t="shared" si="10"/>
        <v>0</v>
      </c>
      <c r="X47" s="480">
        <f t="shared" si="11"/>
        <v>0</v>
      </c>
      <c r="Y47"/>
      <c r="Z47" s="478">
        <f t="shared" si="12"/>
        <v>4.7286830751999993</v>
      </c>
      <c r="AA47" s="479">
        <f t="shared" si="13"/>
        <v>4.7286830751999993</v>
      </c>
      <c r="AB47" s="479">
        <f t="shared" si="14"/>
        <v>0</v>
      </c>
      <c r="AC47" s="479">
        <f t="shared" si="15"/>
        <v>0</v>
      </c>
      <c r="AD47" s="480">
        <f t="shared" si="16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2</v>
      </c>
      <c r="K48" s="1651">
        <f t="shared" si="5"/>
        <v>0.74</v>
      </c>
      <c r="L48" s="1704">
        <f t="shared" si="6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7"/>
        <v>0.37</v>
      </c>
      <c r="U48" s="479">
        <f t="shared" si="8"/>
        <v>0.37</v>
      </c>
      <c r="V48" s="479">
        <f t="shared" si="9"/>
        <v>0</v>
      </c>
      <c r="W48" s="479">
        <f t="shared" si="10"/>
        <v>0</v>
      </c>
      <c r="X48" s="480">
        <f t="shared" si="11"/>
        <v>0</v>
      </c>
      <c r="Y48"/>
      <c r="Z48" s="478">
        <f t="shared" si="12"/>
        <v>5.4505114075999996</v>
      </c>
      <c r="AA48" s="479">
        <f t="shared" si="13"/>
        <v>5.4505114075999996</v>
      </c>
      <c r="AB48" s="479">
        <f t="shared" si="14"/>
        <v>0</v>
      </c>
      <c r="AC48" s="479">
        <f t="shared" si="15"/>
        <v>0</v>
      </c>
      <c r="AD48" s="480">
        <f t="shared" si="16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27</v>
      </c>
      <c r="C49" s="104"/>
      <c r="D49" s="137"/>
      <c r="E49" s="8"/>
      <c r="F49" s="8"/>
      <c r="G49" s="468" t="str">
        <f>IF($B49=0,0,VLOOKUP($B49,Arbeitsgänge!$B$27:$T$80,7))</f>
        <v>83 Kw</v>
      </c>
      <c r="H49" s="507">
        <f>IF($B49=0,0,VLOOKUP($B49,Arbeitsgänge!$B$27:$O$79,12))</f>
        <v>0.54</v>
      </c>
      <c r="I49" s="469">
        <f>IF($B49=0,0,VLOOKUP($B49,Arbeitsgänge!$B$27:$T$80,14))</f>
        <v>17.884204344</v>
      </c>
      <c r="J49" s="593">
        <f t="shared" si="4"/>
        <v>2</v>
      </c>
      <c r="K49" s="1651">
        <f t="shared" si="5"/>
        <v>1.08</v>
      </c>
      <c r="L49" s="1704">
        <f t="shared" si="6"/>
        <v>35.768408688000001</v>
      </c>
      <c r="M49" s="317">
        <v>1</v>
      </c>
      <c r="N49" s="318">
        <v>1</v>
      </c>
      <c r="O49" s="318"/>
      <c r="P49" s="318"/>
      <c r="Q49" s="319"/>
      <c r="R49" s="542"/>
      <c r="S49" s="542"/>
      <c r="T49" s="478">
        <f t="shared" si="7"/>
        <v>0.54</v>
      </c>
      <c r="U49" s="479">
        <f t="shared" si="8"/>
        <v>0.54</v>
      </c>
      <c r="V49" s="479">
        <f t="shared" si="9"/>
        <v>0</v>
      </c>
      <c r="W49" s="479">
        <f t="shared" si="10"/>
        <v>0</v>
      </c>
      <c r="X49" s="480">
        <f t="shared" si="11"/>
        <v>0</v>
      </c>
      <c r="Y49"/>
      <c r="Z49" s="478">
        <f t="shared" si="12"/>
        <v>17.884204344</v>
      </c>
      <c r="AA49" s="479">
        <f t="shared" si="13"/>
        <v>17.884204344</v>
      </c>
      <c r="AB49" s="479">
        <f t="shared" si="14"/>
        <v>0</v>
      </c>
      <c r="AC49" s="479">
        <f t="shared" si="15"/>
        <v>0</v>
      </c>
      <c r="AD49" s="480">
        <f t="shared" si="16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4"/>
        <v>4</v>
      </c>
      <c r="K50" s="1651">
        <f t="shared" si="5"/>
        <v>1.4</v>
      </c>
      <c r="L50" s="1704">
        <f t="shared" si="6"/>
        <v>34.310301871999997</v>
      </c>
      <c r="M50" s="317">
        <v>2</v>
      </c>
      <c r="N50" s="318">
        <v>2</v>
      </c>
      <c r="O50" s="318"/>
      <c r="P50" s="318"/>
      <c r="Q50" s="319"/>
      <c r="R50" s="542"/>
      <c r="S50" s="542"/>
      <c r="T50" s="478">
        <f t="shared" si="7"/>
        <v>0.7</v>
      </c>
      <c r="U50" s="479">
        <f t="shared" si="8"/>
        <v>0.7</v>
      </c>
      <c r="V50" s="479">
        <f t="shared" si="9"/>
        <v>0</v>
      </c>
      <c r="W50" s="479">
        <f t="shared" si="10"/>
        <v>0</v>
      </c>
      <c r="X50" s="480">
        <f t="shared" si="11"/>
        <v>0</v>
      </c>
      <c r="Y50"/>
      <c r="Z50" s="478">
        <f t="shared" si="12"/>
        <v>17.155150935999998</v>
      </c>
      <c r="AA50" s="479">
        <f t="shared" si="13"/>
        <v>17.155150935999998</v>
      </c>
      <c r="AB50" s="479">
        <f t="shared" si="14"/>
        <v>0</v>
      </c>
      <c r="AC50" s="479">
        <f t="shared" si="15"/>
        <v>0</v>
      </c>
      <c r="AD50" s="480">
        <f t="shared" si="16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4"/>
        <v>2</v>
      </c>
      <c r="K51" s="1651">
        <f t="shared" si="5"/>
        <v>0.52</v>
      </c>
      <c r="L51" s="1704">
        <f t="shared" si="6"/>
        <v>17.788237728000002</v>
      </c>
      <c r="M51" s="317">
        <v>1</v>
      </c>
      <c r="N51" s="318">
        <v>1</v>
      </c>
      <c r="O51" s="318"/>
      <c r="P51" s="318"/>
      <c r="Q51" s="319"/>
      <c r="R51" s="542"/>
      <c r="S51" s="542"/>
      <c r="T51" s="478">
        <f t="shared" si="7"/>
        <v>0.26</v>
      </c>
      <c r="U51" s="479">
        <f t="shared" si="8"/>
        <v>0.26</v>
      </c>
      <c r="V51" s="479">
        <f t="shared" si="9"/>
        <v>0</v>
      </c>
      <c r="W51" s="479">
        <f t="shared" si="10"/>
        <v>0</v>
      </c>
      <c r="X51" s="480">
        <f t="shared" si="11"/>
        <v>0</v>
      </c>
      <c r="Y51"/>
      <c r="Z51" s="478">
        <f t="shared" si="12"/>
        <v>8.8941188640000011</v>
      </c>
      <c r="AA51" s="479">
        <f t="shared" si="13"/>
        <v>8.8941188640000011</v>
      </c>
      <c r="AB51" s="479">
        <f t="shared" si="14"/>
        <v>0</v>
      </c>
      <c r="AC51" s="479">
        <f t="shared" si="15"/>
        <v>0</v>
      </c>
      <c r="AD51" s="480">
        <f t="shared" si="16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40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1.1399999999999999</v>
      </c>
      <c r="I52" s="469">
        <f>IF($B52=0,0,VLOOKUP($B52,Arbeitsgänge!$B$27:$T$80,14))</f>
        <v>32.070757325599992</v>
      </c>
      <c r="J52" s="593">
        <f t="shared" si="4"/>
        <v>1.1847301448003509</v>
      </c>
      <c r="K52" s="1651">
        <f t="shared" si="5"/>
        <v>1.3505923650723999</v>
      </c>
      <c r="L52" s="1704">
        <f t="shared" si="6"/>
        <v>37.995192970214994</v>
      </c>
      <c r="M52" s="317">
        <f>M15/53</f>
        <v>0.71083808688021055</v>
      </c>
      <c r="N52" s="318">
        <f>N15/53</f>
        <v>0.47389205792014044</v>
      </c>
      <c r="O52" s="318">
        <f>O15/53</f>
        <v>0</v>
      </c>
      <c r="P52" s="318">
        <f>P15/53</f>
        <v>0</v>
      </c>
      <c r="Q52" s="319">
        <f>Q15/53</f>
        <v>0</v>
      </c>
      <c r="R52" s="542"/>
      <c r="S52" s="542"/>
      <c r="T52" s="478">
        <f t="shared" si="7"/>
        <v>0.81035541904344</v>
      </c>
      <c r="U52" s="479">
        <f t="shared" si="8"/>
        <v>0.54023694602896011</v>
      </c>
      <c r="V52" s="479">
        <f t="shared" si="9"/>
        <v>0</v>
      </c>
      <c r="W52" s="479">
        <f t="shared" si="10"/>
        <v>0</v>
      </c>
      <c r="X52" s="480">
        <f t="shared" si="11"/>
        <v>0</v>
      </c>
      <c r="Y52"/>
      <c r="Z52" s="478">
        <f t="shared" si="12"/>
        <v>22.797115782128994</v>
      </c>
      <c r="AA52" s="479">
        <f t="shared" si="13"/>
        <v>15.198077188086</v>
      </c>
      <c r="AB52" s="479">
        <f t="shared" si="14"/>
        <v>0</v>
      </c>
      <c r="AC52" s="479">
        <f t="shared" si="15"/>
        <v>0</v>
      </c>
      <c r="AD52" s="480">
        <f t="shared" si="16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8"/>
        <v>0</v>
      </c>
      <c r="V53" s="479">
        <f t="shared" si="9"/>
        <v>0</v>
      </c>
      <c r="W53" s="479">
        <f t="shared" si="10"/>
        <v>0</v>
      </c>
      <c r="X53" s="480">
        <f t="shared" si="11"/>
        <v>0</v>
      </c>
      <c r="Y53"/>
      <c r="Z53" s="478">
        <f t="shared" si="12"/>
        <v>0</v>
      </c>
      <c r="AA53" s="479">
        <f t="shared" si="13"/>
        <v>0</v>
      </c>
      <c r="AB53" s="479">
        <f t="shared" si="14"/>
        <v>0</v>
      </c>
      <c r="AC53" s="479">
        <f t="shared" si="15"/>
        <v>0</v>
      </c>
      <c r="AD53" s="480">
        <f t="shared" si="16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8"/>
        <v>0</v>
      </c>
      <c r="V54" s="479">
        <f t="shared" si="9"/>
        <v>0</v>
      </c>
      <c r="W54" s="479">
        <f t="shared" si="10"/>
        <v>0</v>
      </c>
      <c r="X54" s="480">
        <f t="shared" si="11"/>
        <v>0</v>
      </c>
      <c r="Y54"/>
      <c r="Z54" s="478">
        <f t="shared" si="12"/>
        <v>0</v>
      </c>
      <c r="AA54" s="479">
        <f t="shared" si="13"/>
        <v>0</v>
      </c>
      <c r="AB54" s="479">
        <f t="shared" si="14"/>
        <v>0</v>
      </c>
      <c r="AC54" s="479">
        <f t="shared" si="15"/>
        <v>0</v>
      </c>
      <c r="AD54" s="480">
        <f t="shared" si="16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8"/>
        <v>0</v>
      </c>
      <c r="V55" s="479">
        <f t="shared" si="9"/>
        <v>0</v>
      </c>
      <c r="W55" s="479">
        <f t="shared" si="10"/>
        <v>0</v>
      </c>
      <c r="X55" s="480">
        <f t="shared" si="11"/>
        <v>0</v>
      </c>
      <c r="Y55"/>
      <c r="Z55" s="478">
        <f t="shared" si="12"/>
        <v>0</v>
      </c>
      <c r="AA55" s="479">
        <f t="shared" si="13"/>
        <v>0</v>
      </c>
      <c r="AB55" s="479">
        <f t="shared" si="14"/>
        <v>0</v>
      </c>
      <c r="AC55" s="479">
        <f t="shared" si="15"/>
        <v>0</v>
      </c>
      <c r="AD55" s="480">
        <f t="shared" si="16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 t="shared" si="7"/>
        <v>0</v>
      </c>
      <c r="U56" s="482">
        <f t="shared" si="8"/>
        <v>0</v>
      </c>
      <c r="V56" s="482">
        <f t="shared" si="9"/>
        <v>0</v>
      </c>
      <c r="W56" s="482">
        <f t="shared" si="10"/>
        <v>0</v>
      </c>
      <c r="X56" s="483">
        <f t="shared" si="11"/>
        <v>0</v>
      </c>
      <c r="Y56"/>
      <c r="Z56" s="481">
        <f t="shared" si="12"/>
        <v>0</v>
      </c>
      <c r="AA56" s="482">
        <f t="shared" si="13"/>
        <v>0</v>
      </c>
      <c r="AB56" s="482">
        <f t="shared" si="14"/>
        <v>0</v>
      </c>
      <c r="AC56" s="482">
        <f t="shared" si="15"/>
        <v>0</v>
      </c>
      <c r="AD56" s="483">
        <f t="shared" si="16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6.3905923650723988</v>
      </c>
      <c r="L57" s="1716"/>
      <c r="M57" s="278">
        <f>SUM(T46:T56)</f>
        <v>3.3303554190434395</v>
      </c>
      <c r="N57" s="508">
        <f>SUM(U46:U56)</f>
        <v>3.0602369460289598</v>
      </c>
      <c r="O57" s="508">
        <f>SUM(V46:V56)</f>
        <v>0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11.503066257130319</v>
      </c>
      <c r="L58" s="1718"/>
      <c r="M58" s="270">
        <f>IF(M57+(M57*$G$58/100)&gt;M57+10,M57+10,M57+(M57*$G$58/100))</f>
        <v>5.9946397542781913</v>
      </c>
      <c r="N58" s="509">
        <f>IF(N57+(N57*$G$58/100)&gt;(N57+10),N57+10,N57+(N57*$G$58/100))</f>
        <v>5.508426502852128</v>
      </c>
      <c r="O58" s="509">
        <f>IF(O57+(O57*$G$58/100)&gt;(O57+10),O57+10,O57+(O57*$G$58/100))</f>
        <v>0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151.77688953488374</v>
      </c>
      <c r="M59" s="253">
        <f>SUM(T61:T63)</f>
        <v>91.066133720930225</v>
      </c>
      <c r="N59" s="254">
        <f>SUM(U61:U63)</f>
        <v>60.710755813953497</v>
      </c>
      <c r="O59" s="254">
        <f>SUM(V61:V63)</f>
        <v>0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1447</v>
      </c>
      <c r="E61" s="4044"/>
      <c r="F61" s="4044"/>
      <c r="G61" s="3484">
        <v>6.5</v>
      </c>
      <c r="H61" s="3448">
        <f>G61*(100+$H$59)/100</f>
        <v>7.7350000000000003</v>
      </c>
      <c r="I61" s="2616"/>
      <c r="J61" s="2617">
        <f>SUM(M61:Q61)</f>
        <v>19.622093023255815</v>
      </c>
      <c r="K61" s="2618"/>
      <c r="L61" s="2619">
        <f>J61*H61</f>
        <v>151.77688953488374</v>
      </c>
      <c r="M61" s="3111">
        <f>M15/3.2</f>
        <v>11.773255813953487</v>
      </c>
      <c r="N61" s="3088">
        <f>N15/3.2</f>
        <v>7.8488372093023262</v>
      </c>
      <c r="O61" s="3088">
        <f>O15/3.2</f>
        <v>0</v>
      </c>
      <c r="P61" s="3088">
        <f>P15/3.2</f>
        <v>0</v>
      </c>
      <c r="Q61" s="2620">
        <f>Q15/3.2</f>
        <v>0</v>
      </c>
      <c r="R61" s="542"/>
      <c r="S61" s="542"/>
      <c r="T61" s="594">
        <f>IF(M61&lt;&gt;0,M61*$H61,0)</f>
        <v>91.066133720930225</v>
      </c>
      <c r="U61" s="594">
        <f t="shared" ref="U61:X63" si="17">IF(N61&lt;&gt;0,N61*$H61,0)</f>
        <v>60.710755813953497</v>
      </c>
      <c r="V61" s="594">
        <f t="shared" si="17"/>
        <v>0</v>
      </c>
      <c r="W61" s="594">
        <f t="shared" si="17"/>
        <v>0</v>
      </c>
      <c r="X61" s="594">
        <f t="shared" si="17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7"/>
        <v>0</v>
      </c>
      <c r="V62" s="594">
        <f t="shared" si="17"/>
        <v>0</v>
      </c>
      <c r="W62" s="594">
        <f t="shared" si="17"/>
        <v>0</v>
      </c>
      <c r="X62" s="594">
        <f t="shared" si="17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7"/>
        <v>0</v>
      </c>
      <c r="V63" s="594">
        <f t="shared" si="17"/>
        <v>0</v>
      </c>
      <c r="W63" s="594">
        <f t="shared" si="17"/>
        <v>0</v>
      </c>
      <c r="X63" s="594">
        <f t="shared" si="17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1552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0.86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8">SUM(L69:L70)</f>
        <v>0</v>
      </c>
      <c r="M67" s="253">
        <f t="shared" si="18"/>
        <v>0</v>
      </c>
      <c r="N67" s="254">
        <f t="shared" si="18"/>
        <v>0</v>
      </c>
      <c r="O67" s="254">
        <f t="shared" si="18"/>
        <v>0</v>
      </c>
      <c r="P67" s="254">
        <f t="shared" si="18"/>
        <v>0</v>
      </c>
      <c r="Q67" s="257">
        <f t="shared" si="18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397"/>
      <c r="D68" s="1460" t="s">
        <v>390</v>
      </c>
      <c r="E68" s="1549"/>
      <c r="F68" s="1549"/>
      <c r="G68" s="1550"/>
      <c r="H68" s="1446" t="s">
        <v>4</v>
      </c>
      <c r="I68" s="1551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195" t="s">
        <v>552</v>
      </c>
      <c r="B69" s="937">
        <v>0</v>
      </c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9">IF(AND($B69&lt;3,V$5=1),M$7*$I69/100,IF(AND($B69=3,V$5=3),M$7*$I69/100,0))</f>
        <v>0</v>
      </c>
      <c r="N69" s="933">
        <f t="shared" si="19"/>
        <v>0</v>
      </c>
      <c r="O69" s="933">
        <f t="shared" si="19"/>
        <v>0</v>
      </c>
      <c r="P69" s="933">
        <f t="shared" si="19"/>
        <v>0</v>
      </c>
      <c r="Q69" s="934">
        <f>IF(AND($B69&lt;3,Z$5=1),Q8*$I69/100,IF(AND($B69=3,Z$5=3),Q8*$I69/100,0))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195" t="s">
        <v>552</v>
      </c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79"/>
      <c r="G70" s="1472"/>
      <c r="H70" s="932">
        <f>IF($B70=0,0,VLOOKUP($B70,'Preise-Stammdaten'!$B$61:'Preise-Stammdaten'!$N$66,6))</f>
        <v>0</v>
      </c>
      <c r="I70" s="934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9"/>
        <v>0</v>
      </c>
      <c r="N70" s="933">
        <f t="shared" si="19"/>
        <v>0</v>
      </c>
      <c r="O70" s="933">
        <f t="shared" si="19"/>
        <v>0</v>
      </c>
      <c r="P70" s="933">
        <f t="shared" si="19"/>
        <v>0</v>
      </c>
      <c r="Q70" s="934">
        <f>IF(AND($B70&lt;3,Z$5=1),Q9*$I70/100,IF(AND($B70=3,Z$5=3),Q9*$I70/100,0))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198"/>
      <c r="B71" s="1392"/>
      <c r="C71" s="1463"/>
      <c r="D71" s="1464"/>
      <c r="E71" s="1465"/>
      <c r="F71" s="1469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0">K16</f>
        <v>34.883720930232556</v>
      </c>
      <c r="L77" s="3321">
        <f t="shared" si="20"/>
        <v>0</v>
      </c>
      <c r="M77" s="3321">
        <f t="shared" si="20"/>
        <v>20.930232558139533</v>
      </c>
      <c r="N77" s="3321">
        <f t="shared" si="20"/>
        <v>13.953488372093023</v>
      </c>
      <c r="O77" s="3321">
        <f t="shared" si="20"/>
        <v>0</v>
      </c>
      <c r="P77" s="3321">
        <f t="shared" si="20"/>
        <v>0</v>
      </c>
      <c r="Q77" s="3321">
        <f t="shared" si="20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3.0156583333333336</v>
      </c>
      <c r="N78" s="3321">
        <f>IF(W$5=6,0,HLOOKUP(W$5,'Owerte-(b)'!$F$74:$J$81,'Owerte-(b)'!$A81,FALSE))</f>
        <v>3.0156583333333336</v>
      </c>
      <c r="O78" s="3321">
        <f>IF(X$5=6,0,HLOOKUP(X$5,'Owerte-(b)'!$F$74:$J$81,'Owerte-(b)'!$A81,FALSE))</f>
        <v>3.0156583333333336</v>
      </c>
      <c r="P78" s="3321">
        <f>IF(Y$5=6,0,HLOOKUP(Y$5,'Owerte-(b)'!$F$74:$J$81,'Owerte-(b)'!$A81,FALSE))</f>
        <v>3.0156583333333336</v>
      </c>
      <c r="Q78" s="3321">
        <f>IF(Z$5=6,0,HLOOKUP(Z$5,'Owerte-(b)'!$F$74:$J$81,'Owerte-(b)'!$A81,FALSE))</f>
        <v>3.0156583333333336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105.19738372093023</v>
      </c>
      <c r="L79" s="3321"/>
      <c r="M79" s="3321">
        <f>M78*M16</f>
        <v>63.11843023255814</v>
      </c>
      <c r="N79" s="3321">
        <f>N78*N16</f>
        <v>42.078953488372093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Drop Down 1">
              <controlPr defaultSize="0" print="0" autoFill="0" autoLine="0" autoPict="0">
                <anchor moveWithCells="1">
                  <from>
                    <xdr:col>12</xdr:col>
                    <xdr:colOff>114300</xdr:colOff>
                    <xdr:row>4</xdr:row>
                    <xdr:rowOff>28575</xdr:rowOff>
                  </from>
                  <to>
                    <xdr:col>12</xdr:col>
                    <xdr:colOff>514350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Drop Down 2">
              <controlPr defaultSize="0" print="0" autoFill="0" autoLine="0" autoPict="0">
                <anchor moveWithCells="1">
                  <from>
                    <xdr:col>13</xdr:col>
                    <xdr:colOff>114300</xdr:colOff>
                    <xdr:row>4</xdr:row>
                    <xdr:rowOff>57150</xdr:rowOff>
                  </from>
                  <to>
                    <xdr:col>13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Drop Down 3">
              <controlPr defaultSize="0" print="0" autoFill="0" autoLine="0" autoPict="0">
                <anchor moveWithCells="1">
                  <from>
                    <xdr:col>14</xdr:col>
                    <xdr:colOff>66675</xdr:colOff>
                    <xdr:row>4</xdr:row>
                    <xdr:rowOff>28575</xdr:rowOff>
                  </from>
                  <to>
                    <xdr:col>14</xdr:col>
                    <xdr:colOff>476250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Drop Down 4">
              <controlPr defaultSize="0" print="0" autoFill="0" autoLine="0" autoPict="0">
                <anchor moveWithCells="1">
                  <from>
                    <xdr:col>15</xdr:col>
                    <xdr:colOff>95250</xdr:colOff>
                    <xdr:row>4</xdr:row>
                    <xdr:rowOff>38100</xdr:rowOff>
                  </from>
                  <to>
                    <xdr:col>15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Drop Down 5">
              <controlPr defaultSize="0" print="0" autoFill="0" autoLine="0" autoPict="0">
                <anchor moveWithCells="1">
                  <from>
                    <xdr:col>16</xdr:col>
                    <xdr:colOff>57150</xdr:colOff>
                    <xdr:row>4</xdr:row>
                    <xdr:rowOff>38100</xdr:rowOff>
                  </from>
                  <to>
                    <xdr:col>16</xdr:col>
                    <xdr:colOff>476250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514350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514350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514350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514350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514350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514350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514350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514350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514350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514350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514350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2.28515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'11)Heu 2Nutz.-(a)'!H2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'11)Heu 2Nutz.-(a)'!K2</f>
        <v>Wiese; 2 Nutzungen (2 x Heu)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'11)Heu 2Nutz.-(a)'!H3</f>
        <v>2 Nutzungen ungünstiger Standort, eigenmechanisiert, Rundballen in LU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'11)Heu 2Nutz.-(a)'!M5</f>
        <v>Heu</v>
      </c>
      <c r="O5" s="1568" t="str">
        <f>'11)Heu 2Nutz.-(a)'!N5</f>
        <v>Heu</v>
      </c>
      <c r="P5" s="1568" t="str">
        <f>'11)Heu 2Nutz.-(a)'!O5</f>
        <v>Heu</v>
      </c>
      <c r="Q5" s="1568" t="str">
        <f>'11)Heu 2Nutz.-(a)'!P5</f>
        <v>Heu</v>
      </c>
      <c r="R5" s="1573" t="str">
        <f>'11)Heu 2Nutz.-(a)'!Q5</f>
        <v>Heu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'11)Heu 2Nutz.-(a)'!K6</f>
        <v>60</v>
      </c>
      <c r="N6" s="1821">
        <f>'11)Heu 2Nutz.-(a)'!M6</f>
        <v>36</v>
      </c>
      <c r="O6" s="1821">
        <f>'11)Heu 2Nutz.-(a)'!N6</f>
        <v>24</v>
      </c>
      <c r="P6" s="1821">
        <f>'11)Heu 2Nutz.-(a)'!O6</f>
        <v>0</v>
      </c>
      <c r="Q6" s="1821">
        <f>'11)Heu 2Nutz.-(a)'!P6</f>
        <v>0</v>
      </c>
      <c r="R6" s="1822">
        <f>'11)Heu 2Nutz.-(a)'!Q6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'11)Heu 2Nutz.-(a)'!K14</f>
        <v>54</v>
      </c>
      <c r="N7" s="452">
        <f>'11)Heu 2Nutz.-(a)'!M14</f>
        <v>32.4</v>
      </c>
      <c r="O7" s="452">
        <f>'11)Heu 2Nutz.-(a)'!N14</f>
        <v>21.6</v>
      </c>
      <c r="P7" s="452">
        <f>'11)Heu 2Nutz.-(a)'!O14</f>
        <v>0</v>
      </c>
      <c r="Q7" s="452">
        <f>'11)Heu 2Nutz.-(a)'!P14</f>
        <v>0</v>
      </c>
      <c r="R7" s="1744">
        <f>'11)Heu 2Nutz.-(a)'!Q14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'11)Heu 2Nutz.-(a)'!K15</f>
        <v>62.790697674418603</v>
      </c>
      <c r="N8" s="473">
        <f>'11)Heu 2Nutz.-(a)'!M15</f>
        <v>37.674418604651159</v>
      </c>
      <c r="O8" s="473">
        <f>'11)Heu 2Nutz.-(a)'!N15</f>
        <v>25.116279069767444</v>
      </c>
      <c r="P8" s="473">
        <f>'11)Heu 2Nutz.-(a)'!O15</f>
        <v>0</v>
      </c>
      <c r="Q8" s="473">
        <f>'11)Heu 2Nutz.-(a)'!P15</f>
        <v>0</v>
      </c>
      <c r="R8" s="1583">
        <f>'11)Heu 2Nutz.-(a)'!Q15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'11)Heu 2Nutz.-(a)'!K17</f>
        <v>51.3</v>
      </c>
      <c r="N9" s="452">
        <f>'11)Heu 2Nutz.-(a)'!M17</f>
        <v>30.78</v>
      </c>
      <c r="O9" s="452">
        <f>'11)Heu 2Nutz.-(a)'!N17</f>
        <v>20.52</v>
      </c>
      <c r="P9" s="452">
        <f>'11)Heu 2Nutz.-(a)'!O17</f>
        <v>0</v>
      </c>
      <c r="Q9" s="452">
        <f>'11)Heu 2Nutz.-(a)'!P17</f>
        <v>0</v>
      </c>
      <c r="R9" s="1744">
        <f>'11)Heu 2Nutz.-(a)'!Q17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'11)Heu 2Nutz.-(a)'!K18</f>
        <v>58.295454545454547</v>
      </c>
      <c r="N10" s="1748">
        <f>'11)Heu 2Nutz.-(a)'!M18</f>
        <v>34.977272727272727</v>
      </c>
      <c r="O10" s="1748">
        <f>'11)Heu 2Nutz.-(a)'!N18</f>
        <v>23.31818181818182</v>
      </c>
      <c r="P10" s="1748">
        <f>'11)Heu 2Nutz.-(a)'!O18</f>
        <v>0</v>
      </c>
      <c r="Q10" s="1748">
        <f>'11)Heu 2Nutz.-(a)'!P18</f>
        <v>0</v>
      </c>
      <c r="R10" s="1745">
        <f>'11)Heu 2Nutz.-(a)'!Q18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'11)Heu 2Nutz.-(a)'!K19</f>
        <v>32.38636363636364</v>
      </c>
      <c r="N11" s="2094">
        <f>'11)Heu 2Nutz.-(a)'!M19</f>
        <v>19.431818181818183</v>
      </c>
      <c r="O11" s="2094">
        <f>'11)Heu 2Nutz.-(a)'!N19</f>
        <v>12.954545454545457</v>
      </c>
      <c r="P11" s="2094">
        <f>'11)Heu 2Nutz.-(a)'!O19</f>
        <v>0</v>
      </c>
      <c r="Q11" s="2094">
        <f>'11)Heu 2Nutz.-(a)'!P19</f>
        <v>0</v>
      </c>
      <c r="R11" s="2078">
        <f>'11)Heu 2Nutz.-(a)'!Q19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'11)Heu 2Nutz.-(a)'!K22</f>
        <v>2565</v>
      </c>
      <c r="N12" s="1176">
        <f>'11)Heu 2Nutz.-(a)'!M22</f>
        <v>1539</v>
      </c>
      <c r="O12" s="1176">
        <f>'11)Heu 2Nutz.-(a)'!N22</f>
        <v>1026</v>
      </c>
      <c r="P12" s="1176">
        <f>'11)Heu 2Nutz.-(a)'!O22</f>
        <v>0</v>
      </c>
      <c r="Q12" s="1176">
        <f>'11)Heu 2Nutz.-(a)'!P22</f>
        <v>0</v>
      </c>
      <c r="R12" s="1747">
        <f>'11)Heu 2Nutz.-(a)'!Q22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'11)Heu 2Nutz.-(a)'!K23</f>
        <v>4275</v>
      </c>
      <c r="N13" s="2065">
        <f>'11)Heu 2Nutz.-(a)'!M23</f>
        <v>2565</v>
      </c>
      <c r="O13" s="2065">
        <f>'11)Heu 2Nutz.-(a)'!N23</f>
        <v>1710</v>
      </c>
      <c r="P13" s="2065">
        <f>'11)Heu 2Nutz.-(a)'!O23</f>
        <v>0</v>
      </c>
      <c r="Q13" s="2065">
        <f>'11)Heu 2Nutz.-(a)'!P23</f>
        <v>0</v>
      </c>
      <c r="R13" s="2067">
        <f>'11)Heu 2Nutz.-(a)'!Q23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162</v>
      </c>
      <c r="O15" s="3340">
        <f t="shared" si="0"/>
        <v>108</v>
      </c>
      <c r="P15" s="3339">
        <f t="shared" si="0"/>
        <v>0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162</v>
      </c>
      <c r="O17" s="2065">
        <f t="shared" si="2"/>
        <v>108</v>
      </c>
      <c r="P17" s="3334">
        <f t="shared" si="2"/>
        <v>0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6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'11)Heu 2Nutz.-(a)'!L32</f>
        <v>14.124000000000001</v>
      </c>
      <c r="N19" s="2071">
        <f>'11)Heu 2Nutz.-(a)'!M32</f>
        <v>8.474400000000001</v>
      </c>
      <c r="O19" s="2071">
        <f>'11)Heu 2Nutz.-(a)'!N32</f>
        <v>5.6496000000000004</v>
      </c>
      <c r="P19" s="2071">
        <f>'11)Heu 2Nutz.-(a)'!O32</f>
        <v>0</v>
      </c>
      <c r="Q19" s="2071">
        <f>'11)Heu 2Nutz.-(a)'!P32</f>
        <v>0</v>
      </c>
      <c r="R19" s="2073">
        <f>'11)Heu 2Nutz.-(a)'!Q32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'11)Heu 2Nutz.-(a)'!L34</f>
        <v>309.05727999999999</v>
      </c>
      <c r="N20" s="285">
        <f>'11)Heu 2Nutz.-(a)'!M34</f>
        <v>185.43436800000001</v>
      </c>
      <c r="O20" s="285">
        <f>'11)Heu 2Nutz.-(a)'!N34</f>
        <v>123.622912</v>
      </c>
      <c r="P20" s="285">
        <f>'11)Heu 2Nutz.-(a)'!O34</f>
        <v>0</v>
      </c>
      <c r="Q20" s="285">
        <f>'11)Heu 2Nutz.-(a)'!P34</f>
        <v>0</v>
      </c>
      <c r="R20" s="1574">
        <f>'11)Heu 2Nutz.-(a)'!Q34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'11)Heu 2Nutz.-(a)'!L40</f>
        <v>0</v>
      </c>
      <c r="N21" s="285">
        <f>'11)Heu 2Nutz.-(a)'!M40</f>
        <v>0</v>
      </c>
      <c r="O21" s="285">
        <f>'11)Heu 2Nutz.-(a)'!N40</f>
        <v>0</v>
      </c>
      <c r="P21" s="285">
        <f>'11)Heu 2Nutz.-(a)'!O40</f>
        <v>0</v>
      </c>
      <c r="Q21" s="285">
        <f>'11)Heu 2Nutz.-(a)'!P40</f>
        <v>0</v>
      </c>
      <c r="R21" s="1574">
        <f>'11)Heu 2Nutz.-(a)'!Q40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'11)Heu 2Nutz.-(a)'!L67</f>
        <v>0</v>
      </c>
      <c r="N23" s="285">
        <f>'11)Heu 2Nutz.-(a)'!M67</f>
        <v>0</v>
      </c>
      <c r="O23" s="285">
        <f>'11)Heu 2Nutz.-(a)'!N67</f>
        <v>0</v>
      </c>
      <c r="P23" s="285">
        <f>'11)Heu 2Nutz.-(a)'!O67</f>
        <v>0</v>
      </c>
      <c r="Q23" s="285">
        <f>'11)Heu 2Nutz.-(a)'!P67</f>
        <v>0</v>
      </c>
      <c r="R23" s="1574">
        <f>'11)Heu 2Nutz.-(a)'!Q67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'11)Heu 2Nutz.-(a)'!L43</f>
        <v>158.14244739741497</v>
      </c>
      <c r="N24" s="285">
        <f>'11)Heu 2Nutz.-(a)'!M43</f>
        <v>82.870742995728989</v>
      </c>
      <c r="O24" s="285">
        <f>'11)Heu 2Nutz.-(a)'!N43</f>
        <v>75.271704401685994</v>
      </c>
      <c r="P24" s="285">
        <f>'11)Heu 2Nutz.-(a)'!O43</f>
        <v>0</v>
      </c>
      <c r="Q24" s="285">
        <f>'11)Heu 2Nutz.-(a)'!P43</f>
        <v>0</v>
      </c>
      <c r="R24" s="1574">
        <f>'11)Heu 2Nutz.-(a)'!Q43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'11)Heu 2Nutz.-(a)'!L59</f>
        <v>151.77688953488374</v>
      </c>
      <c r="N25" s="285">
        <f>'11)Heu 2Nutz.-(a)'!M59</f>
        <v>91.066133720930225</v>
      </c>
      <c r="O25" s="285">
        <f>'11)Heu 2Nutz.-(a)'!N59</f>
        <v>60.710755813953497</v>
      </c>
      <c r="P25" s="285">
        <f>'11)Heu 2Nutz.-(a)'!O59</f>
        <v>0</v>
      </c>
      <c r="Q25" s="285">
        <f>'11)Heu 2Nutz.-(a)'!P59</f>
        <v>0</v>
      </c>
      <c r="R25" s="1574">
        <f>'11)Heu 2Nutz.-(a)'!Q59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'11)Heu 2Nutz.-(a)'!L64</f>
        <v>0</v>
      </c>
      <c r="N26" s="1979">
        <f>'11)Heu 2Nutz.-(a)'!M64</f>
        <v>0</v>
      </c>
      <c r="O26" s="1979">
        <f>'11)Heu 2Nutz.-(a)'!N64</f>
        <v>0</v>
      </c>
      <c r="P26" s="1979">
        <f>'11)Heu 2Nutz.-(a)'!O64</f>
        <v>0</v>
      </c>
      <c r="Q26" s="1979">
        <f>'11)Heu 2Nutz.-(a)'!P64</f>
        <v>0</v>
      </c>
      <c r="R26" s="1981">
        <f>'11)Heu 2Nutz.-(a)'!Q64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633.10061693229875</v>
      </c>
      <c r="N27" s="2407">
        <f t="shared" si="4"/>
        <v>367.84564471665919</v>
      </c>
      <c r="O27" s="2407">
        <f t="shared" si="4"/>
        <v>265.2549722156395</v>
      </c>
      <c r="P27" s="2407">
        <f t="shared" si="4"/>
        <v>0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-633.10061693229875</v>
      </c>
      <c r="N28" s="1777">
        <f t="shared" si="5"/>
        <v>-367.84564471665919</v>
      </c>
      <c r="O28" s="1777">
        <f t="shared" si="5"/>
        <v>-265.2549722156395</v>
      </c>
      <c r="P28" s="1777">
        <f t="shared" si="5"/>
        <v>0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-0.24682285260518469</v>
      </c>
      <c r="N29" s="1874">
        <f t="shared" si="7"/>
        <v>-0.23901601346111709</v>
      </c>
      <c r="O29" s="1874">
        <f t="shared" si="7"/>
        <v>-0.25853311132128604</v>
      </c>
      <c r="P29" s="1874">
        <f t="shared" si="7"/>
        <v>0</v>
      </c>
      <c r="Q29" s="1874">
        <f t="shared" si="7"/>
        <v>0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162</v>
      </c>
      <c r="O30" s="2097">
        <f t="shared" si="8"/>
        <v>108</v>
      </c>
      <c r="P30" s="2097">
        <f t="shared" si="8"/>
        <v>0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'11)Heu 2Nutz.-(a)'!L25</f>
        <v>0</v>
      </c>
      <c r="V30" s="3308">
        <f>'11)Heu 2Nutz.-(a)'!M25</f>
        <v>0</v>
      </c>
      <c r="W30" s="3308">
        <f>'11)Heu 2Nutz.-(a)'!N25</f>
        <v>0</v>
      </c>
      <c r="X30" s="3308">
        <f>'11)Heu 2Nutz.-(a)'!O25</f>
        <v>0</v>
      </c>
      <c r="Y30" s="3308">
        <f>'11)Heu 2Nutz.-(a)'!P25</f>
        <v>0</v>
      </c>
      <c r="Z30" s="3308">
        <f>'11)Heu 2Nutz.-(a)'!Q25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M27*'11)Heu 2Nutz.-(a)'!$L$72*'11)Heu 2Nutz.-(a)'!$Q$72/12/100</f>
        <v>3.9568788558268668</v>
      </c>
      <c r="N31" s="1979">
        <f>N27*'11)Heu 2Nutz.-(a)'!$L$72*'11)Heu 2Nutz.-(a)'!$Q$72/12/100</f>
        <v>2.2990352794791202</v>
      </c>
      <c r="O31" s="1979">
        <f>O27*'11)Heu 2Nutz.-(a)'!$L$72*'11)Heu 2Nutz.-(a)'!$Q$72/12/100</f>
        <v>1.6578435763477466</v>
      </c>
      <c r="P31" s="1979">
        <f>P27*'11)Heu 2Nutz.-(a)'!$L$72*'11)Heu 2Nutz.-(a)'!$Q$72/12/100</f>
        <v>0</v>
      </c>
      <c r="Q31" s="1979">
        <f>Q27*'11)Heu 2Nutz.-(a)'!$L$72*'11)Heu 2Nutz.-(a)'!$Q$72/12/100</f>
        <v>0</v>
      </c>
      <c r="R31" s="1981">
        <f>R27*'11)Heu 2Nutz.-(a)'!$L$72*'11)Heu 2Nutz.-(a)'!$Q$72/12/100</f>
        <v>0</v>
      </c>
      <c r="T31" s="3297" t="s">
        <v>1215</v>
      </c>
      <c r="U31" s="3308">
        <f>'11)Heu 2Nutz.-(a)'!L30</f>
        <v>270</v>
      </c>
      <c r="V31" s="3308">
        <f>'11)Heu 2Nutz.-(a)'!M30</f>
        <v>162</v>
      </c>
      <c r="W31" s="3308">
        <f>'11)Heu 2Nutz.-(a)'!N30</f>
        <v>108</v>
      </c>
      <c r="X31" s="3308">
        <f>'11)Heu 2Nutz.-(a)'!O30</f>
        <v>0</v>
      </c>
      <c r="Y31" s="3308">
        <f>'11)Heu 2Nutz.-(a)'!P30</f>
        <v>0</v>
      </c>
      <c r="Z31" s="3308">
        <f>'11)Heu 2Nutz.-(a)'!Q30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-367.05749578812561</v>
      </c>
      <c r="N32" s="1769">
        <f t="shared" si="9"/>
        <v>-208.14467999613831</v>
      </c>
      <c r="O32" s="1769">
        <f t="shared" si="9"/>
        <v>-158.91281579198724</v>
      </c>
      <c r="P32" s="1769">
        <f t="shared" si="9"/>
        <v>0</v>
      </c>
      <c r="Q32" s="1769">
        <f t="shared" si="9"/>
        <v>0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162</v>
      </c>
      <c r="W32" s="429">
        <f t="shared" si="10"/>
        <v>108</v>
      </c>
      <c r="X32" s="429">
        <f t="shared" si="10"/>
        <v>0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-0.14310233753923027</v>
      </c>
      <c r="N33" s="1581">
        <f t="shared" si="11"/>
        <v>-0.13524670565051222</v>
      </c>
      <c r="O33" s="1581">
        <f t="shared" si="11"/>
        <v>-0.15488578537230727</v>
      </c>
      <c r="P33" s="1581">
        <f t="shared" si="11"/>
        <v>0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-8.5861402523538147E-2</v>
      </c>
      <c r="N34" s="2149">
        <f t="shared" si="12"/>
        <v>-8.1148023390307328E-2</v>
      </c>
      <c r="O34" s="2149">
        <f t="shared" si="12"/>
        <v>-9.2931471223384354E-2</v>
      </c>
      <c r="P34" s="2149">
        <f t="shared" si="12"/>
        <v>0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'11)Heu 2Nutz.-(a)'!K58</f>
        <v>11.503066257130319</v>
      </c>
      <c r="N36" s="2397">
        <f>'11)Heu 2Nutz.-(a)'!M58</f>
        <v>5.9946397542781913</v>
      </c>
      <c r="O36" s="2397">
        <f>'11)Heu 2Nutz.-(a)'!N58</f>
        <v>5.508426502852128</v>
      </c>
      <c r="P36" s="2397">
        <f>'11)Heu 2Nutz.-(a)'!O58</f>
        <v>0</v>
      </c>
      <c r="Q36" s="2397">
        <f>'11)Heu 2Nutz.-(a)'!P58</f>
        <v>0</v>
      </c>
      <c r="R36" s="2398">
        <f>'11)Heu 2Nutz.-(a)'!Q58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'11)Heu 2Nutz.-(a)'!K16</f>
        <v>34.883720930232556</v>
      </c>
      <c r="N37" s="2400">
        <f>'11)Heu 2Nutz.-(a)'!M16</f>
        <v>20.930232558139533</v>
      </c>
      <c r="O37" s="2400">
        <f>'11)Heu 2Nutz.-(a)'!N16</f>
        <v>13.953488372093023</v>
      </c>
      <c r="P37" s="2400">
        <f>'11)Heu 2Nutz.-(a)'!O16</f>
        <v>0</v>
      </c>
      <c r="Q37" s="2400">
        <f>'11)Heu 2Nutz.-(a)'!P16</f>
        <v>0</v>
      </c>
      <c r="R37" s="2401">
        <f>'11)Heu 2Nutz.-(a)'!Q16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2114"/>
      <c r="I38" s="2115"/>
      <c r="J38" s="2115"/>
      <c r="K38" s="2115"/>
      <c r="L38" s="454" t="s">
        <v>372</v>
      </c>
      <c r="M38" s="2257"/>
      <c r="N38" s="1997">
        <f>'11)Heu 2Nutz.-(a)'!M78</f>
        <v>3.0156583333333336</v>
      </c>
      <c r="O38" s="1997">
        <f>'11)Heu 2Nutz.-(a)'!N78</f>
        <v>3.0156583333333336</v>
      </c>
      <c r="P38" s="1997">
        <f>'11)Heu 2Nutz.-(a)'!O78</f>
        <v>3.0156583333333336</v>
      </c>
      <c r="Q38" s="1997">
        <f>'11)Heu 2Nutz.-(a)'!P78</f>
        <v>3.0156583333333336</v>
      </c>
      <c r="R38" s="1998">
        <f>'11)Heu 2Nutz.-(a)'!Q78</f>
        <v>3.0156583333333336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201.30365949978059</v>
      </c>
      <c r="N39" s="285">
        <f t="shared" si="14"/>
        <v>104.90619569986835</v>
      </c>
      <c r="O39" s="285">
        <f t="shared" si="14"/>
        <v>96.397463799912245</v>
      </c>
      <c r="P39" s="285">
        <f t="shared" si="14"/>
        <v>0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7"/>
      <c r="I40" s="878"/>
      <c r="J40" s="878"/>
      <c r="K40" s="878"/>
      <c r="L40" s="1580" t="s">
        <v>266</v>
      </c>
      <c r="M40" s="1750">
        <f>SUM(N40:R40)</f>
        <v>105.19738372093023</v>
      </c>
      <c r="N40" s="285">
        <f>N37*N38</f>
        <v>63.11843023255814</v>
      </c>
      <c r="O40" s="285">
        <f>O37*O38</f>
        <v>42.078953488372093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'Festk-Masch-Geb'!T44-'Festk-Masch-Geb'!T30-'Festk-Masch-Geb'!T36-'Festk-Masch-Geb'!T37</f>
        <v>367.23451346801352</v>
      </c>
      <c r="N41" s="285">
        <f>N$6/$M$6*$M$41</f>
        <v>220.3407080808081</v>
      </c>
      <c r="O41" s="285">
        <f>O$6/$M$6*$M$41</f>
        <v>146.89380538720542</v>
      </c>
      <c r="P41" s="285">
        <f>P$6/$M$6*$M$41</f>
        <v>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41.411999999999999</v>
      </c>
      <c r="O42" s="285">
        <f>O$6/$M$6*$M$42</f>
        <v>27.608000000000001</v>
      </c>
      <c r="P42" s="285">
        <f>P$6/$M$6*$M$42</f>
        <v>0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54</v>
      </c>
      <c r="O43" s="285">
        <f>O$6/$M$6*$M$43</f>
        <v>36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77.28</v>
      </c>
      <c r="O44" s="1979">
        <f>O$6/$M$6*$M$44</f>
        <v>51.52000000000001</v>
      </c>
      <c r="P44" s="1979">
        <f>P$6/$M$6*$M$44</f>
        <v>0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961.55555668872421</v>
      </c>
      <c r="N45" s="1991">
        <f t="shared" si="15"/>
        <v>561.05733401323459</v>
      </c>
      <c r="O45" s="1991">
        <f t="shared" si="15"/>
        <v>400.49822267548973</v>
      </c>
      <c r="P45" s="1991">
        <f t="shared" si="15"/>
        <v>0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1598.6130524768498</v>
      </c>
      <c r="N48" s="2127">
        <f t="shared" si="17"/>
        <v>931.20201400937299</v>
      </c>
      <c r="O48" s="2041">
        <f t="shared" si="17"/>
        <v>667.41103846747706</v>
      </c>
      <c r="P48" s="2041">
        <f t="shared" si="17"/>
        <v>0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-1598.6130524768498</v>
      </c>
      <c r="N49" s="2125">
        <f t="shared" si="18"/>
        <v>-931.20201400937299</v>
      </c>
      <c r="O49" s="1772">
        <f t="shared" si="18"/>
        <v>-667.41103846747706</v>
      </c>
      <c r="P49" s="1772">
        <f t="shared" si="18"/>
        <v>0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-0.62324095613132546</v>
      </c>
      <c r="N50" s="2511">
        <f t="shared" si="19"/>
        <v>-0.60506953476892333</v>
      </c>
      <c r="O50" s="2168">
        <f t="shared" si="19"/>
        <v>-0.65049808817492893</v>
      </c>
      <c r="P50" s="2168">
        <f t="shared" si="19"/>
        <v>0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162</v>
      </c>
      <c r="O51" s="2185">
        <f t="shared" si="20"/>
        <v>108</v>
      </c>
      <c r="P51" s="2185">
        <f t="shared" si="20"/>
        <v>0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-1328.6130524768498</v>
      </c>
      <c r="N52" s="2178">
        <f t="shared" si="21"/>
        <v>-769.20201400937299</v>
      </c>
      <c r="O52" s="2081">
        <f t="shared" si="21"/>
        <v>-559.41103846747706</v>
      </c>
      <c r="P52" s="2081">
        <f t="shared" si="21"/>
        <v>0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-0.51797779823658863</v>
      </c>
      <c r="N53" s="2511">
        <f t="shared" si="22"/>
        <v>-0.4998063768741865</v>
      </c>
      <c r="O53" s="2168">
        <f t="shared" si="22"/>
        <v>-0.5452349302801921</v>
      </c>
      <c r="P53" s="2168">
        <f t="shared" si="22"/>
        <v>0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1328.6130524768498</v>
      </c>
      <c r="N55" s="2038">
        <f t="shared" si="23"/>
        <v>769.20201400937299</v>
      </c>
      <c r="O55" s="2038">
        <f t="shared" si="23"/>
        <v>559.41103846747706</v>
      </c>
      <c r="P55" s="2038">
        <f t="shared" si="23"/>
        <v>0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22.7910231224099</v>
      </c>
      <c r="N56" s="2103">
        <f t="shared" si="25"/>
        <v>21.991480582464206</v>
      </c>
      <c r="O56" s="2103">
        <f t="shared" si="25"/>
        <v>23.99033693232845</v>
      </c>
      <c r="P56" s="2103">
        <f t="shared" si="25"/>
        <v>0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25.898889911829432</v>
      </c>
      <c r="N57" s="3427">
        <f>IF($N$7=0,0,N$55/$N$9)</f>
        <v>24.990318843709321</v>
      </c>
      <c r="O57" s="3427">
        <f>IF($O$7=0,0,O$55/$O$9)</f>
        <v>27.261746514009605</v>
      </c>
      <c r="P57" s="3427">
        <f>IF($P$7=0,0,P$55/$P$9)</f>
        <v>0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41.023841620337812</v>
      </c>
      <c r="N58" s="2134">
        <f t="shared" si="26"/>
        <v>39.584665048435568</v>
      </c>
      <c r="O58" s="2134">
        <f t="shared" si="26"/>
        <v>43.182606478191204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0.51797779823658863</v>
      </c>
      <c r="N59" s="2136">
        <f t="shared" si="26"/>
        <v>0.4998063768741865</v>
      </c>
      <c r="O59" s="2136">
        <f t="shared" si="26"/>
        <v>0.5452349302801921</v>
      </c>
      <c r="P59" s="2136">
        <f t="shared" si="26"/>
        <v>0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0.14388272173238573</v>
      </c>
      <c r="N60" s="2136">
        <f t="shared" si="27"/>
        <v>0.13883510468727403</v>
      </c>
      <c r="O60" s="2136">
        <f t="shared" si="27"/>
        <v>0.15145414730005335</v>
      </c>
      <c r="P60" s="2136">
        <f t="shared" si="27"/>
        <v>0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0.51797779823658863</v>
      </c>
      <c r="N61" s="2136">
        <f t="shared" si="28"/>
        <v>0.4998063768741865</v>
      </c>
      <c r="O61" s="2136">
        <f t="shared" si="28"/>
        <v>0.5452349302801921</v>
      </c>
      <c r="P61" s="2136">
        <f t="shared" si="28"/>
        <v>0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0.31078667894195317</v>
      </c>
      <c r="N62" s="2513">
        <f t="shared" si="29"/>
        <v>0.29988382612451187</v>
      </c>
      <c r="O62" s="2513">
        <f t="shared" si="29"/>
        <v>0.32714095816811523</v>
      </c>
      <c r="P62" s="2513">
        <f t="shared" si="29"/>
        <v>0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1223.4156687559196</v>
      </c>
      <c r="N63" s="1769">
        <f t="shared" si="30"/>
        <v>706.08358377681486</v>
      </c>
      <c r="O63" s="1769">
        <f t="shared" si="30"/>
        <v>517.33208497910493</v>
      </c>
      <c r="P63" s="1769">
        <f t="shared" si="30"/>
        <v>0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23.848258650212859</v>
      </c>
      <c r="N64" s="3427">
        <f>IF($N$7=0,0,N$63/$N$9)</f>
        <v>22.939687582092748</v>
      </c>
      <c r="O64" s="3427">
        <f>IF($O$7=0,0,O$63/$O$9)</f>
        <v>25.211115252393029</v>
      </c>
      <c r="P64" s="3427">
        <f>IF($P$7=0,0,P$63/$P$9)</f>
        <v>0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0.47696517300425711</v>
      </c>
      <c r="N65" s="2169">
        <f t="shared" si="31"/>
        <v>0.45879375164185499</v>
      </c>
      <c r="O65" s="2169">
        <f t="shared" si="31"/>
        <v>0.50422230504786059</v>
      </c>
      <c r="P65" s="2169">
        <f t="shared" si="31"/>
        <v>0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0.28617910380255429</v>
      </c>
      <c r="N66" s="2171">
        <f t="shared" si="31"/>
        <v>0.27527625098511299</v>
      </c>
      <c r="O66" s="2171">
        <f t="shared" si="31"/>
        <v>0.30253338302871635</v>
      </c>
      <c r="P66" s="2171">
        <f t="shared" si="31"/>
        <v>0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327.13815885582687</v>
      </c>
      <c r="N68" s="1772">
        <f t="shared" si="32"/>
        <v>196.20780327947912</v>
      </c>
      <c r="O68" s="1772">
        <f t="shared" si="32"/>
        <v>130.93035557634775</v>
      </c>
      <c r="P68" s="1772">
        <f t="shared" si="32"/>
        <v>0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0.12753924321864596</v>
      </c>
      <c r="N69" s="2031">
        <f t="shared" si="33"/>
        <v>0.12749045047399554</v>
      </c>
      <c r="O69" s="2031">
        <f t="shared" si="33"/>
        <v>0.12761243233562158</v>
      </c>
      <c r="P69" s="2031">
        <f t="shared" si="33"/>
        <v>0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878.45750990009276</v>
      </c>
      <c r="N70" s="1769">
        <f t="shared" si="34"/>
        <v>499.18378049733565</v>
      </c>
      <c r="O70" s="1769">
        <f t="shared" si="34"/>
        <v>379.27372940275717</v>
      </c>
      <c r="P70" s="1769">
        <f t="shared" si="34"/>
        <v>0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0.34247856136455856</v>
      </c>
      <c r="N71" s="2168">
        <f t="shared" si="35"/>
        <v>0.3243559327468068</v>
      </c>
      <c r="O71" s="2168">
        <f t="shared" si="35"/>
        <v>0.3696625042911863</v>
      </c>
      <c r="P71" s="2168">
        <f t="shared" si="35"/>
        <v>0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37&amp;9
&amp;R&amp;12&amp;F
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1">
    <tabColor rgb="FFFFC0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3" width="8.85546875" style="7" customWidth="1"/>
    <col min="14" max="14" width="9" style="7" customWidth="1"/>
    <col min="15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974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1879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Heu</v>
      </c>
      <c r="N5" s="246" t="str">
        <f>VLOOKUP(W5,$S$4:$T$9,2)</f>
        <v>Heu</v>
      </c>
      <c r="O5" s="246" t="str">
        <f>VLOOKUP($X$5,$S$4:$T$9,2)</f>
        <v>Heu</v>
      </c>
      <c r="P5" s="246" t="str">
        <f>VLOOKUP($Y$5,$S$4:$T$9,2)</f>
        <v>Heu</v>
      </c>
      <c r="Q5" s="255" t="str">
        <f>VLOOKUP($Z$5,$S$4:$T$9,2)</f>
        <v>Heu</v>
      </c>
      <c r="R5" s="565"/>
      <c r="S5" s="599">
        <v>2</v>
      </c>
      <c r="T5" s="601" t="s">
        <v>1120</v>
      </c>
      <c r="U5"/>
      <c r="V5" s="3311">
        <v>4</v>
      </c>
      <c r="W5" s="3312">
        <v>4</v>
      </c>
      <c r="X5" s="3312">
        <v>4</v>
      </c>
      <c r="Y5" s="3312">
        <v>4</v>
      </c>
      <c r="Z5" s="3313">
        <v>4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43">
        <v>85</v>
      </c>
      <c r="L6" s="1676"/>
      <c r="M6" s="520">
        <f>$K$6*M7/100</f>
        <v>38.25</v>
      </c>
      <c r="N6" s="521">
        <f>$K$6*N7/100</f>
        <v>29.75</v>
      </c>
      <c r="O6" s="521">
        <f>$K$6*O7/100</f>
        <v>17</v>
      </c>
      <c r="P6" s="521">
        <f>$K$6*P7/100</f>
        <v>0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366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10</v>
      </c>
      <c r="L8" s="1679"/>
      <c r="M8" s="476">
        <v>10</v>
      </c>
      <c r="N8" s="412">
        <v>10</v>
      </c>
      <c r="O8" s="412">
        <v>10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5</v>
      </c>
      <c r="L9" s="1681"/>
      <c r="M9" s="488">
        <v>5</v>
      </c>
      <c r="N9" s="489">
        <v>5</v>
      </c>
      <c r="O9" s="489">
        <v>5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86</v>
      </c>
      <c r="L10" s="1679"/>
      <c r="M10" s="443">
        <v>86</v>
      </c>
      <c r="N10" s="444">
        <v>86</v>
      </c>
      <c r="O10" s="444">
        <v>86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88</v>
      </c>
      <c r="L11" s="1682"/>
      <c r="M11" s="488">
        <v>88</v>
      </c>
      <c r="N11" s="489">
        <v>88</v>
      </c>
      <c r="O11" s="489">
        <v>88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1.7999999999999998</v>
      </c>
      <c r="L12" s="1679"/>
      <c r="M12" s="644">
        <v>1.8</v>
      </c>
      <c r="N12" s="645">
        <v>1.8</v>
      </c>
      <c r="O12" s="645">
        <v>1.8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1.5839999999999999</v>
      </c>
      <c r="L13" s="1683"/>
      <c r="M13" s="641">
        <f>M12*M11/100</f>
        <v>1.5840000000000001</v>
      </c>
      <c r="N13" s="642">
        <f>N12*N11/100</f>
        <v>1.5840000000000001</v>
      </c>
      <c r="O13" s="642">
        <f>O12*O11/100</f>
        <v>1.5840000000000001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B14" s="304"/>
      <c r="C14" s="207"/>
      <c r="D14" s="225" t="s">
        <v>237</v>
      </c>
      <c r="F14" s="8"/>
      <c r="J14" s="1185" t="s">
        <v>139</v>
      </c>
      <c r="K14" s="1617">
        <f t="shared" ref="K14:K19" si="0">SUM(M14:Q14)</f>
        <v>76.5</v>
      </c>
      <c r="L14" s="1684"/>
      <c r="M14" s="251">
        <f>M6*(100-M8)/100</f>
        <v>34.424999999999997</v>
      </c>
      <c r="N14" s="252">
        <f>N6*(100-N8)/100</f>
        <v>26.774999999999999</v>
      </c>
      <c r="O14" s="252">
        <f>O6*(100-O8)/100</f>
        <v>15.3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B15" s="304"/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88.95348837209302</v>
      </c>
      <c r="L15" s="1684"/>
      <c r="M15" s="251">
        <f>IF(M10=0,0,M14/M10*100)</f>
        <v>40.029069767441854</v>
      </c>
      <c r="N15" s="252">
        <f>IF(N10=0,0,N14/N10*100)</f>
        <v>31.133720930232556</v>
      </c>
      <c r="O15" s="252">
        <f>IF(O10=0,0,O14/O10*100)</f>
        <v>17.790697674418606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842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49.418604651162781</v>
      </c>
      <c r="L16" s="4311"/>
      <c r="M16" s="2419">
        <f>IF(V5&lt;3,0,IF(M12=0,0,M15/M12))</f>
        <v>22.238372093023251</v>
      </c>
      <c r="N16" s="2420">
        <f>IF(W5&lt;3,0,IF(N12=0,0,N15/N12))</f>
        <v>17.296511627906977</v>
      </c>
      <c r="O16" s="2420">
        <f>IF(X5&lt;3,0,IF(O12=0,0,O15/O12))</f>
        <v>9.8837209302325579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84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72.674999999999997</v>
      </c>
      <c r="L17" s="1686"/>
      <c r="M17" s="251">
        <f>M14*(100-M9)/100</f>
        <v>32.703749999999992</v>
      </c>
      <c r="N17" s="254">
        <f>N14*(100-N9)/100</f>
        <v>25.436250000000001</v>
      </c>
      <c r="O17" s="254">
        <f>O14*(100-O9)/100</f>
        <v>14.535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84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82.585227272727266</v>
      </c>
      <c r="L18" s="1686"/>
      <c r="M18" s="251">
        <f>IF(M11=0,0,M17/M11*100)</f>
        <v>37.163352272727259</v>
      </c>
      <c r="N18" s="254">
        <f>IF(N11=0,0,N17/N11*100)</f>
        <v>28.904829545454547</v>
      </c>
      <c r="O18" s="254">
        <f>IF(O11=0,0,O17/O11*100)</f>
        <v>16.517045454545453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84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45.880681818181813</v>
      </c>
      <c r="L19" s="1688"/>
      <c r="M19" s="504">
        <f>IF(M12=0,0,1/M12*M18)</f>
        <v>20.646306818181813</v>
      </c>
      <c r="N19" s="505">
        <f>IF(N12=0,0,1/N12*N18)</f>
        <v>16.058238636363637</v>
      </c>
      <c r="O19" s="505">
        <f>IF(O12=0,0,1/O12*O18)</f>
        <v>9.1761363636363633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B20" s="304"/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5.5249999999999995</v>
      </c>
      <c r="L20" s="1689"/>
      <c r="M20" s="312">
        <v>5.6</v>
      </c>
      <c r="N20" s="313">
        <v>5.5</v>
      </c>
      <c r="O20" s="313">
        <v>5.4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84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9.2083333333333339</v>
      </c>
      <c r="L21" s="1689"/>
      <c r="M21" s="515">
        <f>IF($G21=0,0,M20/$G21)</f>
        <v>9.3333333333333339</v>
      </c>
      <c r="N21" s="516">
        <f>IF($G21=0,0,N20/$G21)</f>
        <v>9.1666666666666679</v>
      </c>
      <c r="O21" s="516">
        <f>IF($G21=0,0,O20/$G21)</f>
        <v>9.0000000000000018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84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4015.2937499999998</v>
      </c>
      <c r="L22" s="1690"/>
      <c r="M22" s="446">
        <f t="shared" ref="M22:Q23" si="1">M$17*M20*10</f>
        <v>1831.4099999999994</v>
      </c>
      <c r="N22" s="448">
        <f t="shared" si="1"/>
        <v>1398.9937500000001</v>
      </c>
      <c r="O22" s="448">
        <f t="shared" si="1"/>
        <v>784.8900000000001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845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6692.1562500000009</v>
      </c>
      <c r="L23" s="1691"/>
      <c r="M23" s="447">
        <f t="shared" si="1"/>
        <v>3052.3499999999995</v>
      </c>
      <c r="N23" s="449">
        <f t="shared" si="1"/>
        <v>2331.6562500000005</v>
      </c>
      <c r="O23" s="449">
        <f t="shared" si="1"/>
        <v>1308.1500000000003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3034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36"/>
      <c r="I29" s="36"/>
      <c r="J29" s="36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691"/>
      <c r="Q29" s="308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/>
      <c r="I30"/>
      <c r="J30" s="1185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36"/>
      <c r="I31" s="36"/>
      <c r="J31" s="36"/>
      <c r="K31" s="1695"/>
      <c r="L31" s="1893">
        <f>IF(B31=0,0,VLOOKUP(B31,Ausglleist!$R$8:$AA$15,10))</f>
        <v>270</v>
      </c>
      <c r="M31" s="307"/>
      <c r="N31" s="582"/>
      <c r="O31" s="582"/>
      <c r="P31" s="582"/>
      <c r="Q31" s="308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14.124000000000001</v>
      </c>
      <c r="M32" s="460">
        <f>$L32*M$7/100</f>
        <v>6.3558000000000003</v>
      </c>
      <c r="N32" s="461">
        <f>$L32*N$7/100</f>
        <v>4.9434000000000005</v>
      </c>
      <c r="O32" s="461">
        <f>$L32*O$7/100</f>
        <v>2.8248000000000002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3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548.98478249999994</v>
      </c>
      <c r="M34" s="460">
        <f>$L34*M$7/100</f>
        <v>247.04315212499998</v>
      </c>
      <c r="N34" s="461">
        <f>$L34*N$7/100</f>
        <v>192.14467387499997</v>
      </c>
      <c r="O34" s="461">
        <f>$L34*O$7/100</f>
        <v>109.79695649999998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-45</v>
      </c>
      <c r="J36" s="159"/>
      <c r="K36" s="1703">
        <f>H36*$K$14+I36</f>
        <v>123.30000000000001</v>
      </c>
      <c r="L36" s="1704">
        <f>K36*$F36</f>
        <v>211.77597000000003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72.674999999999997</v>
      </c>
      <c r="L37" s="1704">
        <f>K37*$F37</f>
        <v>82.159087499999984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221.85</v>
      </c>
      <c r="L38" s="1704">
        <f>K38*$F38</f>
        <v>233.20132499999997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0.48</v>
      </c>
      <c r="I39" s="120"/>
      <c r="J39" s="161"/>
      <c r="K39" s="1705">
        <f>H39*$K$14+I39</f>
        <v>36.72</v>
      </c>
      <c r="L39" s="1706">
        <f>K39*$F39</f>
        <v>21.848399999999998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248.87669692403125</v>
      </c>
      <c r="M43" s="484">
        <f>SUM(Z46:Z56)</f>
        <v>89.238660035032055</v>
      </c>
      <c r="N43" s="484">
        <f>SUM(AA46:AA56)</f>
        <v>83.856007697584943</v>
      </c>
      <c r="O43" s="484">
        <f>SUM(AB46:AB56)</f>
        <v>75.782029191414253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0.99</v>
      </c>
      <c r="K46" s="1651">
        <f t="shared" ref="K46:K56" si="6">J46*H46</f>
        <v>0.81179999999999997</v>
      </c>
      <c r="L46" s="1704">
        <f t="shared" ref="L46:L56" si="7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X51" si="8">IF(M46&lt;&gt;0,M46*$H46,0)</f>
        <v>0.27060000000000001</v>
      </c>
      <c r="U46" s="479">
        <f t="shared" si="8"/>
        <v>0.27060000000000001</v>
      </c>
      <c r="V46" s="479">
        <f t="shared" si="8"/>
        <v>0.27060000000000001</v>
      </c>
      <c r="W46" s="479">
        <f t="shared" si="8"/>
        <v>0</v>
      </c>
      <c r="X46" s="480">
        <f t="shared" si="8"/>
        <v>0</v>
      </c>
      <c r="Y46"/>
      <c r="Z46" s="478">
        <f t="shared" ref="Z46:AD51" si="9">IF(M46&lt;&gt;0,M46*$I46,0)</f>
        <v>3.9342326672879988</v>
      </c>
      <c r="AA46" s="479">
        <f t="shared" si="9"/>
        <v>3.9342326672879988</v>
      </c>
      <c r="AB46" s="479">
        <f t="shared" si="9"/>
        <v>3.9342326672879988</v>
      </c>
      <c r="AC46" s="479">
        <f t="shared" si="9"/>
        <v>0</v>
      </c>
      <c r="AD46" s="480">
        <f t="shared" si="9"/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0.99</v>
      </c>
      <c r="K47" s="1651">
        <f t="shared" si="6"/>
        <v>0.47519999999999996</v>
      </c>
      <c r="L47" s="1704">
        <f t="shared" si="7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8"/>
        <v>0.15840000000000001</v>
      </c>
      <c r="U47" s="479">
        <f t="shared" si="8"/>
        <v>0.15840000000000001</v>
      </c>
      <c r="V47" s="479">
        <f t="shared" si="8"/>
        <v>0.15840000000000001</v>
      </c>
      <c r="W47" s="479">
        <f t="shared" si="8"/>
        <v>0</v>
      </c>
      <c r="X47" s="480">
        <f t="shared" si="8"/>
        <v>0</v>
      </c>
      <c r="Y47"/>
      <c r="Z47" s="478">
        <f t="shared" si="9"/>
        <v>3.1209308296319995</v>
      </c>
      <c r="AA47" s="479">
        <f t="shared" si="9"/>
        <v>3.1209308296319995</v>
      </c>
      <c r="AB47" s="479">
        <f t="shared" si="9"/>
        <v>3.1209308296319995</v>
      </c>
      <c r="AC47" s="479">
        <f t="shared" si="9"/>
        <v>0</v>
      </c>
      <c r="AD47" s="480">
        <f t="shared" si="9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3</v>
      </c>
      <c r="K48" s="1651">
        <f t="shared" si="6"/>
        <v>1.1099999999999999</v>
      </c>
      <c r="L48" s="1704">
        <f t="shared" si="7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8"/>
        <v>0.37</v>
      </c>
      <c r="U48" s="479">
        <f t="shared" si="8"/>
        <v>0.37</v>
      </c>
      <c r="V48" s="479">
        <f t="shared" si="8"/>
        <v>0.37</v>
      </c>
      <c r="W48" s="479">
        <f t="shared" si="8"/>
        <v>0</v>
      </c>
      <c r="X48" s="480">
        <f t="shared" si="8"/>
        <v>0</v>
      </c>
      <c r="Y48"/>
      <c r="Z48" s="478">
        <f t="shared" si="9"/>
        <v>5.4505114075999996</v>
      </c>
      <c r="AA48" s="479">
        <f t="shared" si="9"/>
        <v>5.4505114075999996</v>
      </c>
      <c r="AB48" s="479">
        <f t="shared" si="9"/>
        <v>5.4505114075999996</v>
      </c>
      <c r="AC48" s="479">
        <f t="shared" si="9"/>
        <v>0</v>
      </c>
      <c r="AD48" s="480">
        <f t="shared" si="9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27</v>
      </c>
      <c r="C49" s="104"/>
      <c r="D49" s="137"/>
      <c r="E49" s="8"/>
      <c r="F49" s="8"/>
      <c r="G49" s="468" t="str">
        <f>IF($B49=0,0,VLOOKUP($B49,Arbeitsgänge!$B$27:$T$80,7))</f>
        <v>83 Kw</v>
      </c>
      <c r="H49" s="507">
        <f>IF($B49=0,0,VLOOKUP($B49,Arbeitsgänge!$B$27:$O$79,12))</f>
        <v>0.54</v>
      </c>
      <c r="I49" s="469">
        <f>IF($B49=0,0,VLOOKUP($B49,Arbeitsgänge!$B$27:$T$80,14))</f>
        <v>17.884204344</v>
      </c>
      <c r="J49" s="593">
        <f t="shared" si="5"/>
        <v>3</v>
      </c>
      <c r="K49" s="1651">
        <f t="shared" si="6"/>
        <v>1.62</v>
      </c>
      <c r="L49" s="1704">
        <f t="shared" si="7"/>
        <v>53.652613032000005</v>
      </c>
      <c r="M49" s="317">
        <v>1</v>
      </c>
      <c r="N49" s="318">
        <v>1</v>
      </c>
      <c r="O49" s="318">
        <v>1</v>
      </c>
      <c r="P49" s="318"/>
      <c r="Q49" s="319"/>
      <c r="R49" s="542"/>
      <c r="S49" s="542"/>
      <c r="T49" s="478">
        <f t="shared" si="8"/>
        <v>0.54</v>
      </c>
      <c r="U49" s="479">
        <f t="shared" si="8"/>
        <v>0.54</v>
      </c>
      <c r="V49" s="479">
        <f t="shared" si="8"/>
        <v>0.54</v>
      </c>
      <c r="W49" s="479">
        <f t="shared" si="8"/>
        <v>0</v>
      </c>
      <c r="X49" s="480">
        <f t="shared" si="8"/>
        <v>0</v>
      </c>
      <c r="Y49"/>
      <c r="Z49" s="478">
        <f t="shared" si="9"/>
        <v>17.884204344</v>
      </c>
      <c r="AA49" s="479">
        <f t="shared" si="9"/>
        <v>17.884204344</v>
      </c>
      <c r="AB49" s="479">
        <f t="shared" si="9"/>
        <v>17.884204344</v>
      </c>
      <c r="AC49" s="479">
        <f t="shared" si="9"/>
        <v>0</v>
      </c>
      <c r="AD49" s="480">
        <f t="shared" si="9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5"/>
        <v>9</v>
      </c>
      <c r="K50" s="1651">
        <f t="shared" si="6"/>
        <v>3.15</v>
      </c>
      <c r="L50" s="1704">
        <f t="shared" si="7"/>
        <v>77.198179211999985</v>
      </c>
      <c r="M50" s="317">
        <v>3</v>
      </c>
      <c r="N50" s="318">
        <v>3</v>
      </c>
      <c r="O50" s="318">
        <v>3</v>
      </c>
      <c r="P50" s="318"/>
      <c r="Q50" s="319"/>
      <c r="R50" s="542"/>
      <c r="S50" s="542"/>
      <c r="T50" s="478">
        <f t="shared" si="8"/>
        <v>1.0499999999999998</v>
      </c>
      <c r="U50" s="479">
        <f t="shared" si="8"/>
        <v>1.0499999999999998</v>
      </c>
      <c r="V50" s="479">
        <f t="shared" si="8"/>
        <v>1.0499999999999998</v>
      </c>
      <c r="W50" s="479">
        <f t="shared" si="8"/>
        <v>0</v>
      </c>
      <c r="X50" s="480">
        <f t="shared" si="8"/>
        <v>0</v>
      </c>
      <c r="Y50"/>
      <c r="Z50" s="478">
        <f t="shared" si="9"/>
        <v>25.732726403999997</v>
      </c>
      <c r="AA50" s="479">
        <f t="shared" si="9"/>
        <v>25.732726403999997</v>
      </c>
      <c r="AB50" s="479">
        <f t="shared" si="9"/>
        <v>25.732726403999997</v>
      </c>
      <c r="AC50" s="479">
        <f t="shared" si="9"/>
        <v>0</v>
      </c>
      <c r="AD50" s="480">
        <f t="shared" si="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5"/>
        <v>3</v>
      </c>
      <c r="K51" s="1651">
        <f t="shared" si="6"/>
        <v>0.78</v>
      </c>
      <c r="L51" s="1704">
        <f t="shared" si="7"/>
        <v>26.682356592000005</v>
      </c>
      <c r="M51" s="317">
        <v>1</v>
      </c>
      <c r="N51" s="318">
        <v>1</v>
      </c>
      <c r="O51" s="318">
        <v>1</v>
      </c>
      <c r="P51" s="318">
        <f>P15/80</f>
        <v>0</v>
      </c>
      <c r="Q51" s="319">
        <f>Q15/80</f>
        <v>0</v>
      </c>
      <c r="R51" s="542"/>
      <c r="S51" s="542"/>
      <c r="T51" s="478">
        <f t="shared" si="8"/>
        <v>0.26</v>
      </c>
      <c r="U51" s="479">
        <f t="shared" si="8"/>
        <v>0.26</v>
      </c>
      <c r="V51" s="479">
        <f t="shared" si="8"/>
        <v>0.26</v>
      </c>
      <c r="W51" s="479">
        <f t="shared" si="8"/>
        <v>0</v>
      </c>
      <c r="X51" s="480">
        <f t="shared" si="8"/>
        <v>0</v>
      </c>
      <c r="Y51"/>
      <c r="Z51" s="478">
        <f t="shared" si="9"/>
        <v>8.8941188640000011</v>
      </c>
      <c r="AA51" s="479">
        <f t="shared" si="9"/>
        <v>8.8941188640000011</v>
      </c>
      <c r="AB51" s="479">
        <f t="shared" si="9"/>
        <v>8.8941188640000011</v>
      </c>
      <c r="AC51" s="479">
        <f t="shared" si="9"/>
        <v>0</v>
      </c>
      <c r="AD51" s="480">
        <f t="shared" si="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40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1.1399999999999999</v>
      </c>
      <c r="I52" s="469">
        <f>IF($B52=0,0,VLOOKUP($B52,Arbeitsgänge!$B$27:$T$80,14))</f>
        <v>32.070757325599992</v>
      </c>
      <c r="J52" s="593">
        <f t="shared" si="5"/>
        <v>1.6783677051338306</v>
      </c>
      <c r="K52" s="1651">
        <f t="shared" si="6"/>
        <v>1.9133391838525666</v>
      </c>
      <c r="L52" s="1704">
        <f t="shared" si="7"/>
        <v>53.826523374471243</v>
      </c>
      <c r="M52" s="317">
        <f>M15/53</f>
        <v>0.7552654673102237</v>
      </c>
      <c r="N52" s="318">
        <f>N15/53</f>
        <v>0.58742869679684073</v>
      </c>
      <c r="O52" s="318">
        <f>O15/53</f>
        <v>0.33567354102676616</v>
      </c>
      <c r="P52" s="318">
        <f>P15/53</f>
        <v>0</v>
      </c>
      <c r="Q52" s="319">
        <f>Q15/53</f>
        <v>0</v>
      </c>
      <c r="R52" s="542"/>
      <c r="S52" s="542"/>
      <c r="T52" s="478">
        <f t="shared" ref="T52:X56" si="10">IF(M52&lt;&gt;0,M52*$H52,0)</f>
        <v>0.86100263273365496</v>
      </c>
      <c r="U52" s="479">
        <f t="shared" si="10"/>
        <v>0.66966871434839836</v>
      </c>
      <c r="V52" s="479">
        <f t="shared" si="10"/>
        <v>0.38266783677051341</v>
      </c>
      <c r="W52" s="479">
        <f t="shared" si="10"/>
        <v>0</v>
      </c>
      <c r="X52" s="480">
        <f t="shared" si="10"/>
        <v>0</v>
      </c>
      <c r="Y52"/>
      <c r="Z52" s="478">
        <f t="shared" ref="Z52:AD56" si="11">IF(M52&lt;&gt;0,M52*$I52,0)</f>
        <v>24.221935518512058</v>
      </c>
      <c r="AA52" s="479">
        <f t="shared" si="11"/>
        <v>18.839283181064935</v>
      </c>
      <c r="AB52" s="479">
        <f t="shared" si="11"/>
        <v>10.765304674894251</v>
      </c>
      <c r="AC52" s="479">
        <f t="shared" si="11"/>
        <v>0</v>
      </c>
      <c r="AD52" s="480">
        <f t="shared" si="11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46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10"/>
        <v>0</v>
      </c>
      <c r="U53" s="479">
        <f t="shared" si="10"/>
        <v>0</v>
      </c>
      <c r="V53" s="479">
        <f t="shared" si="10"/>
        <v>0</v>
      </c>
      <c r="W53" s="479">
        <f t="shared" si="10"/>
        <v>0</v>
      </c>
      <c r="X53" s="480">
        <f t="shared" si="10"/>
        <v>0</v>
      </c>
      <c r="Y53"/>
      <c r="Z53" s="478">
        <f t="shared" si="11"/>
        <v>0</v>
      </c>
      <c r="AA53" s="479">
        <f t="shared" si="11"/>
        <v>0</v>
      </c>
      <c r="AB53" s="479">
        <f t="shared" si="11"/>
        <v>0</v>
      </c>
      <c r="AC53" s="479">
        <f t="shared" si="11"/>
        <v>0</v>
      </c>
      <c r="AD53" s="480">
        <f t="shared" si="11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10"/>
        <v>0</v>
      </c>
      <c r="U54" s="479">
        <f t="shared" si="10"/>
        <v>0</v>
      </c>
      <c r="V54" s="479">
        <f t="shared" si="10"/>
        <v>0</v>
      </c>
      <c r="W54" s="479">
        <f t="shared" si="10"/>
        <v>0</v>
      </c>
      <c r="X54" s="480">
        <f t="shared" si="10"/>
        <v>0</v>
      </c>
      <c r="Y54"/>
      <c r="Z54" s="478">
        <f t="shared" si="11"/>
        <v>0</v>
      </c>
      <c r="AA54" s="479">
        <f t="shared" si="11"/>
        <v>0</v>
      </c>
      <c r="AB54" s="479">
        <f t="shared" si="11"/>
        <v>0</v>
      </c>
      <c r="AC54" s="479">
        <f t="shared" si="11"/>
        <v>0</v>
      </c>
      <c r="AD54" s="480">
        <f t="shared" si="11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10"/>
        <v>0</v>
      </c>
      <c r="U55" s="479">
        <f t="shared" si="10"/>
        <v>0</v>
      </c>
      <c r="V55" s="479">
        <f t="shared" si="10"/>
        <v>0</v>
      </c>
      <c r="W55" s="479">
        <f t="shared" si="10"/>
        <v>0</v>
      </c>
      <c r="X55" s="480">
        <f t="shared" si="10"/>
        <v>0</v>
      </c>
      <c r="Y55"/>
      <c r="Z55" s="478">
        <f t="shared" si="11"/>
        <v>0</v>
      </c>
      <c r="AA55" s="479">
        <f t="shared" si="11"/>
        <v>0</v>
      </c>
      <c r="AB55" s="479">
        <f t="shared" si="11"/>
        <v>0</v>
      </c>
      <c r="AC55" s="479">
        <f t="shared" si="11"/>
        <v>0</v>
      </c>
      <c r="AD55" s="480">
        <f t="shared" si="11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5"/>
        <v>0</v>
      </c>
      <c r="K56" s="1652">
        <f t="shared" si="6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10"/>
        <v>0</v>
      </c>
      <c r="U56" s="482">
        <f t="shared" si="10"/>
        <v>0</v>
      </c>
      <c r="V56" s="482">
        <f t="shared" si="10"/>
        <v>0</v>
      </c>
      <c r="W56" s="482">
        <f t="shared" si="10"/>
        <v>0</v>
      </c>
      <c r="X56" s="483">
        <f t="shared" si="10"/>
        <v>0</v>
      </c>
      <c r="Y56"/>
      <c r="Z56" s="481">
        <f t="shared" si="11"/>
        <v>0</v>
      </c>
      <c r="AA56" s="482">
        <f t="shared" si="11"/>
        <v>0</v>
      </c>
      <c r="AB56" s="482">
        <f t="shared" si="11"/>
        <v>0</v>
      </c>
      <c r="AC56" s="482">
        <f t="shared" si="11"/>
        <v>0</v>
      </c>
      <c r="AD56" s="483">
        <f t="shared" si="11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9.8603391838525667</v>
      </c>
      <c r="L57" s="1716"/>
      <c r="M57" s="278">
        <f>SUM(T46:T56)</f>
        <v>3.5100026327336549</v>
      </c>
      <c r="N57" s="508">
        <f>SUM(U46:U56)</f>
        <v>3.3186687143483984</v>
      </c>
      <c r="O57" s="508">
        <f>SUM(V46:V56)</f>
        <v>3.0316678367705134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17.74861053093462</v>
      </c>
      <c r="L58" s="1718"/>
      <c r="M58" s="270">
        <f>IF(M57+(M57*$G$58/100)&gt;M57+10,M57+10,M57+(M57*$G$58/100))</f>
        <v>6.3180047389205791</v>
      </c>
      <c r="N58" s="509">
        <f>IF(N57+(N57*$G$58/100)&gt;(N57+10),N57+10,N57+(N57*$G$58/100))</f>
        <v>5.9736036858271166</v>
      </c>
      <c r="O58" s="509">
        <f>IF(O57+(O57*$G$58/100)&gt;(O57+10),O57+10,O57+(O57*$G$58/100))</f>
        <v>5.4570021061869243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215.0172601744186</v>
      </c>
      <c r="M59" s="253">
        <f>SUM(T61:T63)</f>
        <v>96.757767078488357</v>
      </c>
      <c r="N59" s="254">
        <f>SUM(U61:U63)</f>
        <v>75.256041061046517</v>
      </c>
      <c r="O59" s="254">
        <f>SUM(V61:V63)</f>
        <v>43.003452034883722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1447</v>
      </c>
      <c r="E61" s="1461"/>
      <c r="F61" s="1461"/>
      <c r="G61" s="3484">
        <v>6.5</v>
      </c>
      <c r="H61" s="3448">
        <f>G61*(100+$H$59)/100</f>
        <v>7.7350000000000003</v>
      </c>
      <c r="I61" s="2616"/>
      <c r="J61" s="2617">
        <f>SUM(M61:Q61)</f>
        <v>27.797965116279066</v>
      </c>
      <c r="K61" s="2618"/>
      <c r="L61" s="2619">
        <f>J61*H61</f>
        <v>215.0172601744186</v>
      </c>
      <c r="M61" s="3111">
        <f>M15/3.2</f>
        <v>12.509084302325579</v>
      </c>
      <c r="N61" s="3088">
        <f>N15/3.2</f>
        <v>9.7292877906976738</v>
      </c>
      <c r="O61" s="3088">
        <f>O15/3.2</f>
        <v>5.5595930232558137</v>
      </c>
      <c r="P61" s="3088">
        <f>P15/3.2</f>
        <v>0</v>
      </c>
      <c r="Q61" s="2620">
        <f>Q15/3.2</f>
        <v>0</v>
      </c>
      <c r="R61" s="542"/>
      <c r="S61" s="542"/>
      <c r="T61" s="594">
        <f>IF(M61&lt;&gt;0,M61*$H61,0)</f>
        <v>96.757767078488357</v>
      </c>
      <c r="U61" s="594">
        <f t="shared" ref="U61:X63" si="12">IF(N61&lt;&gt;0,N61*$H61,0)</f>
        <v>75.256041061046517</v>
      </c>
      <c r="V61" s="594">
        <f t="shared" si="12"/>
        <v>43.003452034883722</v>
      </c>
      <c r="W61" s="594">
        <f t="shared" si="12"/>
        <v>0</v>
      </c>
      <c r="X61" s="594">
        <f t="shared" si="12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2"/>
        <v>0</v>
      </c>
      <c r="V62" s="594">
        <f t="shared" si="12"/>
        <v>0</v>
      </c>
      <c r="W62" s="594">
        <f t="shared" si="12"/>
        <v>0</v>
      </c>
      <c r="X62" s="594">
        <f t="shared" si="12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2"/>
        <v>0</v>
      </c>
      <c r="V63" s="594">
        <f t="shared" si="12"/>
        <v>0</v>
      </c>
      <c r="W63" s="594">
        <f t="shared" si="12"/>
        <v>0</v>
      </c>
      <c r="X63" s="594">
        <f t="shared" si="12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3486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1552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0.86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3">SUM(L69:L70)</f>
        <v>0</v>
      </c>
      <c r="M67" s="253">
        <f t="shared" si="13"/>
        <v>0</v>
      </c>
      <c r="N67" s="254">
        <f t="shared" si="13"/>
        <v>0</v>
      </c>
      <c r="O67" s="254">
        <f t="shared" si="13"/>
        <v>0</v>
      </c>
      <c r="P67" s="254">
        <f t="shared" si="13"/>
        <v>0</v>
      </c>
      <c r="Q67" s="257">
        <f t="shared" si="13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397"/>
      <c r="D68" s="1460" t="s">
        <v>390</v>
      </c>
      <c r="E68" s="1549"/>
      <c r="F68" s="1549"/>
      <c r="G68" s="1550"/>
      <c r="H68" s="1446" t="s">
        <v>4</v>
      </c>
      <c r="I68" s="1551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195" t="s">
        <v>552</v>
      </c>
      <c r="B69" s="937">
        <v>0</v>
      </c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4">IF(AND($B69&lt;3,V$5=1),M$7*$I69/100,IF(AND($B69=3,V$5=3),M$7*$I69/100,0))</f>
        <v>0</v>
      </c>
      <c r="N69" s="933">
        <f t="shared" si="14"/>
        <v>0</v>
      </c>
      <c r="O69" s="933">
        <f t="shared" si="14"/>
        <v>0</v>
      </c>
      <c r="P69" s="933">
        <f t="shared" si="14"/>
        <v>0</v>
      </c>
      <c r="Q69" s="934">
        <f>IF(AND($B69&lt;3,Z$5=1),Q8*$I69/100,IF(AND($B69=3,Z$5=3),Q8*$I69/100,0))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195" t="s">
        <v>552</v>
      </c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79"/>
      <c r="G70" s="1472"/>
      <c r="H70" s="932">
        <f>IF($B70=0,0,VLOOKUP($B70,'Preise-Stammdaten'!$B$61:'Preise-Stammdaten'!$N$66,6))</f>
        <v>0</v>
      </c>
      <c r="I70" s="934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4"/>
        <v>0</v>
      </c>
      <c r="N70" s="933">
        <f t="shared" si="14"/>
        <v>0</v>
      </c>
      <c r="O70" s="933">
        <f t="shared" si="14"/>
        <v>0</v>
      </c>
      <c r="P70" s="933">
        <f t="shared" si="14"/>
        <v>0</v>
      </c>
      <c r="Q70" s="934">
        <f>IF(AND($B70&lt;3,Z$5=1),Q9*$I70/100,IF(AND($B70=3,Z$5=3),Q9*$I70/100,0))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198"/>
      <c r="B71" s="1392"/>
      <c r="C71" s="1463"/>
      <c r="D71" s="1464"/>
      <c r="E71" s="1465"/>
      <c r="F71" s="1469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5">K16</f>
        <v>49.418604651162781</v>
      </c>
      <c r="L77" s="3321">
        <f t="shared" si="15"/>
        <v>0</v>
      </c>
      <c r="M77" s="3321">
        <f t="shared" si="15"/>
        <v>22.238372093023251</v>
      </c>
      <c r="N77" s="3321">
        <f t="shared" si="15"/>
        <v>17.296511627906977</v>
      </c>
      <c r="O77" s="3321">
        <f t="shared" si="15"/>
        <v>9.8837209302325579</v>
      </c>
      <c r="P77" s="3321">
        <f t="shared" si="15"/>
        <v>0</v>
      </c>
      <c r="Q77" s="3321">
        <f t="shared" si="15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3.0156583333333336</v>
      </c>
      <c r="N78" s="3321">
        <f>IF(W$5=6,0,HLOOKUP(W$5,'Owerte-(b)'!$F$74:$J$81,'Owerte-(b)'!$A81,FALSE))</f>
        <v>3.0156583333333336</v>
      </c>
      <c r="O78" s="3321">
        <f>IF(X$5=6,0,HLOOKUP(X$5,'Owerte-(b)'!$F$74:$J$81,'Owerte-(b)'!$A81,FALSE))</f>
        <v>3.0156583333333336</v>
      </c>
      <c r="P78" s="3321">
        <f>IF(Y$5=6,0,HLOOKUP(Y$5,'Owerte-(b)'!$F$74:$J$81,'Owerte-(b)'!$A81,FALSE))</f>
        <v>3.0156583333333336</v>
      </c>
      <c r="Q78" s="3321">
        <f>IF(Z$5=6,0,HLOOKUP(Z$5,'Owerte-(b)'!$F$74:$J$81,'Owerte-(b)'!$A81,FALSE))</f>
        <v>3.0156583333333336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149.02962693798452</v>
      </c>
      <c r="L79" s="3321"/>
      <c r="M79" s="3321">
        <f>M78*M16</f>
        <v>67.063332122093016</v>
      </c>
      <c r="N79" s="3321">
        <f>N78*N16</f>
        <v>52.16036942829458</v>
      </c>
      <c r="O79" s="3321">
        <f>O78*O16</f>
        <v>29.805925387596901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15" orientation="portrait" useFirstPageNumber="1" horizontalDpi="300" verticalDpi="300" r:id="rId1"/>
  <headerFooter alignWithMargins="0">
    <oddFooter>&amp;L&amp;12LEL Schwäbisch Gmünd (Abtlg. II)
LAZBW Aulendorf&amp;C&amp;12 38&amp;9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13</xdr:col>
                    <xdr:colOff>590550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581025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180975</xdr:rowOff>
                  </from>
                  <to>
                    <xdr:col>5</xdr:col>
                    <xdr:colOff>581025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180975</xdr:rowOff>
                  </from>
                  <to>
                    <xdr:col>5</xdr:col>
                    <xdr:colOff>581025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581025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180975</xdr:rowOff>
                  </from>
                  <to>
                    <xdr:col>5</xdr:col>
                    <xdr:colOff>581025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581025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581025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581025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581025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180975</xdr:rowOff>
                  </from>
                  <to>
                    <xdr:col>5</xdr:col>
                    <xdr:colOff>581025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180975</xdr:rowOff>
                  </from>
                  <to>
                    <xdr:col>5</xdr:col>
                    <xdr:colOff>581025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 activeCell="B1" sqref="B1:H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2.28515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'12)Heu 3Nutz.(a)'!H2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'12)Heu 3Nutz.(a)'!K2</f>
        <v>Wiese; 3 Nutzungen (3 x Heu)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'12)Heu 3Nutz.(a)'!H3</f>
        <v>3 Nutzungen günstiger Standort, eigenmechanisiert, Runballen in Lohn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'12)Heu 3Nutz.(a)'!M5</f>
        <v>Heu</v>
      </c>
      <c r="O5" s="1568" t="str">
        <f>'12)Heu 3Nutz.(a)'!N5</f>
        <v>Heu</v>
      </c>
      <c r="P5" s="1568" t="str">
        <f>'12)Heu 3Nutz.(a)'!O5</f>
        <v>Heu</v>
      </c>
      <c r="Q5" s="1568" t="str">
        <f>'12)Heu 3Nutz.(a)'!P5</f>
        <v>Heu</v>
      </c>
      <c r="R5" s="1573" t="str">
        <f>'12)Heu 3Nutz.(a)'!Q5</f>
        <v>Heu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'12)Heu 3Nutz.(a)'!K6</f>
        <v>85</v>
      </c>
      <c r="N6" s="1821">
        <f>'12)Heu 3Nutz.(a)'!M6</f>
        <v>38.25</v>
      </c>
      <c r="O6" s="1821">
        <f>'12)Heu 3Nutz.(a)'!N6</f>
        <v>29.75</v>
      </c>
      <c r="P6" s="1821">
        <f>'12)Heu 3Nutz.(a)'!O6</f>
        <v>17</v>
      </c>
      <c r="Q6" s="1821">
        <f>'12)Heu 3Nutz.(a)'!P6</f>
        <v>0</v>
      </c>
      <c r="R6" s="1822">
        <f>'12)Heu 3Nutz.(a)'!Q6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'12)Heu 3Nutz.(a)'!K14</f>
        <v>76.5</v>
      </c>
      <c r="N7" s="452">
        <f>'12)Heu 3Nutz.(a)'!M14</f>
        <v>34.424999999999997</v>
      </c>
      <c r="O7" s="452">
        <f>'12)Heu 3Nutz.(a)'!N14</f>
        <v>26.774999999999999</v>
      </c>
      <c r="P7" s="452">
        <f>'12)Heu 3Nutz.(a)'!O14</f>
        <v>15.3</v>
      </c>
      <c r="Q7" s="452">
        <f>'12)Heu 3Nutz.(a)'!P14</f>
        <v>0</v>
      </c>
      <c r="R7" s="1744">
        <f>'12)Heu 3Nutz.(a)'!Q14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'12)Heu 3Nutz.(a)'!K15</f>
        <v>88.95348837209302</v>
      </c>
      <c r="N8" s="473">
        <f>'12)Heu 3Nutz.(a)'!M15</f>
        <v>40.029069767441854</v>
      </c>
      <c r="O8" s="473">
        <f>'12)Heu 3Nutz.(a)'!N15</f>
        <v>31.133720930232556</v>
      </c>
      <c r="P8" s="473">
        <f>'12)Heu 3Nutz.(a)'!O15</f>
        <v>17.790697674418606</v>
      </c>
      <c r="Q8" s="473">
        <f>'12)Heu 3Nutz.(a)'!P15</f>
        <v>0</v>
      </c>
      <c r="R8" s="1583">
        <f>'12)Heu 3Nutz.(a)'!Q15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'12)Heu 3Nutz.(a)'!K17</f>
        <v>72.674999999999997</v>
      </c>
      <c r="N9" s="452">
        <f>'12)Heu 3Nutz.(a)'!M17</f>
        <v>32.703749999999992</v>
      </c>
      <c r="O9" s="452">
        <f>'12)Heu 3Nutz.(a)'!N17</f>
        <v>25.436250000000001</v>
      </c>
      <c r="P9" s="452">
        <f>'12)Heu 3Nutz.(a)'!O17</f>
        <v>14.535</v>
      </c>
      <c r="Q9" s="452">
        <f>'12)Heu 3Nutz.(a)'!P17</f>
        <v>0</v>
      </c>
      <c r="R9" s="1744">
        <f>'12)Heu 3Nutz.(a)'!Q17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'12)Heu 3Nutz.(a)'!K18</f>
        <v>82.585227272727266</v>
      </c>
      <c r="N10" s="1748">
        <f>'12)Heu 3Nutz.(a)'!M18</f>
        <v>37.163352272727259</v>
      </c>
      <c r="O10" s="1748">
        <f>'12)Heu 3Nutz.(a)'!N18</f>
        <v>28.904829545454547</v>
      </c>
      <c r="P10" s="1748">
        <f>'12)Heu 3Nutz.(a)'!O18</f>
        <v>16.517045454545453</v>
      </c>
      <c r="Q10" s="1748">
        <f>'12)Heu 3Nutz.(a)'!P18</f>
        <v>0</v>
      </c>
      <c r="R10" s="1745">
        <f>'12)Heu 3Nutz.(a)'!Q18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'12)Heu 3Nutz.(a)'!K19</f>
        <v>45.880681818181813</v>
      </c>
      <c r="N11" s="2094">
        <f>'12)Heu 3Nutz.(a)'!M19</f>
        <v>20.646306818181813</v>
      </c>
      <c r="O11" s="2094">
        <f>'12)Heu 3Nutz.(a)'!N19</f>
        <v>16.058238636363637</v>
      </c>
      <c r="P11" s="2094">
        <f>'12)Heu 3Nutz.(a)'!O19</f>
        <v>9.1761363636363633</v>
      </c>
      <c r="Q11" s="2094">
        <f>'12)Heu 3Nutz.(a)'!P19</f>
        <v>0</v>
      </c>
      <c r="R11" s="2078">
        <f>'12)Heu 3Nutz.(a)'!Q19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'12)Heu 3Nutz.(a)'!K22</f>
        <v>4015.2937499999998</v>
      </c>
      <c r="N12" s="1176">
        <f>'12)Heu 3Nutz.(a)'!M22</f>
        <v>1831.4099999999994</v>
      </c>
      <c r="O12" s="1176">
        <f>'12)Heu 3Nutz.(a)'!N22</f>
        <v>1398.9937500000001</v>
      </c>
      <c r="P12" s="1176">
        <f>'12)Heu 3Nutz.(a)'!O22</f>
        <v>784.8900000000001</v>
      </c>
      <c r="Q12" s="1176">
        <f>'12)Heu 3Nutz.(a)'!P22</f>
        <v>0</v>
      </c>
      <c r="R12" s="1747">
        <f>'12)Heu 3Nutz.(a)'!Q22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'12)Heu 3Nutz.(a)'!K23</f>
        <v>6692.1562500000009</v>
      </c>
      <c r="N13" s="2065">
        <f>'12)Heu 3Nutz.(a)'!M23</f>
        <v>3052.3499999999995</v>
      </c>
      <c r="O13" s="2065">
        <f>'12)Heu 3Nutz.(a)'!N23</f>
        <v>2331.6562500000005</v>
      </c>
      <c r="P13" s="2065">
        <f>'12)Heu 3Nutz.(a)'!O23</f>
        <v>1308.1500000000003</v>
      </c>
      <c r="Q13" s="2065">
        <f>'12)Heu 3Nutz.(a)'!P23</f>
        <v>0</v>
      </c>
      <c r="R13" s="2067">
        <f>'12)Heu 3Nutz.(a)'!Q23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6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'12)Heu 3Nutz.(a)'!L32</f>
        <v>14.124000000000001</v>
      </c>
      <c r="N19" s="2071">
        <f>'12)Heu 3Nutz.(a)'!M32</f>
        <v>6.3558000000000003</v>
      </c>
      <c r="O19" s="2071">
        <f>'12)Heu 3Nutz.(a)'!N32</f>
        <v>4.9434000000000005</v>
      </c>
      <c r="P19" s="2071">
        <f>'12)Heu 3Nutz.(a)'!O32</f>
        <v>2.8248000000000002</v>
      </c>
      <c r="Q19" s="2071">
        <f>'12)Heu 3Nutz.(a)'!P32</f>
        <v>0</v>
      </c>
      <c r="R19" s="2073">
        <f>'12)Heu 3Nutz.(a)'!Q32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'12)Heu 3Nutz.(a)'!L34</f>
        <v>548.98478249999994</v>
      </c>
      <c r="N20" s="285">
        <f>'12)Heu 3Nutz.(a)'!M34</f>
        <v>247.04315212499998</v>
      </c>
      <c r="O20" s="285">
        <f>'12)Heu 3Nutz.(a)'!N34</f>
        <v>192.14467387499997</v>
      </c>
      <c r="P20" s="285">
        <f>'12)Heu 3Nutz.(a)'!O34</f>
        <v>109.79695649999998</v>
      </c>
      <c r="Q20" s="285">
        <f>'12)Heu 3Nutz.(a)'!P34</f>
        <v>0</v>
      </c>
      <c r="R20" s="1574">
        <f>'12)Heu 3Nutz.(a)'!Q34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'12)Heu 3Nutz.(a)'!L40</f>
        <v>0</v>
      </c>
      <c r="N21" s="285">
        <f>'12)Heu 3Nutz.(a)'!M40</f>
        <v>0</v>
      </c>
      <c r="O21" s="285">
        <f>'12)Heu 3Nutz.(a)'!N40</f>
        <v>0</v>
      </c>
      <c r="P21" s="285">
        <f>'12)Heu 3Nutz.(a)'!O40</f>
        <v>0</v>
      </c>
      <c r="Q21" s="285">
        <f>'12)Heu 3Nutz.(a)'!P40</f>
        <v>0</v>
      </c>
      <c r="R21" s="1574">
        <f>'12)Heu 3Nutz.(a)'!Q40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'12)Heu 3Nutz.(a)'!L67</f>
        <v>0</v>
      </c>
      <c r="N23" s="285">
        <f>'12)Heu 3Nutz.(a)'!M67</f>
        <v>0</v>
      </c>
      <c r="O23" s="285">
        <f>'12)Heu 3Nutz.(a)'!N67</f>
        <v>0</v>
      </c>
      <c r="P23" s="285">
        <f>'12)Heu 3Nutz.(a)'!O67</f>
        <v>0</v>
      </c>
      <c r="Q23" s="285">
        <f>'12)Heu 3Nutz.(a)'!P67</f>
        <v>0</v>
      </c>
      <c r="R23" s="1574">
        <f>'12)Heu 3Nutz.(a)'!Q67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'12)Heu 3Nutz.(a)'!L43</f>
        <v>248.87669692403125</v>
      </c>
      <c r="N24" s="285">
        <f>'12)Heu 3Nutz.(a)'!M43</f>
        <v>89.238660035032055</v>
      </c>
      <c r="O24" s="285">
        <f>'12)Heu 3Nutz.(a)'!N43</f>
        <v>83.856007697584943</v>
      </c>
      <c r="P24" s="285">
        <f>'12)Heu 3Nutz.(a)'!O43</f>
        <v>75.782029191414253</v>
      </c>
      <c r="Q24" s="285">
        <f>'12)Heu 3Nutz.(a)'!P43</f>
        <v>0</v>
      </c>
      <c r="R24" s="1574">
        <f>'12)Heu 3Nutz.(a)'!Q43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'12)Heu 3Nutz.(a)'!L59</f>
        <v>215.0172601744186</v>
      </c>
      <c r="N25" s="285">
        <f>'12)Heu 3Nutz.(a)'!M59</f>
        <v>96.757767078488357</v>
      </c>
      <c r="O25" s="285">
        <f>'12)Heu 3Nutz.(a)'!N59</f>
        <v>75.256041061046517</v>
      </c>
      <c r="P25" s="285">
        <f>'12)Heu 3Nutz.(a)'!O59</f>
        <v>43.003452034883722</v>
      </c>
      <c r="Q25" s="285">
        <f>'12)Heu 3Nutz.(a)'!P59</f>
        <v>0</v>
      </c>
      <c r="R25" s="1574">
        <f>'12)Heu 3Nutz.(a)'!Q59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'12)Heu 3Nutz.(a)'!L64</f>
        <v>0</v>
      </c>
      <c r="N26" s="1979">
        <f>'12)Heu 3Nutz.(a)'!M64</f>
        <v>0</v>
      </c>
      <c r="O26" s="1979">
        <f>'12)Heu 3Nutz.(a)'!N64</f>
        <v>0</v>
      </c>
      <c r="P26" s="1979">
        <f>'12)Heu 3Nutz.(a)'!O64</f>
        <v>0</v>
      </c>
      <c r="Q26" s="1979">
        <f>'12)Heu 3Nutz.(a)'!P64</f>
        <v>0</v>
      </c>
      <c r="R26" s="1981">
        <f>'12)Heu 3Nutz.(a)'!Q64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1027.0027395984498</v>
      </c>
      <c r="N27" s="2407">
        <f t="shared" si="4"/>
        <v>439.39537923852038</v>
      </c>
      <c r="O27" s="2407">
        <f t="shared" si="4"/>
        <v>356.20012263363139</v>
      </c>
      <c r="P27" s="2407">
        <f t="shared" si="4"/>
        <v>231.40723772629792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-1027.0027395984498</v>
      </c>
      <c r="N28" s="1777">
        <f t="shared" si="5"/>
        <v>-439.39537923852038</v>
      </c>
      <c r="O28" s="1777">
        <f t="shared" si="5"/>
        <v>-356.20012263363139</v>
      </c>
      <c r="P28" s="1777">
        <f t="shared" si="5"/>
        <v>-231.40723772629792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-0.25577275376140285</v>
      </c>
      <c r="N29" s="1874">
        <f t="shared" si="7"/>
        <v>-0.23992190674863659</v>
      </c>
      <c r="O29" s="1874">
        <f t="shared" si="7"/>
        <v>-0.2546116611554779</v>
      </c>
      <c r="P29" s="1874">
        <f t="shared" si="7"/>
        <v>-0.29482760351934395</v>
      </c>
      <c r="Q29" s="1874">
        <f t="shared" si="7"/>
        <v>0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121.5</v>
      </c>
      <c r="O30" s="2097">
        <f t="shared" si="8"/>
        <v>94.5</v>
      </c>
      <c r="P30" s="2097">
        <f t="shared" si="8"/>
        <v>54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'12)Heu 3Nutz.(a)'!L25</f>
        <v>0</v>
      </c>
      <c r="V30" s="3308">
        <f>'12)Heu 3Nutz.(a)'!M25</f>
        <v>0</v>
      </c>
      <c r="W30" s="3308">
        <f>'12)Heu 3Nutz.(a)'!N25</f>
        <v>0</v>
      </c>
      <c r="X30" s="3308">
        <f>'12)Heu 3Nutz.(a)'!O25</f>
        <v>0</v>
      </c>
      <c r="Y30" s="3308">
        <f>'12)Heu 3Nutz.(a)'!P25</f>
        <v>0</v>
      </c>
      <c r="Z30" s="3308">
        <f>'12)Heu 3Nutz.(a)'!Q25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M27*'12)Heu 3Nutz.(a)'!$L$72*'12)Heu 3Nutz.(a)'!$Q$72/12/100</f>
        <v>6.4187671224903111</v>
      </c>
      <c r="N31" s="1979">
        <f>N27*'12)Heu 3Nutz.(a)'!$L$72*'12)Heu 3Nutz.(a)'!$Q$72/12/100</f>
        <v>2.7462211202407518</v>
      </c>
      <c r="O31" s="1979">
        <f>O27*'12)Heu 3Nutz.(a)'!$L$72*'12)Heu 3Nutz.(a)'!$Q$72/12/100</f>
        <v>2.2262507664601956</v>
      </c>
      <c r="P31" s="1979">
        <f>P27*'12)Heu 3Nutz.(a)'!$L$72*'12)Heu 3Nutz.(a)'!$Q$72/12/100</f>
        <v>1.4462952357893621</v>
      </c>
      <c r="Q31" s="1979">
        <f>Q27*'12)Heu 3Nutz.(a)'!$L$72*'12)Heu 3Nutz.(a)'!$Q$72/12/100</f>
        <v>0</v>
      </c>
      <c r="R31" s="1981">
        <f>R27*'12)Heu 3Nutz.(a)'!$L$72*'12)Heu 3Nutz.(a)'!$Q$72/12/100</f>
        <v>0</v>
      </c>
      <c r="T31" s="3297" t="s">
        <v>1215</v>
      </c>
      <c r="U31" s="3308">
        <f>'12)Heu 3Nutz.(a)'!L30</f>
        <v>270</v>
      </c>
      <c r="V31" s="3308">
        <f>'12)Heu 3Nutz.(a)'!M30</f>
        <v>121.5</v>
      </c>
      <c r="W31" s="3308">
        <f>'12)Heu 3Nutz.(a)'!N30</f>
        <v>94.5</v>
      </c>
      <c r="X31" s="3308">
        <f>'12)Heu 3Nutz.(a)'!O30</f>
        <v>54</v>
      </c>
      <c r="Y31" s="3308">
        <f>'12)Heu 3Nutz.(a)'!P30</f>
        <v>0</v>
      </c>
      <c r="Z31" s="3308">
        <f>'12)Heu 3Nutz.(a)'!Q30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-763.4215067209401</v>
      </c>
      <c r="N32" s="1769">
        <f t="shared" si="9"/>
        <v>-320.64160035876114</v>
      </c>
      <c r="O32" s="1769">
        <f t="shared" si="9"/>
        <v>-263.92637340009156</v>
      </c>
      <c r="P32" s="1769">
        <f t="shared" si="9"/>
        <v>-178.85353296208729</v>
      </c>
      <c r="Q32" s="1769">
        <f t="shared" si="9"/>
        <v>0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121.5</v>
      </c>
      <c r="W32" s="429">
        <f t="shared" si="10"/>
        <v>94.5</v>
      </c>
      <c r="X32" s="429">
        <f t="shared" si="10"/>
        <v>54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-0.19012843250159223</v>
      </c>
      <c r="N33" s="1581">
        <f t="shared" si="11"/>
        <v>-0.17507909226156965</v>
      </c>
      <c r="O33" s="1581">
        <f t="shared" si="11"/>
        <v>-0.18865443351701289</v>
      </c>
      <c r="P33" s="1581">
        <f t="shared" si="11"/>
        <v>-0.22787082643693671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-0.11407705950095531</v>
      </c>
      <c r="N34" s="2149">
        <f t="shared" si="12"/>
        <v>-0.10504745535694177</v>
      </c>
      <c r="O34" s="2149">
        <f t="shared" si="12"/>
        <v>-0.11319266011020772</v>
      </c>
      <c r="P34" s="2149">
        <f t="shared" si="12"/>
        <v>-0.13672249586216201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'12)Heu 3Nutz.(a)'!K58</f>
        <v>17.74861053093462</v>
      </c>
      <c r="N36" s="2397">
        <f>'12)Heu 3Nutz.(a)'!M58</f>
        <v>6.3180047389205791</v>
      </c>
      <c r="O36" s="2397">
        <f>'12)Heu 3Nutz.(a)'!N58</f>
        <v>5.9736036858271166</v>
      </c>
      <c r="P36" s="2397">
        <f>'12)Heu 3Nutz.(a)'!O58</f>
        <v>5.4570021061869243</v>
      </c>
      <c r="Q36" s="2397">
        <f>'12)Heu 3Nutz.(a)'!P58</f>
        <v>0</v>
      </c>
      <c r="R36" s="2398">
        <f>'12)Heu 3Nutz.(a)'!Q58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'12)Heu 3Nutz.(a)'!K16</f>
        <v>49.418604651162781</v>
      </c>
      <c r="N37" s="2400">
        <f>'12)Heu 3Nutz.(a)'!M16</f>
        <v>22.238372093023251</v>
      </c>
      <c r="O37" s="2400">
        <f>'12)Heu 3Nutz.(a)'!N16</f>
        <v>17.296511627906977</v>
      </c>
      <c r="P37" s="2400">
        <f>'12)Heu 3Nutz.(a)'!O16</f>
        <v>9.8837209302325579</v>
      </c>
      <c r="Q37" s="2400">
        <f>'12)Heu 3Nutz.(a)'!P16</f>
        <v>0</v>
      </c>
      <c r="R37" s="2401">
        <f>'12)Heu 3Nutz.(a)'!Q16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2114"/>
      <c r="I38" s="2115"/>
      <c r="J38" s="2115"/>
      <c r="K38" s="2115"/>
      <c r="L38" s="454" t="s">
        <v>372</v>
      </c>
      <c r="M38" s="2257"/>
      <c r="N38" s="1997">
        <f>'12)Heu 3Nutz.(a)'!M78</f>
        <v>3.0156583333333336</v>
      </c>
      <c r="O38" s="1997">
        <f>'12)Heu 3Nutz.(a)'!N78</f>
        <v>3.0156583333333336</v>
      </c>
      <c r="P38" s="1997">
        <f>'12)Heu 3Nutz.(a)'!O78</f>
        <v>3.0156583333333336</v>
      </c>
      <c r="Q38" s="1997">
        <f>'12)Heu 3Nutz.(a)'!P78</f>
        <v>3.0156583333333336</v>
      </c>
      <c r="R38" s="1998">
        <f>'12)Heu 3Nutz.(a)'!Q78</f>
        <v>3.0156583333333336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310.60068429135583</v>
      </c>
      <c r="N39" s="285">
        <f t="shared" si="14"/>
        <v>110.56508293111014</v>
      </c>
      <c r="O39" s="285">
        <f t="shared" si="14"/>
        <v>104.53806450197455</v>
      </c>
      <c r="P39" s="285">
        <f t="shared" si="14"/>
        <v>95.497536858271175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7"/>
      <c r="I40" s="878"/>
      <c r="J40" s="878"/>
      <c r="K40" s="878"/>
      <c r="L40" s="1580" t="s">
        <v>266</v>
      </c>
      <c r="M40" s="1750">
        <f>SUM(N40:R40)</f>
        <v>149.02962693798452</v>
      </c>
      <c r="N40" s="285">
        <f>N37*N38</f>
        <v>67.063332122093016</v>
      </c>
      <c r="O40" s="285">
        <f>O37*O38</f>
        <v>52.16036942829458</v>
      </c>
      <c r="P40" s="285">
        <f>P37*P38</f>
        <v>29.805925387596901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'Festk-Masch-Geb'!T44-'Festk-Masch-Geb'!T30-'Festk-Masch-Geb'!T36-'Festk-Masch-Geb'!T37</f>
        <v>367.23451346801352</v>
      </c>
      <c r="N41" s="285">
        <f>N$6/$M$6*$M$41</f>
        <v>165.25553106060607</v>
      </c>
      <c r="O41" s="285">
        <f>O$6/$M$6*$M$41</f>
        <v>128.53207971380473</v>
      </c>
      <c r="P41" s="285">
        <f>P$6/$M$6*$M$41</f>
        <v>73.446902693602709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94.5</v>
      </c>
      <c r="O43" s="285">
        <f>O$6/$M$6*$M$43</f>
        <v>73.5</v>
      </c>
      <c r="P43" s="285">
        <f>P$6/$M$6*$M$43</f>
        <v>42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1234.6848246973539</v>
      </c>
      <c r="N45" s="1991">
        <f t="shared" si="15"/>
        <v>526.40294611380921</v>
      </c>
      <c r="O45" s="1991">
        <f t="shared" si="15"/>
        <v>427.96751364407385</v>
      </c>
      <c r="P45" s="1991">
        <f t="shared" si="15"/>
        <v>280.31436493947081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2268.1063314182938</v>
      </c>
      <c r="N48" s="2127">
        <f t="shared" si="17"/>
        <v>968.54454647257035</v>
      </c>
      <c r="O48" s="2041">
        <f t="shared" si="17"/>
        <v>786.39388704416547</v>
      </c>
      <c r="P48" s="2041">
        <f t="shared" si="17"/>
        <v>513.16789790155804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-2268.1063314182938</v>
      </c>
      <c r="N49" s="2125">
        <f t="shared" si="18"/>
        <v>-968.54454647257035</v>
      </c>
      <c r="O49" s="1772">
        <f t="shared" si="18"/>
        <v>-786.39388704416547</v>
      </c>
      <c r="P49" s="1772">
        <f t="shared" si="18"/>
        <v>-513.16789790155804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-0.56486684975869916</v>
      </c>
      <c r="N50" s="2511">
        <f t="shared" si="19"/>
        <v>-0.52885183900523125</v>
      </c>
      <c r="O50" s="2168">
        <f t="shared" si="19"/>
        <v>-0.56211393871070936</v>
      </c>
      <c r="P50" s="2168">
        <f t="shared" si="19"/>
        <v>-0.65380868389399527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121.5</v>
      </c>
      <c r="O51" s="2185">
        <f t="shared" si="20"/>
        <v>94.5</v>
      </c>
      <c r="P51" s="2185">
        <f t="shared" si="20"/>
        <v>54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-1998.1063314182938</v>
      </c>
      <c r="N52" s="2178">
        <f t="shared" si="21"/>
        <v>-847.04454647257035</v>
      </c>
      <c r="O52" s="2081">
        <f t="shared" si="21"/>
        <v>-691.89388704416547</v>
      </c>
      <c r="P52" s="2081">
        <f t="shared" si="21"/>
        <v>-459.16789790155804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-0.4976239487878798</v>
      </c>
      <c r="N53" s="2511">
        <f t="shared" si="22"/>
        <v>-0.46250951260098538</v>
      </c>
      <c r="O53" s="2168">
        <f t="shared" si="22"/>
        <v>-0.4945653881900226</v>
      </c>
      <c r="P53" s="2168">
        <f t="shared" si="22"/>
        <v>-0.58500923428959217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1998.1063314182938</v>
      </c>
      <c r="N55" s="2038">
        <f t="shared" si="23"/>
        <v>847.04454647257035</v>
      </c>
      <c r="O55" s="2038">
        <f t="shared" si="23"/>
        <v>691.89388704416547</v>
      </c>
      <c r="P55" s="2038">
        <f t="shared" si="23"/>
        <v>459.16789790155804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24.194476390066718</v>
      </c>
      <c r="N56" s="2103">
        <f t="shared" si="25"/>
        <v>22.792468780976559</v>
      </c>
      <c r="O56" s="2103">
        <f t="shared" si="25"/>
        <v>23.936964788397095</v>
      </c>
      <c r="P56" s="2103">
        <f t="shared" si="25"/>
        <v>27.799638813441426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27.493723170530359</v>
      </c>
      <c r="N57" s="3427">
        <f>IF($N$7=0,0,N$55/$N$9)</f>
        <v>25.900532705655177</v>
      </c>
      <c r="O57" s="3427">
        <f>IF($O$7=0,0,O$55/$O$9)</f>
        <v>27.201096350451245</v>
      </c>
      <c r="P57" s="3427">
        <f>IF($P$7=0,0,P$55/$P$9)</f>
        <v>31.590498651637979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43.55005750212009</v>
      </c>
      <c r="N58" s="2134">
        <f t="shared" si="26"/>
        <v>41.0264438057578</v>
      </c>
      <c r="O58" s="2134">
        <f t="shared" si="26"/>
        <v>43.086536619114767</v>
      </c>
      <c r="P58" s="2134">
        <f t="shared" si="26"/>
        <v>50.039349864194563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0.4976239487878798</v>
      </c>
      <c r="N59" s="2136">
        <f t="shared" si="26"/>
        <v>0.46250951260098538</v>
      </c>
      <c r="O59" s="2136">
        <f t="shared" si="26"/>
        <v>0.4945653881900226</v>
      </c>
      <c r="P59" s="2136">
        <f t="shared" si="26"/>
        <v>0.58500923428959217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0.13822887466329994</v>
      </c>
      <c r="N60" s="2136">
        <f t="shared" si="27"/>
        <v>0.12847486461138483</v>
      </c>
      <c r="O60" s="2136">
        <f t="shared" si="27"/>
        <v>0.1373792744972285</v>
      </c>
      <c r="P60" s="2136">
        <f t="shared" si="27"/>
        <v>0.16250256508044225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0.4976239487878798</v>
      </c>
      <c r="N61" s="2136">
        <f t="shared" si="28"/>
        <v>0.46250951260098538</v>
      </c>
      <c r="O61" s="2136">
        <f t="shared" si="28"/>
        <v>0.4945653881900226</v>
      </c>
      <c r="P61" s="2136">
        <f t="shared" si="28"/>
        <v>0.58500923428959217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0.29857436927272785</v>
      </c>
      <c r="N62" s="2513">
        <f t="shared" si="29"/>
        <v>0.27750570756059117</v>
      </c>
      <c r="O62" s="2513">
        <f t="shared" si="29"/>
        <v>0.2967392329140135</v>
      </c>
      <c r="P62" s="2513">
        <f t="shared" si="29"/>
        <v>0.35100554057375527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1849.0767044803092</v>
      </c>
      <c r="N63" s="1769">
        <f t="shared" si="30"/>
        <v>779.98121435047733</v>
      </c>
      <c r="O63" s="1769">
        <f t="shared" si="30"/>
        <v>639.73351761587094</v>
      </c>
      <c r="P63" s="1769">
        <f t="shared" si="30"/>
        <v>429.36197251396112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25.443091908913786</v>
      </c>
      <c r="N64" s="3427">
        <f>IF($N$7=0,0,N$63/$N$9)</f>
        <v>23.849901444038604</v>
      </c>
      <c r="O64" s="3427">
        <f>IF($O$7=0,0,O$63/$O$9)</f>
        <v>25.150465088834672</v>
      </c>
      <c r="P64" s="3427">
        <f>IF($P$7=0,0,P$63/$P$9)</f>
        <v>29.539867390021406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0.46050845084006853</v>
      </c>
      <c r="N65" s="2169">
        <f t="shared" si="31"/>
        <v>0.42589109721497515</v>
      </c>
      <c r="O65" s="2169">
        <f t="shared" si="31"/>
        <v>0.45728118343335766</v>
      </c>
      <c r="P65" s="2169">
        <f t="shared" si="31"/>
        <v>0.54703458129669258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0.27630507050404107</v>
      </c>
      <c r="N66" s="2171">
        <f t="shared" si="31"/>
        <v>0.25553465832898503</v>
      </c>
      <c r="O66" s="2171">
        <f t="shared" si="31"/>
        <v>0.27436871006001456</v>
      </c>
      <c r="P66" s="2171">
        <f t="shared" si="31"/>
        <v>0.32822074877801555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569.52754962249026</v>
      </c>
      <c r="N68" s="1772">
        <f t="shared" si="32"/>
        <v>256.1451732452407</v>
      </c>
      <c r="O68" s="1772">
        <f t="shared" si="32"/>
        <v>199.31432464146016</v>
      </c>
      <c r="P68" s="1772">
        <f t="shared" si="32"/>
        <v>114.06805173578934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0.14183957266451311</v>
      </c>
      <c r="N69" s="2031">
        <f t="shared" si="33"/>
        <v>0.13986227728648462</v>
      </c>
      <c r="O69" s="2031">
        <f t="shared" si="33"/>
        <v>0.14246977489460561</v>
      </c>
      <c r="P69" s="2031">
        <f t="shared" si="33"/>
        <v>0.14532998475683132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1141.7291548578191</v>
      </c>
      <c r="N70" s="1769">
        <f t="shared" si="34"/>
        <v>461.81704110523663</v>
      </c>
      <c r="O70" s="1769">
        <f t="shared" si="34"/>
        <v>392.18219297441073</v>
      </c>
      <c r="P70" s="1769">
        <f t="shared" si="34"/>
        <v>287.72992077817185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0.28434511294667275</v>
      </c>
      <c r="N71" s="2168">
        <f t="shared" si="35"/>
        <v>0.25216474798392319</v>
      </c>
      <c r="O71" s="2168">
        <f t="shared" si="35"/>
        <v>0.28033162619519258</v>
      </c>
      <c r="P71" s="2168">
        <f t="shared" si="35"/>
        <v>0.36658629970845824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Aulendorf&amp;C&amp;9 39
&amp;R&amp;12&amp;F
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3">
    <tabColor rgb="FF92D050"/>
    <pageSetUpPr fitToPage="1"/>
  </sheetPr>
  <dimension ref="A1:AS83"/>
  <sheetViews>
    <sheetView showGridLines="0" showZeros="0" zoomScaleNormal="100" workbookViewId="0">
      <pane xSplit="12" ySplit="5" topLeftCell="M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975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7" t="s">
        <v>890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1043">
        <v>1</v>
      </c>
      <c r="T4" s="104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Cobs</v>
      </c>
      <c r="N5" s="885" t="str">
        <f>VLOOKUP(W5,$S$4:$T$9,2)</f>
        <v>Cobs</v>
      </c>
      <c r="O5" s="885" t="str">
        <f>VLOOKUP($X$5,$S$4:$T$9,2)</f>
        <v>Cobs</v>
      </c>
      <c r="P5" s="885" t="str">
        <f>VLOOKUP($Y$5,$S$4:$T$9,2)</f>
        <v>Cobs</v>
      </c>
      <c r="Q5" s="886" t="str">
        <f>VLOOKUP($Z$5,$S$4:$T$9,2)</f>
        <v>Cobs</v>
      </c>
      <c r="R5" s="565"/>
      <c r="S5" s="599">
        <v>2</v>
      </c>
      <c r="T5" s="602" t="s">
        <v>1120</v>
      </c>
      <c r="U5"/>
      <c r="V5" s="3311">
        <v>5</v>
      </c>
      <c r="W5" s="3312">
        <v>5</v>
      </c>
      <c r="X5" s="3312">
        <v>5</v>
      </c>
      <c r="Y5" s="3312">
        <v>5</v>
      </c>
      <c r="Z5" s="3313">
        <v>5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908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A8" s="304"/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A9" s="305"/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A10" s="304"/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90</v>
      </c>
      <c r="L10" s="1679"/>
      <c r="M10" s="443">
        <v>90</v>
      </c>
      <c r="N10" s="444">
        <v>90</v>
      </c>
      <c r="O10" s="444">
        <v>90</v>
      </c>
      <c r="P10" s="444">
        <v>90</v>
      </c>
      <c r="Q10" s="445">
        <v>90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A11" s="304"/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90</v>
      </c>
      <c r="L11" s="1682"/>
      <c r="M11" s="488">
        <v>90</v>
      </c>
      <c r="N11" s="489">
        <v>90</v>
      </c>
      <c r="O11" s="489">
        <v>90</v>
      </c>
      <c r="P11" s="489">
        <v>90</v>
      </c>
      <c r="Q11" s="490">
        <v>90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A12" s="304"/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4.5000000000000009</v>
      </c>
      <c r="L12" s="1679"/>
      <c r="M12" s="644">
        <v>4.5</v>
      </c>
      <c r="N12" s="645">
        <v>4.5</v>
      </c>
      <c r="O12" s="645">
        <v>4.5</v>
      </c>
      <c r="P12" s="645">
        <v>4.5</v>
      </c>
      <c r="Q12" s="646">
        <v>4.5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908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4.0500000000000007</v>
      </c>
      <c r="L13" s="1683"/>
      <c r="M13" s="641">
        <f>M12*M11/100</f>
        <v>4.05</v>
      </c>
      <c r="N13" s="642">
        <f>N12*N11/100</f>
        <v>4.05</v>
      </c>
      <c r="O13" s="642">
        <f>O12*O11/100</f>
        <v>4.05</v>
      </c>
      <c r="P13" s="642">
        <f>P12*P11/100</f>
        <v>4.05</v>
      </c>
      <c r="Q13" s="643">
        <f>Q12*Q11/100</f>
        <v>4.05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>SUM(M15:Q15)</f>
        <v>131.94444444444443</v>
      </c>
      <c r="L15" s="1684"/>
      <c r="M15" s="251">
        <f>IF(M10=0,0,M14/M10*100)</f>
        <v>39.583333333333329</v>
      </c>
      <c r="N15" s="252">
        <f>IF(N10=0,0,N14/N10*100)</f>
        <v>26.388888888888889</v>
      </c>
      <c r="O15" s="252">
        <f>IF(O10=0,0,O14/O10*100)</f>
        <v>26.388888888888889</v>
      </c>
      <c r="P15" s="252">
        <f>IF(P10=0,0,P14/P10*100)</f>
        <v>19.791666666666664</v>
      </c>
      <c r="Q15" s="256">
        <f>IF(Q10=0,0,Q14/Q10*100)</f>
        <v>19.791666666666664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278">
        <f>SUM(M16:Q16)</f>
        <v>29.320987654320987</v>
      </c>
      <c r="L16" s="4279"/>
      <c r="M16" s="2419">
        <f>IF(V5&lt;3,0,IF(M12=0,0,M15/M12))</f>
        <v>8.7962962962962958</v>
      </c>
      <c r="N16" s="2420">
        <f>IF(W5&lt;3,0,IF(N12=0,0,N15/N12))</f>
        <v>5.8641975308641978</v>
      </c>
      <c r="O16" s="2420">
        <f>IF(X5&lt;3,0,IF(O12=0,0,O15/O12))</f>
        <v>5.8641975308641978</v>
      </c>
      <c r="P16" s="2420">
        <f>IF(Y5&lt;3,0,IF(P12=0,0,P15/P12))</f>
        <v>4.3981481481481479</v>
      </c>
      <c r="Q16" s="2421">
        <f>IF(Z5&lt;3,0,IF(Q12=0,0,1/Q12*Q15))</f>
        <v>4.398148148148147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>SUM(M17:Q17)</f>
        <v>118.75</v>
      </c>
      <c r="L17" s="1686"/>
      <c r="M17" s="251">
        <f>M14*(100-M9)/100</f>
        <v>35.625</v>
      </c>
      <c r="N17" s="254">
        <f>N14*(100-N9)/100</f>
        <v>23.75</v>
      </c>
      <c r="O17" s="254">
        <f>O14*(100-O9)/100</f>
        <v>23.75</v>
      </c>
      <c r="P17" s="254">
        <f>P14*(100-P9)/100</f>
        <v>17.8125</v>
      </c>
      <c r="Q17" s="257">
        <f>Q14*(100-Q9)/100</f>
        <v>17.8125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>SUM(M18:Q18)</f>
        <v>131.94444444444443</v>
      </c>
      <c r="L18" s="1686"/>
      <c r="M18" s="251">
        <f>IF(M11=0,0,M17/M11*100)</f>
        <v>39.583333333333329</v>
      </c>
      <c r="N18" s="254">
        <f>IF(N11=0,0,N17/N11*100)</f>
        <v>26.388888888888889</v>
      </c>
      <c r="O18" s="254">
        <f>IF(O11=0,0,O17/O11*100)</f>
        <v>26.388888888888889</v>
      </c>
      <c r="P18" s="254">
        <f>IF(P11=0,0,P17/P11*100)</f>
        <v>19.791666666666664</v>
      </c>
      <c r="Q18" s="257">
        <f>IF(Q11=0,0,Q17/Q11*100)</f>
        <v>19.791666666666664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2383"/>
      <c r="K19" s="1687"/>
      <c r="L19" s="1688"/>
      <c r="M19" s="504"/>
      <c r="N19" s="505"/>
      <c r="O19" s="505"/>
      <c r="P19" s="505"/>
      <c r="Q19" s="506"/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6.52</v>
      </c>
      <c r="L20" s="1689"/>
      <c r="M20" s="312">
        <v>6.6</v>
      </c>
      <c r="N20" s="313">
        <v>6.6</v>
      </c>
      <c r="O20" s="313">
        <v>6.5</v>
      </c>
      <c r="P20" s="313">
        <v>6.5</v>
      </c>
      <c r="Q20" s="314">
        <v>6.3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10.866666666666667</v>
      </c>
      <c r="L21" s="1689"/>
      <c r="M21" s="515">
        <f>IF($G21=0,0,M20/$G21)</f>
        <v>11</v>
      </c>
      <c r="N21" s="516">
        <f>IF($G21=0,0,N20/$G21)</f>
        <v>11</v>
      </c>
      <c r="O21" s="516">
        <f>IF($G21=0,0,O20/$G21)</f>
        <v>10.833333333333334</v>
      </c>
      <c r="P21" s="516">
        <f>IF($G21=0,0,P20/$G21)</f>
        <v>10.833333333333334</v>
      </c>
      <c r="Q21" s="517">
        <f>IF($G21=0,0,Q20/$G21)</f>
        <v>10.5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7742.5</v>
      </c>
      <c r="L22" s="1690"/>
      <c r="M22" s="446">
        <f t="shared" ref="M22:Q23" si="0">M$17*M20*10</f>
        <v>2351.25</v>
      </c>
      <c r="N22" s="448">
        <f t="shared" si="0"/>
        <v>1567.5</v>
      </c>
      <c r="O22" s="448">
        <f t="shared" si="0"/>
        <v>1543.75</v>
      </c>
      <c r="P22" s="448">
        <f t="shared" si="0"/>
        <v>1157.8125</v>
      </c>
      <c r="Q22" s="450">
        <f t="shared" si="0"/>
        <v>1122.1875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12904.166666666668</v>
      </c>
      <c r="L23" s="1691"/>
      <c r="M23" s="447">
        <f t="shared" si="0"/>
        <v>3918.75</v>
      </c>
      <c r="N23" s="449">
        <f t="shared" si="0"/>
        <v>2612.5</v>
      </c>
      <c r="O23" s="449">
        <f t="shared" si="0"/>
        <v>2572.916666666667</v>
      </c>
      <c r="P23" s="449">
        <f t="shared" si="0"/>
        <v>1929.6875</v>
      </c>
      <c r="Q23" s="451">
        <f t="shared" si="0"/>
        <v>1870.3125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1">$L26*$M$7/100</f>
        <v>0</v>
      </c>
      <c r="N26" s="254">
        <f t="shared" ref="N26:N29" si="2">$L26*$N$7/100</f>
        <v>0</v>
      </c>
      <c r="O26" s="254">
        <f t="shared" ref="O26:O29" si="3">$L26*$O$7/100</f>
        <v>0</v>
      </c>
      <c r="P26" s="254">
        <f t="shared" ref="P26:P29" si="4">$L26*$P$7/100</f>
        <v>0</v>
      </c>
      <c r="Q26" s="257">
        <f t="shared" ref="Q26:Q29" si="5">$L26*$Q$7/100</f>
        <v>0</v>
      </c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1"/>
        <v>0</v>
      </c>
      <c r="N27" s="254">
        <f t="shared" si="2"/>
        <v>0</v>
      </c>
      <c r="O27" s="254">
        <f t="shared" si="3"/>
        <v>0</v>
      </c>
      <c r="P27" s="254">
        <f t="shared" si="4"/>
        <v>0</v>
      </c>
      <c r="Q27" s="257">
        <f t="shared" si="5"/>
        <v>0</v>
      </c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1"/>
        <v>0</v>
      </c>
      <c r="N28" s="254">
        <f t="shared" si="2"/>
        <v>0</v>
      </c>
      <c r="O28" s="254">
        <f t="shared" si="3"/>
        <v>0</v>
      </c>
      <c r="P28" s="254">
        <f t="shared" si="4"/>
        <v>0</v>
      </c>
      <c r="Q28" s="257">
        <f t="shared" si="5"/>
        <v>0</v>
      </c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1"/>
        <v>0</v>
      </c>
      <c r="N29" s="495">
        <f t="shared" si="2"/>
        <v>0</v>
      </c>
      <c r="O29" s="495">
        <f t="shared" si="3"/>
        <v>0</v>
      </c>
      <c r="P29" s="495">
        <f t="shared" si="4"/>
        <v>0</v>
      </c>
      <c r="Q29" s="496">
        <f t="shared" si="5"/>
        <v>0</v>
      </c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6.6759000000000004</v>
      </c>
      <c r="M40" s="253">
        <f>$L40*M$7/100</f>
        <v>2.0027699999999999</v>
      </c>
      <c r="N40" s="254">
        <f>$L40*N$7/100</f>
        <v>1.33518</v>
      </c>
      <c r="O40" s="254">
        <f>$L40*O$7/100</f>
        <v>1.33518</v>
      </c>
      <c r="P40" s="254">
        <f>$L40*P$7/100</f>
        <v>1.001385</v>
      </c>
      <c r="Q40" s="257">
        <f>$L40*Q$7/100</f>
        <v>1.001385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 t="s">
        <v>440</v>
      </c>
      <c r="E42" s="131"/>
      <c r="F42" s="131"/>
      <c r="G42" s="109"/>
      <c r="H42" s="163">
        <v>17</v>
      </c>
      <c r="I42" s="689">
        <f>H42+H42*($H$40/100)</f>
        <v>20.23</v>
      </c>
      <c r="J42" s="95"/>
      <c r="K42" s="806">
        <v>0.33</v>
      </c>
      <c r="L42" s="1706">
        <f>$I42*K42</f>
        <v>6.6759000000000004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241.0965739042222</v>
      </c>
      <c r="M43" s="484">
        <f>SUM(Z46:Z56)</f>
        <v>53.722906503066667</v>
      </c>
      <c r="N43" s="484">
        <f>SUM(AA46:AA56)</f>
        <v>48.219314780844442</v>
      </c>
      <c r="O43" s="484">
        <f>SUM(AB46:AB56)</f>
        <v>48.219314780844442</v>
      </c>
      <c r="P43" s="484">
        <f>SUM(AC46:AC56)</f>
        <v>45.46751891973333</v>
      </c>
      <c r="Q43" s="1483">
        <f>SUM(AD46:AD56)</f>
        <v>45.46751891973333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83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6">SUM(M46:Q46)</f>
        <v>1</v>
      </c>
      <c r="K46" s="1651">
        <f t="shared" ref="K46:K56" si="7">J46*H46</f>
        <v>0.82</v>
      </c>
      <c r="L46" s="1704">
        <f t="shared" ref="L46:L56" si="8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T56" si="9">IF(M46&lt;&gt;0,M46*$H46,0)</f>
        <v>0.16400000000000001</v>
      </c>
      <c r="U46" s="479">
        <f t="shared" ref="U46:U56" si="10">IF(N46&lt;&gt;0,N46*$H46,0)</f>
        <v>0.16400000000000001</v>
      </c>
      <c r="V46" s="479">
        <f t="shared" ref="V46:V56" si="11">IF(O46&lt;&gt;0,O46*$H46,0)</f>
        <v>0.16400000000000001</v>
      </c>
      <c r="W46" s="479">
        <f t="shared" ref="W46:W56" si="12">IF(P46&lt;&gt;0,P46*$H46,0)</f>
        <v>0.16400000000000001</v>
      </c>
      <c r="X46" s="480">
        <f t="shared" ref="X46:X56" si="13">IF(Q46&lt;&gt;0,Q46*$H46,0)</f>
        <v>0.16400000000000001</v>
      </c>
      <c r="Y46"/>
      <c r="Z46" s="478">
        <f t="shared" ref="Z46:Z56" si="14">IF(M46&lt;&gt;0,M46*$I46,0)</f>
        <v>2.3843834347199993</v>
      </c>
      <c r="AA46" s="479">
        <f t="shared" ref="AA46:AA56" si="15">IF(N46&lt;&gt;0,N46*$I46,0)</f>
        <v>2.3843834347199993</v>
      </c>
      <c r="AB46" s="479">
        <f t="shared" ref="AB46:AB56" si="16">IF(O46&lt;&gt;0,O46*$I46,0)</f>
        <v>2.3843834347199993</v>
      </c>
      <c r="AC46" s="479">
        <f t="shared" ref="AC46:AC56" si="17">IF(P46&lt;&gt;0,P46*$I46,0)</f>
        <v>2.3843834347199993</v>
      </c>
      <c r="AD46" s="480">
        <f t="shared" ref="AD46:AD56" si="18">IF(Q46&lt;&gt;0,Q46*$I46,0)</f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6"/>
        <v>1</v>
      </c>
      <c r="K47" s="1651">
        <f t="shared" si="7"/>
        <v>0.48</v>
      </c>
      <c r="L47" s="1704">
        <f t="shared" si="8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9"/>
        <v>9.6000000000000002E-2</v>
      </c>
      <c r="U47" s="479">
        <f t="shared" si="10"/>
        <v>9.6000000000000002E-2</v>
      </c>
      <c r="V47" s="479">
        <f t="shared" si="11"/>
        <v>9.6000000000000002E-2</v>
      </c>
      <c r="W47" s="479">
        <f t="shared" si="12"/>
        <v>9.6000000000000002E-2</v>
      </c>
      <c r="X47" s="480">
        <f t="shared" si="13"/>
        <v>9.6000000000000002E-2</v>
      </c>
      <c r="Y47"/>
      <c r="Z47" s="478">
        <f t="shared" si="14"/>
        <v>1.8914732300799999</v>
      </c>
      <c r="AA47" s="479">
        <f t="shared" si="15"/>
        <v>1.8914732300799999</v>
      </c>
      <c r="AB47" s="479">
        <f t="shared" si="16"/>
        <v>1.8914732300799999</v>
      </c>
      <c r="AC47" s="479">
        <f t="shared" si="17"/>
        <v>1.8914732300799999</v>
      </c>
      <c r="AD47" s="480">
        <f t="shared" si="18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6"/>
        <v>5</v>
      </c>
      <c r="K48" s="1651">
        <f t="shared" si="7"/>
        <v>1.85</v>
      </c>
      <c r="L48" s="1704">
        <f t="shared" si="8"/>
        <v>27.252557037999999</v>
      </c>
      <c r="M48" s="317">
        <v>1</v>
      </c>
      <c r="N48" s="318">
        <v>1</v>
      </c>
      <c r="O48" s="318">
        <v>1</v>
      </c>
      <c r="P48" s="318">
        <v>1</v>
      </c>
      <c r="Q48" s="319">
        <v>1</v>
      </c>
      <c r="R48" s="542"/>
      <c r="S48" s="542"/>
      <c r="T48" s="478">
        <f t="shared" si="9"/>
        <v>0.37</v>
      </c>
      <c r="U48" s="479">
        <f t="shared" si="10"/>
        <v>0.37</v>
      </c>
      <c r="V48" s="479">
        <f t="shared" si="11"/>
        <v>0.37</v>
      </c>
      <c r="W48" s="479">
        <f t="shared" si="12"/>
        <v>0.37</v>
      </c>
      <c r="X48" s="480">
        <f t="shared" si="13"/>
        <v>0.37</v>
      </c>
      <c r="Y48"/>
      <c r="Z48" s="478">
        <f t="shared" si="14"/>
        <v>5.4505114075999996</v>
      </c>
      <c r="AA48" s="479">
        <f t="shared" si="15"/>
        <v>5.4505114075999996</v>
      </c>
      <c r="AB48" s="479">
        <f t="shared" si="16"/>
        <v>5.4505114075999996</v>
      </c>
      <c r="AC48" s="479">
        <f t="shared" si="17"/>
        <v>5.4505114075999996</v>
      </c>
      <c r="AD48" s="480">
        <f t="shared" si="18"/>
        <v>5.4505114075999996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6"/>
        <v>5</v>
      </c>
      <c r="K49" s="1651">
        <f t="shared" si="7"/>
        <v>1.5</v>
      </c>
      <c r="L49" s="1704">
        <f t="shared" si="8"/>
        <v>92.958222000000006</v>
      </c>
      <c r="M49" s="317">
        <v>1</v>
      </c>
      <c r="N49" s="318">
        <v>1</v>
      </c>
      <c r="O49" s="318">
        <v>1</v>
      </c>
      <c r="P49" s="318">
        <v>1</v>
      </c>
      <c r="Q49" s="319">
        <v>1</v>
      </c>
      <c r="R49" s="542"/>
      <c r="S49" s="542"/>
      <c r="T49" s="478">
        <f t="shared" si="9"/>
        <v>0.3</v>
      </c>
      <c r="U49" s="479">
        <f t="shared" si="10"/>
        <v>0.3</v>
      </c>
      <c r="V49" s="479">
        <f t="shared" si="11"/>
        <v>0.3</v>
      </c>
      <c r="W49" s="479">
        <f t="shared" si="12"/>
        <v>0.3</v>
      </c>
      <c r="X49" s="480">
        <f t="shared" si="13"/>
        <v>0.3</v>
      </c>
      <c r="Y49"/>
      <c r="Z49" s="478">
        <f t="shared" si="14"/>
        <v>18.5916444</v>
      </c>
      <c r="AA49" s="479">
        <f t="shared" si="15"/>
        <v>18.5916444</v>
      </c>
      <c r="AB49" s="479">
        <f t="shared" si="16"/>
        <v>18.5916444</v>
      </c>
      <c r="AC49" s="479">
        <f t="shared" si="17"/>
        <v>18.5916444</v>
      </c>
      <c r="AD49" s="480">
        <f t="shared" si="18"/>
        <v>18.5916444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31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0.26</v>
      </c>
      <c r="I50" s="469">
        <f>IF($B50=0,0,VLOOKUP($B50,Arbeitsgänge!$B$27:$T$80,14))</f>
        <v>8.8941188640000011</v>
      </c>
      <c r="J50" s="593">
        <f t="shared" si="6"/>
        <v>5</v>
      </c>
      <c r="K50" s="1651">
        <f t="shared" si="7"/>
        <v>1.3</v>
      </c>
      <c r="L50" s="1704">
        <f t="shared" si="8"/>
        <v>44.470594320000004</v>
      </c>
      <c r="M50" s="317">
        <v>1</v>
      </c>
      <c r="N50" s="318">
        <v>1</v>
      </c>
      <c r="O50" s="318">
        <v>1</v>
      </c>
      <c r="P50" s="318">
        <v>1</v>
      </c>
      <c r="Q50" s="319">
        <v>1</v>
      </c>
      <c r="R50" s="542"/>
      <c r="S50" s="542"/>
      <c r="T50" s="478">
        <f t="shared" si="9"/>
        <v>0.26</v>
      </c>
      <c r="U50" s="479">
        <f t="shared" si="10"/>
        <v>0.26</v>
      </c>
      <c r="V50" s="479">
        <f t="shared" si="11"/>
        <v>0.26</v>
      </c>
      <c r="W50" s="479">
        <f t="shared" si="12"/>
        <v>0.26</v>
      </c>
      <c r="X50" s="480">
        <f t="shared" si="13"/>
        <v>0.26</v>
      </c>
      <c r="Y50"/>
      <c r="Z50" s="478">
        <f t="shared" si="14"/>
        <v>8.8941188640000011</v>
      </c>
      <c r="AA50" s="479">
        <f t="shared" si="15"/>
        <v>8.8941188640000011</v>
      </c>
      <c r="AB50" s="479">
        <f t="shared" si="16"/>
        <v>8.8941188640000011</v>
      </c>
      <c r="AC50" s="479">
        <f t="shared" si="17"/>
        <v>8.8941188640000011</v>
      </c>
      <c r="AD50" s="480">
        <f t="shared" si="18"/>
        <v>8.8941188640000011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33</v>
      </c>
      <c r="C51" s="104"/>
      <c r="D51" s="137"/>
      <c r="E51" s="8"/>
      <c r="F51" s="8"/>
      <c r="G51" s="468" t="str">
        <f>IF($B51=0,0,VLOOKUP($B51,Arbeitsgänge!$B$27:$T$80,7))</f>
        <v>120 Kw</v>
      </c>
      <c r="H51" s="507">
        <f>IF($B51=0,0,VLOOKUP($B51,Arbeitsgänge!$B$27:$O$79,12))</f>
        <v>1.2</v>
      </c>
      <c r="I51" s="469">
        <f>IF($B51=0,0,VLOOKUP($B51,Arbeitsgänge!$B$27:$T$80,14))</f>
        <v>50.053718400000001</v>
      </c>
      <c r="J51" s="593">
        <f t="shared" si="6"/>
        <v>1.099537037037037</v>
      </c>
      <c r="K51" s="1651">
        <f t="shared" si="7"/>
        <v>1.3194444444444444</v>
      </c>
      <c r="L51" s="1704">
        <f t="shared" si="8"/>
        <v>55.035917222222217</v>
      </c>
      <c r="M51" s="317">
        <f>M18/120</f>
        <v>0.32986111111111105</v>
      </c>
      <c r="N51" s="317">
        <f t="shared" ref="N51:Q51" si="19">N18/120</f>
        <v>0.21990740740740741</v>
      </c>
      <c r="O51" s="317">
        <f t="shared" si="19"/>
        <v>0.21990740740740741</v>
      </c>
      <c r="P51" s="317">
        <f t="shared" si="19"/>
        <v>0.16493055555555552</v>
      </c>
      <c r="Q51" s="4091">
        <f t="shared" si="19"/>
        <v>0.16493055555555552</v>
      </c>
      <c r="R51" s="542"/>
      <c r="S51" s="542"/>
      <c r="T51" s="478">
        <f t="shared" si="9"/>
        <v>0.39583333333333326</v>
      </c>
      <c r="U51" s="479">
        <f t="shared" si="10"/>
        <v>0.2638888888888889</v>
      </c>
      <c r="V51" s="479">
        <f t="shared" si="11"/>
        <v>0.2638888888888889</v>
      </c>
      <c r="W51" s="479">
        <f t="shared" si="12"/>
        <v>0.19791666666666663</v>
      </c>
      <c r="X51" s="480">
        <f t="shared" si="13"/>
        <v>0.19791666666666663</v>
      </c>
      <c r="Y51"/>
      <c r="Z51" s="478">
        <f t="shared" si="14"/>
        <v>16.510775166666665</v>
      </c>
      <c r="AA51" s="479">
        <f t="shared" si="15"/>
        <v>11.007183444444445</v>
      </c>
      <c r="AB51" s="479">
        <f t="shared" si="16"/>
        <v>11.007183444444445</v>
      </c>
      <c r="AC51" s="479">
        <f t="shared" si="17"/>
        <v>8.2553875833333326</v>
      </c>
      <c r="AD51" s="480">
        <f t="shared" si="18"/>
        <v>8.2553875833333326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6"/>
        <v>0</v>
      </c>
      <c r="K52" s="1651">
        <f t="shared" si="7"/>
        <v>0</v>
      </c>
      <c r="L52" s="1704">
        <f t="shared" si="8"/>
        <v>0</v>
      </c>
      <c r="M52" s="317"/>
      <c r="N52" s="318"/>
      <c r="O52" s="318"/>
      <c r="P52" s="318"/>
      <c r="Q52" s="319"/>
      <c r="R52" s="542"/>
      <c r="S52" s="542"/>
      <c r="T52" s="478">
        <f t="shared" si="9"/>
        <v>0</v>
      </c>
      <c r="U52" s="479">
        <f t="shared" si="10"/>
        <v>0</v>
      </c>
      <c r="V52" s="479">
        <f t="shared" si="11"/>
        <v>0</v>
      </c>
      <c r="W52" s="479">
        <f t="shared" si="12"/>
        <v>0</v>
      </c>
      <c r="X52" s="480">
        <f t="shared" si="13"/>
        <v>0</v>
      </c>
      <c r="Y52"/>
      <c r="Z52" s="478">
        <f t="shared" si="14"/>
        <v>0</v>
      </c>
      <c r="AA52" s="479">
        <f t="shared" si="15"/>
        <v>0</v>
      </c>
      <c r="AB52" s="479">
        <f t="shared" si="16"/>
        <v>0</v>
      </c>
      <c r="AC52" s="479">
        <f t="shared" si="17"/>
        <v>0</v>
      </c>
      <c r="AD52" s="480">
        <f t="shared" si="18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6"/>
        <v>0</v>
      </c>
      <c r="K53" s="1651">
        <f t="shared" si="7"/>
        <v>0</v>
      </c>
      <c r="L53" s="1704">
        <f t="shared" si="8"/>
        <v>0</v>
      </c>
      <c r="M53" s="317"/>
      <c r="N53" s="318"/>
      <c r="O53" s="318"/>
      <c r="P53" s="318"/>
      <c r="Q53" s="319"/>
      <c r="R53" s="542"/>
      <c r="S53" s="542"/>
      <c r="T53" s="478">
        <f t="shared" si="9"/>
        <v>0</v>
      </c>
      <c r="U53" s="479">
        <f t="shared" si="10"/>
        <v>0</v>
      </c>
      <c r="V53" s="479">
        <f t="shared" si="11"/>
        <v>0</v>
      </c>
      <c r="W53" s="479">
        <f t="shared" si="12"/>
        <v>0</v>
      </c>
      <c r="X53" s="480">
        <f t="shared" si="13"/>
        <v>0</v>
      </c>
      <c r="Y53"/>
      <c r="Z53" s="478">
        <f t="shared" si="14"/>
        <v>0</v>
      </c>
      <c r="AA53" s="479">
        <f t="shared" si="15"/>
        <v>0</v>
      </c>
      <c r="AB53" s="479">
        <f t="shared" si="16"/>
        <v>0</v>
      </c>
      <c r="AC53" s="479">
        <f t="shared" si="17"/>
        <v>0</v>
      </c>
      <c r="AD53" s="480">
        <f t="shared" si="18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6"/>
        <v>0</v>
      </c>
      <c r="K54" s="1651">
        <f t="shared" si="7"/>
        <v>0</v>
      </c>
      <c r="L54" s="1704">
        <f t="shared" si="8"/>
        <v>0</v>
      </c>
      <c r="M54" s="317"/>
      <c r="N54" s="318"/>
      <c r="O54" s="318"/>
      <c r="P54" s="318"/>
      <c r="Q54" s="319"/>
      <c r="R54" s="542"/>
      <c r="S54" s="542"/>
      <c r="T54" s="478">
        <f t="shared" si="9"/>
        <v>0</v>
      </c>
      <c r="U54" s="479">
        <f t="shared" si="10"/>
        <v>0</v>
      </c>
      <c r="V54" s="479">
        <f t="shared" si="11"/>
        <v>0</v>
      </c>
      <c r="W54" s="479">
        <f t="shared" si="12"/>
        <v>0</v>
      </c>
      <c r="X54" s="480">
        <f t="shared" si="13"/>
        <v>0</v>
      </c>
      <c r="Y54"/>
      <c r="Z54" s="478">
        <f t="shared" si="14"/>
        <v>0</v>
      </c>
      <c r="AA54" s="479">
        <f t="shared" si="15"/>
        <v>0</v>
      </c>
      <c r="AB54" s="479">
        <f t="shared" si="16"/>
        <v>0</v>
      </c>
      <c r="AC54" s="479">
        <f t="shared" si="17"/>
        <v>0</v>
      </c>
      <c r="AD54" s="480">
        <f t="shared" si="18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6"/>
        <v>0</v>
      </c>
      <c r="K55" s="1651">
        <f t="shared" si="7"/>
        <v>0</v>
      </c>
      <c r="L55" s="1704">
        <f t="shared" si="8"/>
        <v>0</v>
      </c>
      <c r="M55" s="317"/>
      <c r="N55" s="318"/>
      <c r="O55" s="318"/>
      <c r="P55" s="318"/>
      <c r="Q55" s="319"/>
      <c r="R55" s="542"/>
      <c r="S55" s="542"/>
      <c r="T55" s="478">
        <f t="shared" si="9"/>
        <v>0</v>
      </c>
      <c r="U55" s="479">
        <f t="shared" si="10"/>
        <v>0</v>
      </c>
      <c r="V55" s="479">
        <f t="shared" si="11"/>
        <v>0</v>
      </c>
      <c r="W55" s="479">
        <f t="shared" si="12"/>
        <v>0</v>
      </c>
      <c r="X55" s="480">
        <f t="shared" si="13"/>
        <v>0</v>
      </c>
      <c r="Y55"/>
      <c r="Z55" s="478">
        <f t="shared" si="14"/>
        <v>0</v>
      </c>
      <c r="AA55" s="479">
        <f t="shared" si="15"/>
        <v>0</v>
      </c>
      <c r="AB55" s="479">
        <f t="shared" si="16"/>
        <v>0</v>
      </c>
      <c r="AC55" s="479">
        <f t="shared" si="17"/>
        <v>0</v>
      </c>
      <c r="AD55" s="480">
        <f t="shared" si="18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6"/>
        <v>0</v>
      </c>
      <c r="K56" s="1652">
        <f t="shared" si="7"/>
        <v>0</v>
      </c>
      <c r="L56" s="1714">
        <f t="shared" si="8"/>
        <v>0</v>
      </c>
      <c r="M56" s="320"/>
      <c r="N56" s="321"/>
      <c r="O56" s="321"/>
      <c r="P56" s="321"/>
      <c r="Q56" s="322"/>
      <c r="R56" s="542"/>
      <c r="S56" s="542"/>
      <c r="T56" s="481">
        <f t="shared" si="9"/>
        <v>0</v>
      </c>
      <c r="U56" s="482">
        <f t="shared" si="10"/>
        <v>0</v>
      </c>
      <c r="V56" s="482">
        <f t="shared" si="11"/>
        <v>0</v>
      </c>
      <c r="W56" s="482">
        <f t="shared" si="12"/>
        <v>0</v>
      </c>
      <c r="X56" s="483">
        <f t="shared" si="13"/>
        <v>0</v>
      </c>
      <c r="Y56"/>
      <c r="Z56" s="481">
        <f t="shared" si="14"/>
        <v>0</v>
      </c>
      <c r="AA56" s="482">
        <f t="shared" si="15"/>
        <v>0</v>
      </c>
      <c r="AB56" s="482">
        <f t="shared" si="16"/>
        <v>0</v>
      </c>
      <c r="AC56" s="482">
        <f t="shared" si="17"/>
        <v>0</v>
      </c>
      <c r="AD56" s="483">
        <f t="shared" si="18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7.2694444444444439</v>
      </c>
      <c r="L57" s="1716"/>
      <c r="M57" s="278">
        <f>SUM(T46:T56)</f>
        <v>1.5858333333333332</v>
      </c>
      <c r="N57" s="508">
        <f>SUM(U46:U56)</f>
        <v>1.4538888888888888</v>
      </c>
      <c r="O57" s="508">
        <f>SUM(V46:V56)</f>
        <v>1.4538888888888888</v>
      </c>
      <c r="P57" s="508">
        <f>SUM(W46:W56)</f>
        <v>1.3879166666666665</v>
      </c>
      <c r="Q57" s="510">
        <f>SUM(X46:X56)</f>
        <v>1.3879166666666665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13.084999999999997</v>
      </c>
      <c r="L58" s="1718"/>
      <c r="M58" s="270">
        <f>IF(M57+(M57*$G$58/100)&gt;M57+10,M57+10,M57+(M57*$G$58/100))</f>
        <v>2.8544999999999998</v>
      </c>
      <c r="N58" s="509">
        <f>IF(N57+(N57*$G$58/100)&gt;(N57+10),N57+10,N57+(N57*$G$58/100))</f>
        <v>2.617</v>
      </c>
      <c r="O58" s="509">
        <f>IF(O57+(O57*$G$58/100)&gt;(O57+10),O57+10,O57+(O57*$G$58/100))</f>
        <v>2.617</v>
      </c>
      <c r="P58" s="509">
        <f>P57+P57*$G$58/100</f>
        <v>2.4982499999999996</v>
      </c>
      <c r="Q58" s="511">
        <f>Q57+Q57*$G$58/100</f>
        <v>2.4982499999999996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2429.6574999999998</v>
      </c>
      <c r="M59" s="253">
        <f>SUM(T61:T63)</f>
        <v>727.35024999999996</v>
      </c>
      <c r="N59" s="254">
        <f>SUM(U61:U63)</f>
        <v>485.93150000000003</v>
      </c>
      <c r="O59" s="254">
        <f>SUM(V61:V63)</f>
        <v>485.93150000000003</v>
      </c>
      <c r="P59" s="254">
        <f>SUM(W61:W63)</f>
        <v>365.22212499999995</v>
      </c>
      <c r="Q59" s="257">
        <f>SUM(X61:X63)</f>
        <v>365.22212499999995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4044"/>
      <c r="F61" s="4044"/>
      <c r="G61" s="3087">
        <v>65</v>
      </c>
      <c r="H61" s="3448">
        <f>G61*(100+$H$59)/100</f>
        <v>77.349999999999994</v>
      </c>
      <c r="I61" s="3451" t="s">
        <v>330</v>
      </c>
      <c r="J61" s="2617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20">IF(N61&lt;&gt;0,N61*$H61,0)</f>
        <v>3.0939999999999999</v>
      </c>
      <c r="V61" s="594">
        <f t="shared" si="20"/>
        <v>3.0939999999999999</v>
      </c>
      <c r="W61" s="594">
        <f t="shared" si="20"/>
        <v>3.0939999999999999</v>
      </c>
      <c r="X61" s="594">
        <f t="shared" si="20"/>
        <v>3.0939999999999999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452" t="s">
        <v>1210</v>
      </c>
      <c r="E62" s="4137"/>
      <c r="F62" s="3067"/>
      <c r="G62" s="3315"/>
      <c r="H62" s="3449">
        <f>'Preise-Stammdaten'!N44</f>
        <v>18.297000000000001</v>
      </c>
      <c r="I62" s="3450" t="s">
        <v>1371</v>
      </c>
      <c r="J62" s="3068">
        <f>SUM(M62:Q62)</f>
        <v>131.94444444444443</v>
      </c>
      <c r="K62" s="2304"/>
      <c r="L62" s="3069">
        <f>(H62*M62+H62*N62+H62*O62+H62*P62+H62*Q62)</f>
        <v>2414.1875</v>
      </c>
      <c r="M62" s="3453">
        <f>M15</f>
        <v>39.583333333333329</v>
      </c>
      <c r="N62" s="3454">
        <f>N15</f>
        <v>26.388888888888889</v>
      </c>
      <c r="O62" s="3454">
        <f>O15</f>
        <v>26.388888888888889</v>
      </c>
      <c r="P62" s="3454">
        <f>P15</f>
        <v>19.791666666666664</v>
      </c>
      <c r="Q62" s="3455">
        <f>Q15</f>
        <v>19.791666666666664</v>
      </c>
      <c r="R62" s="542"/>
      <c r="S62" s="542"/>
      <c r="T62" s="594">
        <f>IF(M62&lt;&gt;0,M62*$H62,0)</f>
        <v>724.25624999999991</v>
      </c>
      <c r="U62" s="594">
        <f t="shared" si="20"/>
        <v>482.83750000000003</v>
      </c>
      <c r="V62" s="594">
        <f t="shared" si="20"/>
        <v>482.83750000000003</v>
      </c>
      <c r="W62" s="594">
        <f t="shared" si="20"/>
        <v>362.12812499999995</v>
      </c>
      <c r="X62" s="594">
        <f t="shared" si="20"/>
        <v>362.12812499999995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G63*(100+'Preise-Stammdaten'!N40)/100</f>
        <v>4.8150000000000004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20"/>
        <v>0</v>
      </c>
      <c r="V63" s="594">
        <f t="shared" si="20"/>
        <v>0</v>
      </c>
      <c r="W63" s="594">
        <f t="shared" si="20"/>
        <v>0</v>
      </c>
      <c r="X63" s="594">
        <f t="shared" si="20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0.9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21">SUM(L69:L70)</f>
        <v>0</v>
      </c>
      <c r="M67" s="253">
        <f t="shared" si="21"/>
        <v>0</v>
      </c>
      <c r="N67" s="254">
        <f t="shared" si="21"/>
        <v>0</v>
      </c>
      <c r="O67" s="254">
        <f t="shared" si="21"/>
        <v>0</v>
      </c>
      <c r="P67" s="254">
        <f t="shared" si="21"/>
        <v>0</v>
      </c>
      <c r="Q67" s="257">
        <f t="shared" si="2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/>
      <c r="B69" s="937"/>
      <c r="C69" s="1378"/>
      <c r="D69" s="939">
        <f>IF($B69=0,0,VLOOKUP($B69,'Preise-Stammdaten'!$B$61:'Preise-Stammdaten'!$N$66,2))</f>
        <v>0</v>
      </c>
      <c r="E69" s="931"/>
      <c r="F69" s="1388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22">IF(AND($B69&lt;3,V$5=1),M$7*$I69/100,IF(AND($B69=3,V$5=3),M$7*$I69/100,0))</f>
        <v>0</v>
      </c>
      <c r="N69" s="933">
        <f t="shared" si="22"/>
        <v>0</v>
      </c>
      <c r="O69" s="933">
        <f t="shared" si="22"/>
        <v>0</v>
      </c>
      <c r="P69" s="933">
        <f t="shared" si="22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932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22"/>
        <v>0</v>
      </c>
      <c r="N70" s="933">
        <f t="shared" si="22"/>
        <v>0</v>
      </c>
      <c r="O70" s="933">
        <f t="shared" si="22"/>
        <v>0</v>
      </c>
      <c r="P70" s="933">
        <f t="shared" si="2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2"/>
      <c r="C71" s="1463"/>
      <c r="D71" s="1464"/>
      <c r="E71" s="1465"/>
      <c r="F71" s="1466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3293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3">K16</f>
        <v>29.320987654320987</v>
      </c>
      <c r="L77" s="3321">
        <f t="shared" si="23"/>
        <v>0</v>
      </c>
      <c r="M77" s="3321">
        <f t="shared" si="23"/>
        <v>8.7962962962962958</v>
      </c>
      <c r="N77" s="3321">
        <f t="shared" si="23"/>
        <v>5.8641975308641978</v>
      </c>
      <c r="O77" s="3321">
        <f t="shared" si="23"/>
        <v>5.8641975308641978</v>
      </c>
      <c r="P77" s="3321">
        <f t="shared" si="23"/>
        <v>4.3981481481481479</v>
      </c>
      <c r="Q77" s="3321">
        <f t="shared" si="23"/>
        <v>4.398148148148147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9.3018333333333345</v>
      </c>
      <c r="N78" s="3321">
        <f>IF(W$5=6,0,HLOOKUP(W$5,'Owerte-(b)'!$F$74:$J$81,'Owerte-(b)'!$A81,FALSE))</f>
        <v>9.3018333333333345</v>
      </c>
      <c r="O78" s="3321">
        <f>IF(X$5=6,0,HLOOKUP(X$5,'Owerte-(b)'!$F$74:$J$81,'Owerte-(b)'!$A81,FALSE))</f>
        <v>9.3018333333333345</v>
      </c>
      <c r="P78" s="3321">
        <f>IF(Y$5=6,0,HLOOKUP(Y$5,'Owerte-(b)'!$F$74:$J$81,'Owerte-(b)'!$A81,FALSE))</f>
        <v>9.3018333333333345</v>
      </c>
      <c r="Q78" s="3321">
        <f>IF(Z$5=6,0,HLOOKUP(Z$5,'Owerte-(b)'!$F$74:$J$81,'Owerte-(b)'!$A81,FALSE))</f>
        <v>9.3018333333333345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231.82809927983544</v>
      </c>
      <c r="L79" s="3321"/>
      <c r="M79" s="3321">
        <f>M78*M16</f>
        <v>81.821682098765436</v>
      </c>
      <c r="N79" s="3321">
        <f>N78*N16</f>
        <v>54.547788065843633</v>
      </c>
      <c r="O79" s="3321">
        <f>O78*O16</f>
        <v>54.547788065843633</v>
      </c>
      <c r="P79" s="3321">
        <f>P78*P16</f>
        <v>40.910841049382718</v>
      </c>
      <c r="Q79" s="3321">
        <f>Q78*Q16</f>
        <v>40.910841049382711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D62" location="'Preise-Stammdaten'!A1" display="Trocknungskosten je dt FM "/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40&amp;9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Drop Down 1">
              <controlPr defaultSize="0" print="0" autoFill="0" autoLine="0" autoPict="0">
                <anchor moveWithCells="1">
                  <from>
                    <xdr:col>12</xdr:col>
                    <xdr:colOff>123825</xdr:colOff>
                    <xdr:row>4</xdr:row>
                    <xdr:rowOff>47625</xdr:rowOff>
                  </from>
                  <to>
                    <xdr:col>12</xdr:col>
                    <xdr:colOff>523875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Drop Down 3">
              <controlPr defaultSize="0" print="0" autoFill="0" autoLine="0" autoPict="0">
                <anchor moveWithCells="1">
                  <from>
                    <xdr:col>14</xdr:col>
                    <xdr:colOff>95250</xdr:colOff>
                    <xdr:row>4</xdr:row>
                    <xdr:rowOff>28575</xdr:rowOff>
                  </from>
                  <to>
                    <xdr:col>14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Drop Down 4">
              <controlPr defaultSize="0" print="0" autoFill="0" autoLine="0" autoPict="0">
                <anchor moveWithCells="1">
                  <from>
                    <xdr:col>15</xdr:col>
                    <xdr:colOff>133350</xdr:colOff>
                    <xdr:row>4</xdr:row>
                    <xdr:rowOff>38100</xdr:rowOff>
                  </from>
                  <to>
                    <xdr:col>15</xdr:col>
                    <xdr:colOff>533400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8" name="Drop Down 5">
              <controlPr defaultSize="0" print="0" autoFill="0" autoLine="0" autoPict="0">
                <anchor moveWithCells="1">
                  <from>
                    <xdr:col>16</xdr:col>
                    <xdr:colOff>47625</xdr:colOff>
                    <xdr:row>4</xdr:row>
                    <xdr:rowOff>19050</xdr:rowOff>
                  </from>
                  <to>
                    <xdr:col>16</xdr:col>
                    <xdr:colOff>457200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0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171450</xdr:rowOff>
                  </from>
                  <to>
                    <xdr:col>5</xdr:col>
                    <xdr:colOff>523875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171450</xdr:rowOff>
                  </from>
                  <to>
                    <xdr:col>5</xdr:col>
                    <xdr:colOff>523875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171450</xdr:rowOff>
                  </from>
                  <to>
                    <xdr:col>5</xdr:col>
                    <xdr:colOff>523875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3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171450</xdr:rowOff>
                  </from>
                  <to>
                    <xdr:col>5</xdr:col>
                    <xdr:colOff>523875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523875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5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523875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6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523875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7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523875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8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523875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9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523875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0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523875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</sheetPr>
  <dimension ref="B1:AG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6384" width="11.42578125" style="8"/>
  </cols>
  <sheetData>
    <row r="1" spans="2:33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33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'13)Grascobs 5Nutz.(a)'!H2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'13)Grascobs 5Nutz.(a)'!K2</f>
        <v>Wiese; 5 Nutzungen (5 x Grascobs)</v>
      </c>
    </row>
    <row r="3" spans="2:33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'13)Grascobs 5Nutz.(a)'!H3</f>
        <v>5x Cobs eigene Ernte und Transport, Trocknungskosten abzgl. Trocknungsbeihilfe</v>
      </c>
      <c r="J3" s="4281"/>
      <c r="K3" s="4281"/>
      <c r="L3" s="4281"/>
      <c r="M3" s="4281"/>
      <c r="N3" s="3725"/>
      <c r="O3" s="3725"/>
      <c r="P3" s="3725"/>
      <c r="Q3" s="3725"/>
      <c r="R3" s="3726"/>
    </row>
    <row r="4" spans="2:33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</row>
    <row r="5" spans="2:33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'13)Grascobs 5Nutz.(a)'!M5</f>
        <v>Cobs</v>
      </c>
      <c r="O5" s="1568" t="str">
        <f>'13)Grascobs 5Nutz.(a)'!N5</f>
        <v>Cobs</v>
      </c>
      <c r="P5" s="1568" t="str">
        <f>'13)Grascobs 5Nutz.(a)'!O5</f>
        <v>Cobs</v>
      </c>
      <c r="Q5" s="1568" t="str">
        <f>'13)Grascobs 5Nutz.(a)'!P5</f>
        <v>Cobs</v>
      </c>
      <c r="R5" s="1573" t="str">
        <f>'13)Grascobs 5Nutz.(a)'!Q5</f>
        <v>Cobs</v>
      </c>
    </row>
    <row r="6" spans="2:33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'13)Grascobs 5Nutz.(a)'!K6</f>
        <v>125</v>
      </c>
      <c r="N6" s="1821">
        <f>'13)Grascobs 5Nutz.(a)'!M6</f>
        <v>37.5</v>
      </c>
      <c r="O6" s="1821">
        <f>'13)Grascobs 5Nutz.(a)'!N6</f>
        <v>25</v>
      </c>
      <c r="P6" s="1821">
        <f>'13)Grascobs 5Nutz.(a)'!O6</f>
        <v>25</v>
      </c>
      <c r="Q6" s="1821">
        <f>'13)Grascobs 5Nutz.(a)'!P6</f>
        <v>18.75</v>
      </c>
      <c r="R6" s="1822">
        <f>'13)Grascobs 5Nutz.(a)'!Q6</f>
        <v>18.75</v>
      </c>
    </row>
    <row r="7" spans="2:33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'13)Grascobs 5Nutz.(a)'!K14</f>
        <v>118.75</v>
      </c>
      <c r="N7" s="452">
        <f>'13)Grascobs 5Nutz.(a)'!M14</f>
        <v>35.625</v>
      </c>
      <c r="O7" s="452">
        <f>'13)Grascobs 5Nutz.(a)'!N14</f>
        <v>23.75</v>
      </c>
      <c r="P7" s="452">
        <f>'13)Grascobs 5Nutz.(a)'!O14</f>
        <v>23.75</v>
      </c>
      <c r="Q7" s="452">
        <f>'13)Grascobs 5Nutz.(a)'!P14</f>
        <v>17.8125</v>
      </c>
      <c r="R7" s="1744">
        <f>'13)Grascobs 5Nutz.(a)'!Q14</f>
        <v>17.8125</v>
      </c>
    </row>
    <row r="8" spans="2:33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'13)Grascobs 5Nutz.(a)'!K15</f>
        <v>131.94444444444443</v>
      </c>
      <c r="N8" s="473">
        <f>'13)Grascobs 5Nutz.(a)'!M15</f>
        <v>39.583333333333329</v>
      </c>
      <c r="O8" s="473">
        <f>'13)Grascobs 5Nutz.(a)'!N15</f>
        <v>26.388888888888889</v>
      </c>
      <c r="P8" s="473">
        <f>'13)Grascobs 5Nutz.(a)'!O15</f>
        <v>26.388888888888889</v>
      </c>
      <c r="Q8" s="473">
        <f>'13)Grascobs 5Nutz.(a)'!P15</f>
        <v>19.791666666666664</v>
      </c>
      <c r="R8" s="1583">
        <f>'13)Grascobs 5Nutz.(a)'!Q15</f>
        <v>19.791666666666664</v>
      </c>
    </row>
    <row r="9" spans="2:33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'13)Grascobs 5Nutz.(a)'!K17</f>
        <v>118.75</v>
      </c>
      <c r="N9" s="452">
        <f>'13)Grascobs 5Nutz.(a)'!M17</f>
        <v>35.625</v>
      </c>
      <c r="O9" s="452">
        <f>'13)Grascobs 5Nutz.(a)'!N17</f>
        <v>23.75</v>
      </c>
      <c r="P9" s="452">
        <f>'13)Grascobs 5Nutz.(a)'!O17</f>
        <v>23.75</v>
      </c>
      <c r="Q9" s="452">
        <f>'13)Grascobs 5Nutz.(a)'!P17</f>
        <v>17.8125</v>
      </c>
      <c r="R9" s="1744">
        <f>'13)Grascobs 5Nutz.(a)'!Q17</f>
        <v>17.8125</v>
      </c>
    </row>
    <row r="10" spans="2:33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'13)Grascobs 5Nutz.(a)'!K18</f>
        <v>131.94444444444443</v>
      </c>
      <c r="N10" s="1748">
        <f>'13)Grascobs 5Nutz.(a)'!M18</f>
        <v>39.583333333333329</v>
      </c>
      <c r="O10" s="1748">
        <f>'13)Grascobs 5Nutz.(a)'!N18</f>
        <v>26.388888888888889</v>
      </c>
      <c r="P10" s="1748">
        <f>'13)Grascobs 5Nutz.(a)'!O18</f>
        <v>26.388888888888889</v>
      </c>
      <c r="Q10" s="1748">
        <f>'13)Grascobs 5Nutz.(a)'!P18</f>
        <v>19.791666666666664</v>
      </c>
      <c r="R10" s="1745">
        <f>'13)Grascobs 5Nutz.(a)'!Q18</f>
        <v>19.791666666666664</v>
      </c>
    </row>
    <row r="11" spans="2:33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'13)Grascobs 5Nutz.(a)'!K19</f>
        <v>0</v>
      </c>
      <c r="N11" s="2094">
        <f>'13)Grascobs 5Nutz.(a)'!M19</f>
        <v>0</v>
      </c>
      <c r="O11" s="2094">
        <f>'13)Grascobs 5Nutz.(a)'!N19</f>
        <v>0</v>
      </c>
      <c r="P11" s="2094">
        <f>'13)Grascobs 5Nutz.(a)'!O19</f>
        <v>0</v>
      </c>
      <c r="Q11" s="2094">
        <f>'13)Grascobs 5Nutz.(a)'!P19</f>
        <v>0</v>
      </c>
      <c r="R11" s="2078">
        <f>'13)Grascobs 5Nutz.(a)'!Q19</f>
        <v>0</v>
      </c>
    </row>
    <row r="12" spans="2:33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'13)Grascobs 5Nutz.(a)'!K22</f>
        <v>7742.5</v>
      </c>
      <c r="N12" s="1176">
        <f>'13)Grascobs 5Nutz.(a)'!M22</f>
        <v>2351.25</v>
      </c>
      <c r="O12" s="1176">
        <f>'13)Grascobs 5Nutz.(a)'!N22</f>
        <v>1567.5</v>
      </c>
      <c r="P12" s="1176">
        <f>'13)Grascobs 5Nutz.(a)'!O22</f>
        <v>1543.75</v>
      </c>
      <c r="Q12" s="1176">
        <f>'13)Grascobs 5Nutz.(a)'!P22</f>
        <v>1157.8125</v>
      </c>
      <c r="R12" s="1747">
        <f>'13)Grascobs 5Nutz.(a)'!Q22</f>
        <v>1122.1875</v>
      </c>
    </row>
    <row r="13" spans="2:33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'13)Grascobs 5Nutz.(a)'!K23</f>
        <v>12904.166666666668</v>
      </c>
      <c r="N13" s="2065">
        <f>'13)Grascobs 5Nutz.(a)'!M23</f>
        <v>3918.75</v>
      </c>
      <c r="O13" s="2065">
        <f>'13)Grascobs 5Nutz.(a)'!N23</f>
        <v>2612.5</v>
      </c>
      <c r="P13" s="2065">
        <f>'13)Grascobs 5Nutz.(a)'!O23</f>
        <v>2572.916666666667</v>
      </c>
      <c r="Q13" s="2065">
        <f>'13)Grascobs 5Nutz.(a)'!P23</f>
        <v>1929.6875</v>
      </c>
      <c r="R13" s="2067">
        <f>'13)Grascobs 5Nutz.(a)'!Q23</f>
        <v>1870.3125</v>
      </c>
    </row>
    <row r="14" spans="2:33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</row>
    <row r="15" spans="2:33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</row>
    <row r="16" spans="2:33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</row>
    <row r="17" spans="2:27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</row>
    <row r="18" spans="2:27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</row>
    <row r="19" spans="2:27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'13)Grascobs 5Nutz.(a)'!L32</f>
        <v>23.54</v>
      </c>
      <c r="N19" s="2071">
        <f>'13)Grascobs 5Nutz.(a)'!M32</f>
        <v>7.0619999999999994</v>
      </c>
      <c r="O19" s="2071">
        <f>'13)Grascobs 5Nutz.(a)'!N32</f>
        <v>4.7079999999999993</v>
      </c>
      <c r="P19" s="2071">
        <f>'13)Grascobs 5Nutz.(a)'!O32</f>
        <v>4.7079999999999993</v>
      </c>
      <c r="Q19" s="2071">
        <f>'13)Grascobs 5Nutz.(a)'!P32</f>
        <v>3.5309999999999997</v>
      </c>
      <c r="R19" s="2073">
        <f>'13)Grascobs 5Nutz.(a)'!Q32</f>
        <v>3.5309999999999997</v>
      </c>
    </row>
    <row r="20" spans="2:27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'13)Grascobs 5Nutz.(a)'!L34</f>
        <v>1026.2212916666667</v>
      </c>
      <c r="N20" s="285">
        <f>'13)Grascobs 5Nutz.(a)'!M34</f>
        <v>307.86638750000003</v>
      </c>
      <c r="O20" s="285">
        <f>'13)Grascobs 5Nutz.(a)'!N34</f>
        <v>205.24425833333333</v>
      </c>
      <c r="P20" s="285">
        <f>'13)Grascobs 5Nutz.(a)'!O34</f>
        <v>205.24425833333333</v>
      </c>
      <c r="Q20" s="285">
        <f>'13)Grascobs 5Nutz.(a)'!P34</f>
        <v>153.93319375000002</v>
      </c>
      <c r="R20" s="1574">
        <f>'13)Grascobs 5Nutz.(a)'!Q34</f>
        <v>153.93319375000002</v>
      </c>
    </row>
    <row r="21" spans="2:27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'13)Grascobs 5Nutz.(a)'!L40</f>
        <v>6.6759000000000004</v>
      </c>
      <c r="N21" s="285">
        <f>'13)Grascobs 5Nutz.(a)'!M40</f>
        <v>2.0027699999999999</v>
      </c>
      <c r="O21" s="285">
        <f>'13)Grascobs 5Nutz.(a)'!N40</f>
        <v>1.33518</v>
      </c>
      <c r="P21" s="285">
        <f>'13)Grascobs 5Nutz.(a)'!O40</f>
        <v>1.33518</v>
      </c>
      <c r="Q21" s="285">
        <f>'13)Grascobs 5Nutz.(a)'!P40</f>
        <v>1.001385</v>
      </c>
      <c r="R21" s="1574">
        <f>'13)Grascobs 5Nutz.(a)'!Q40</f>
        <v>1.001385</v>
      </c>
    </row>
    <row r="22" spans="2:27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</row>
    <row r="23" spans="2:27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'13)Grascobs 5Nutz.(a)'!L67</f>
        <v>0</v>
      </c>
      <c r="N23" s="285">
        <f>'13)Grascobs 5Nutz.(a)'!M67</f>
        <v>0</v>
      </c>
      <c r="O23" s="285">
        <f>'13)Grascobs 5Nutz.(a)'!N67</f>
        <v>0</v>
      </c>
      <c r="P23" s="285">
        <f>'13)Grascobs 5Nutz.(a)'!O67</f>
        <v>0</v>
      </c>
      <c r="Q23" s="285">
        <f>'13)Grascobs 5Nutz.(a)'!P67</f>
        <v>0</v>
      </c>
      <c r="R23" s="1574">
        <f>'13)Grascobs 5Nutz.(a)'!Q67</f>
        <v>0</v>
      </c>
    </row>
    <row r="24" spans="2:27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'13)Grascobs 5Nutz.(a)'!L43</f>
        <v>241.0965739042222</v>
      </c>
      <c r="N24" s="285">
        <f>'13)Grascobs 5Nutz.(a)'!M43</f>
        <v>53.722906503066667</v>
      </c>
      <c r="O24" s="285">
        <f>'13)Grascobs 5Nutz.(a)'!N43</f>
        <v>48.219314780844442</v>
      </c>
      <c r="P24" s="285">
        <f>'13)Grascobs 5Nutz.(a)'!O43</f>
        <v>48.219314780844442</v>
      </c>
      <c r="Q24" s="285">
        <f>'13)Grascobs 5Nutz.(a)'!P43</f>
        <v>45.46751891973333</v>
      </c>
      <c r="R24" s="1574">
        <f>'13)Grascobs 5Nutz.(a)'!Q43</f>
        <v>45.46751891973333</v>
      </c>
    </row>
    <row r="25" spans="2:27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'13)Grascobs 5Nutz.(a)'!L59</f>
        <v>2429.6574999999998</v>
      </c>
      <c r="N25" s="285">
        <f>'13)Grascobs 5Nutz.(a)'!M59</f>
        <v>727.35024999999996</v>
      </c>
      <c r="O25" s="285">
        <f>'13)Grascobs 5Nutz.(a)'!N59</f>
        <v>485.93150000000003</v>
      </c>
      <c r="P25" s="285">
        <f>'13)Grascobs 5Nutz.(a)'!O59</f>
        <v>485.93150000000003</v>
      </c>
      <c r="Q25" s="285">
        <f>'13)Grascobs 5Nutz.(a)'!P59</f>
        <v>365.22212499999995</v>
      </c>
      <c r="R25" s="1574">
        <f>'13)Grascobs 5Nutz.(a)'!Q59</f>
        <v>365.22212499999995</v>
      </c>
    </row>
    <row r="26" spans="2:27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'13)Grascobs 5Nutz.(a)'!L64</f>
        <v>0</v>
      </c>
      <c r="N26" s="1979">
        <f>'13)Grascobs 5Nutz.(a)'!M64</f>
        <v>0</v>
      </c>
      <c r="O26" s="1979">
        <f>'13)Grascobs 5Nutz.(a)'!N64</f>
        <v>0</v>
      </c>
      <c r="P26" s="1979">
        <f>'13)Grascobs 5Nutz.(a)'!O64</f>
        <v>0</v>
      </c>
      <c r="Q26" s="1979">
        <f>'13)Grascobs 5Nutz.(a)'!P64</f>
        <v>0</v>
      </c>
      <c r="R26" s="1981">
        <f>'13)Grascobs 5Nutz.(a)'!Q64</f>
        <v>0</v>
      </c>
    </row>
    <row r="27" spans="2:27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3727.1912655708884</v>
      </c>
      <c r="N27" s="2407">
        <f t="shared" si="4"/>
        <v>1098.0043140030666</v>
      </c>
      <c r="O27" s="2407">
        <f t="shared" si="4"/>
        <v>745.43825311417777</v>
      </c>
      <c r="P27" s="2407">
        <f t="shared" si="4"/>
        <v>745.43825311417777</v>
      </c>
      <c r="Q27" s="2407">
        <f t="shared" si="4"/>
        <v>569.15522266973335</v>
      </c>
      <c r="R27" s="2525">
        <f t="shared" si="4"/>
        <v>569.15522266973335</v>
      </c>
    </row>
    <row r="28" spans="2:27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-3727.1912655708884</v>
      </c>
      <c r="N28" s="1777">
        <f t="shared" si="5"/>
        <v>-1098.0043140030666</v>
      </c>
      <c r="O28" s="1777">
        <f t="shared" si="5"/>
        <v>-745.43825311417777</v>
      </c>
      <c r="P28" s="1777">
        <f t="shared" si="5"/>
        <v>-745.43825311417777</v>
      </c>
      <c r="Q28" s="1777">
        <f t="shared" si="5"/>
        <v>-569.15522266973335</v>
      </c>
      <c r="R28" s="1871">
        <f t="shared" si="5"/>
        <v>-569.15522266973335</v>
      </c>
    </row>
    <row r="29" spans="2:27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-0.48139377017383123</v>
      </c>
      <c r="N29" s="1874">
        <f t="shared" si="7"/>
        <v>-0.46698748070305862</v>
      </c>
      <c r="O29" s="1874">
        <f t="shared" si="7"/>
        <v>-0.47555869417172425</v>
      </c>
      <c r="P29" s="1874">
        <f t="shared" si="7"/>
        <v>-0.48287498177436616</v>
      </c>
      <c r="Q29" s="1874">
        <f t="shared" si="7"/>
        <v>-0.49157806006562665</v>
      </c>
      <c r="R29" s="2410">
        <f t="shared" si="7"/>
        <v>-0.50718371276612273</v>
      </c>
      <c r="U29" s="8" t="s">
        <v>1213</v>
      </c>
    </row>
    <row r="30" spans="2:27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54</v>
      </c>
      <c r="P30" s="2097">
        <f t="shared" si="8"/>
        <v>54</v>
      </c>
      <c r="Q30" s="2097">
        <f t="shared" si="8"/>
        <v>40.5</v>
      </c>
      <c r="R30" s="1744">
        <f t="shared" si="8"/>
        <v>40.5</v>
      </c>
      <c r="T30" s="3297" t="s">
        <v>1216</v>
      </c>
      <c r="U30" s="3308">
        <f>'13)Grascobs 5Nutz.(a)'!L25</f>
        <v>0</v>
      </c>
      <c r="V30" s="3308">
        <f>'13)Grascobs 5Nutz.(a)'!M25</f>
        <v>0</v>
      </c>
      <c r="W30" s="3308">
        <f>'13)Grascobs 5Nutz.(a)'!N25</f>
        <v>0</v>
      </c>
      <c r="X30" s="3308">
        <f>'13)Grascobs 5Nutz.(a)'!O25</f>
        <v>0</v>
      </c>
      <c r="Y30" s="3308">
        <f>'13)Grascobs 5Nutz.(a)'!P25</f>
        <v>0</v>
      </c>
      <c r="Z30" s="3308">
        <f>'13)Grascobs 5Nutz.(a)'!Q25</f>
        <v>0</v>
      </c>
      <c r="AA30"/>
    </row>
    <row r="31" spans="2:27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M27*'13)Grascobs 5Nutz.(a)'!$L$72*'13)Grascobs 5Nutz.(a)'!$Q$72/12/100</f>
        <v>23.294945409818052</v>
      </c>
      <c r="N31" s="1979">
        <f>N27*'13)Grascobs 5Nutz.(a)'!$L$72*'13)Grascobs 5Nutz.(a)'!$Q$72/12/100</f>
        <v>6.8625269625191656</v>
      </c>
      <c r="O31" s="1979">
        <f>O27*'13)Grascobs 5Nutz.(a)'!$L$72*'13)Grascobs 5Nutz.(a)'!$Q$72/12/100</f>
        <v>4.6589890819636111</v>
      </c>
      <c r="P31" s="1979">
        <f>P27*'13)Grascobs 5Nutz.(a)'!$L$72*'13)Grascobs 5Nutz.(a)'!$Q$72/12/100</f>
        <v>4.6589890819636111</v>
      </c>
      <c r="Q31" s="1979">
        <f>Q27*'13)Grascobs 5Nutz.(a)'!$L$72*'13)Grascobs 5Nutz.(a)'!$Q$72/12/100</f>
        <v>3.5572201416858338</v>
      </c>
      <c r="R31" s="1981">
        <f>R27*'13)Grascobs 5Nutz.(a)'!$L$72*'13)Grascobs 5Nutz.(a)'!$Q$72/12/100</f>
        <v>3.5572201416858338</v>
      </c>
      <c r="T31" s="3297" t="s">
        <v>1215</v>
      </c>
      <c r="U31" s="3308">
        <f>'13)Grascobs 5Nutz.(a)'!L30</f>
        <v>270</v>
      </c>
      <c r="V31" s="3308">
        <f>'13)Grascobs 5Nutz.(a)'!M30</f>
        <v>81</v>
      </c>
      <c r="W31" s="3308">
        <f>'13)Grascobs 5Nutz.(a)'!N30</f>
        <v>54</v>
      </c>
      <c r="X31" s="3308">
        <f>'13)Grascobs 5Nutz.(a)'!O30</f>
        <v>54</v>
      </c>
      <c r="Y31" s="3308">
        <f>'13)Grascobs 5Nutz.(a)'!P30</f>
        <v>40.5</v>
      </c>
      <c r="Z31" s="3308">
        <f>'13)Grascobs 5Nutz.(a)'!Q30</f>
        <v>40.5</v>
      </c>
    </row>
    <row r="32" spans="2:27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-3480.4862109807063</v>
      </c>
      <c r="N32" s="1769">
        <f t="shared" si="9"/>
        <v>-1023.8668409655858</v>
      </c>
      <c r="O32" s="1769">
        <f t="shared" si="9"/>
        <v>-696.09724219614134</v>
      </c>
      <c r="P32" s="1769">
        <f t="shared" si="9"/>
        <v>-696.09724219614134</v>
      </c>
      <c r="Q32" s="1769">
        <f t="shared" si="9"/>
        <v>-532.21244281141924</v>
      </c>
      <c r="R32" s="1776">
        <f t="shared" si="9"/>
        <v>-532.21244281141924</v>
      </c>
      <c r="T32" s="429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54</v>
      </c>
      <c r="X32" s="429">
        <f t="shared" si="10"/>
        <v>54</v>
      </c>
      <c r="Y32" s="429">
        <f t="shared" si="10"/>
        <v>40.5</v>
      </c>
      <c r="Z32" s="429">
        <f t="shared" si="10"/>
        <v>40.5</v>
      </c>
    </row>
    <row r="33" spans="2:26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-0.44953002402075637</v>
      </c>
      <c r="N33" s="1581">
        <f t="shared" si="11"/>
        <v>-0.43545639169190248</v>
      </c>
      <c r="O33" s="1581">
        <f t="shared" si="11"/>
        <v>-0.44408117524474727</v>
      </c>
      <c r="P33" s="1581">
        <f t="shared" si="11"/>
        <v>-0.45091319332543567</v>
      </c>
      <c r="Q33" s="1581">
        <f t="shared" si="11"/>
        <v>-0.45967066585601662</v>
      </c>
      <c r="R33" s="2404">
        <f t="shared" si="11"/>
        <v>-0.47426338540700125</v>
      </c>
    </row>
    <row r="34" spans="2:26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-0.2697180144124538</v>
      </c>
      <c r="N34" s="2149">
        <f t="shared" si="12"/>
        <v>-0.26127383501514151</v>
      </c>
      <c r="O34" s="2149">
        <f t="shared" si="12"/>
        <v>-0.26644870514684837</v>
      </c>
      <c r="P34" s="2149">
        <f t="shared" si="12"/>
        <v>-0.2705479159952614</v>
      </c>
      <c r="Q34" s="2149">
        <f t="shared" si="12"/>
        <v>-0.27580239951360996</v>
      </c>
      <c r="R34" s="2412">
        <f t="shared" si="12"/>
        <v>-0.28455803124420076</v>
      </c>
    </row>
    <row r="35" spans="2:26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</row>
    <row r="36" spans="2:26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'13)Grascobs 5Nutz.(a)'!K58</f>
        <v>13.084999999999997</v>
      </c>
      <c r="N36" s="2397">
        <f>'13)Grascobs 5Nutz.(a)'!M58</f>
        <v>2.8544999999999998</v>
      </c>
      <c r="O36" s="2397">
        <f>'13)Grascobs 5Nutz.(a)'!N58</f>
        <v>2.617</v>
      </c>
      <c r="P36" s="2397">
        <f>'13)Grascobs 5Nutz.(a)'!O58</f>
        <v>2.617</v>
      </c>
      <c r="Q36" s="2397">
        <f>'13)Grascobs 5Nutz.(a)'!P58</f>
        <v>2.4982499999999996</v>
      </c>
      <c r="R36" s="2398">
        <f>'13)Grascobs 5Nutz.(a)'!Q58</f>
        <v>2.4982499999999996</v>
      </c>
    </row>
    <row r="37" spans="2:26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'13)Grascobs 5Nutz.(a)'!K16</f>
        <v>29.320987654320987</v>
      </c>
      <c r="N37" s="2400">
        <f>'13)Grascobs 5Nutz.(a)'!M16</f>
        <v>8.7962962962962958</v>
      </c>
      <c r="O37" s="2400">
        <f>'13)Grascobs 5Nutz.(a)'!N16</f>
        <v>5.8641975308641978</v>
      </c>
      <c r="P37" s="2400">
        <f>'13)Grascobs 5Nutz.(a)'!O16</f>
        <v>5.8641975308641978</v>
      </c>
      <c r="Q37" s="2400">
        <f>'13)Grascobs 5Nutz.(a)'!P16</f>
        <v>4.3981481481481479</v>
      </c>
      <c r="R37" s="2401">
        <f>'13)Grascobs 5Nutz.(a)'!Q16</f>
        <v>4.398148148148147</v>
      </c>
    </row>
    <row r="38" spans="2:26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1997">
        <f>'13)Grascobs 5Nutz.(a)'!M78</f>
        <v>9.3018333333333345</v>
      </c>
      <c r="O38" s="1997">
        <f>'13)Grascobs 5Nutz.(a)'!N78</f>
        <v>9.3018333333333345</v>
      </c>
      <c r="P38" s="1997">
        <f>'13)Grascobs 5Nutz.(a)'!O78</f>
        <v>9.3018333333333345</v>
      </c>
      <c r="Q38" s="1997">
        <f>'13)Grascobs 5Nutz.(a)'!P78</f>
        <v>9.3018333333333345</v>
      </c>
      <c r="R38" s="1998">
        <f>'13)Grascobs 5Nutz.(a)'!Q78</f>
        <v>9.3018333333333345</v>
      </c>
    </row>
    <row r="39" spans="2:26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228.98749999999995</v>
      </c>
      <c r="N39" s="285">
        <f t="shared" si="14"/>
        <v>49.953749999999999</v>
      </c>
      <c r="O39" s="285">
        <f t="shared" si="14"/>
        <v>45.797499999999999</v>
      </c>
      <c r="P39" s="285">
        <f t="shared" si="14"/>
        <v>45.797499999999999</v>
      </c>
      <c r="Q39" s="285">
        <f t="shared" si="14"/>
        <v>43.719374999999992</v>
      </c>
      <c r="R39" s="1574">
        <f t="shared" si="14"/>
        <v>43.719374999999992</v>
      </c>
    </row>
    <row r="40" spans="2:26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272.73894032921817</v>
      </c>
      <c r="N40" s="285">
        <f>N37*N38</f>
        <v>81.821682098765436</v>
      </c>
      <c r="O40" s="285">
        <f>O37*O38</f>
        <v>54.547788065843633</v>
      </c>
      <c r="P40" s="285">
        <f>P37*P38</f>
        <v>54.547788065843633</v>
      </c>
      <c r="Q40" s="285">
        <f>Q37*Q38</f>
        <v>40.910841049382718</v>
      </c>
      <c r="R40" s="1574">
        <f>R37*R38</f>
        <v>40.910841049382711</v>
      </c>
      <c r="U40" s="3308"/>
      <c r="V40" s="3308"/>
      <c r="W40" s="3308"/>
      <c r="X40" s="3308"/>
      <c r="Y40" s="3308"/>
      <c r="Z40" s="3308"/>
    </row>
    <row r="41" spans="2:26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'Festk-Masch-Geb'!T44-'Festk-Masch-Geb'!T32-'Festk-Masch-Geb'!T36-'Festk-Masch-Geb'!T38</f>
        <v>452.6058117003368</v>
      </c>
      <c r="N41" s="285">
        <f>N$6/$M$6*$M$41</f>
        <v>135.78174351010102</v>
      </c>
      <c r="O41" s="285">
        <f>O$6/$M$6*$M$41</f>
        <v>90.521162340067363</v>
      </c>
      <c r="P41" s="285">
        <f>P$6/$M$6*$M$41</f>
        <v>90.521162340067363</v>
      </c>
      <c r="Q41" s="285">
        <f>Q$6/$M$6*$M$41</f>
        <v>67.890871755050512</v>
      </c>
      <c r="R41" s="1574">
        <f>R$6/$M$6*$M$41</f>
        <v>67.890871755050512</v>
      </c>
    </row>
    <row r="42" spans="2:26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</row>
    <row r="43" spans="2:26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</row>
    <row r="44" spans="2:26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</row>
    <row r="45" spans="2:26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1362.1522520295548</v>
      </c>
      <c r="N45" s="1991">
        <f t="shared" si="15"/>
        <v>389.90317560886649</v>
      </c>
      <c r="O45" s="1991">
        <f t="shared" si="15"/>
        <v>272.43045040591102</v>
      </c>
      <c r="P45" s="1991">
        <f t="shared" si="15"/>
        <v>272.43045040591102</v>
      </c>
      <c r="Q45" s="1991">
        <f t="shared" si="15"/>
        <v>213.69408780443322</v>
      </c>
      <c r="R45" s="1994">
        <f t="shared" si="15"/>
        <v>213.69408780443322</v>
      </c>
    </row>
    <row r="46" spans="2:26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</row>
    <row r="47" spans="2:26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</row>
    <row r="48" spans="2:26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5112.6384630102611</v>
      </c>
      <c r="N48" s="2127">
        <f t="shared" si="17"/>
        <v>1494.7700165744523</v>
      </c>
      <c r="O48" s="2041">
        <f t="shared" si="17"/>
        <v>1022.5276926020524</v>
      </c>
      <c r="P48" s="2041">
        <f t="shared" si="17"/>
        <v>1022.5276926020524</v>
      </c>
      <c r="Q48" s="2041">
        <f t="shared" si="17"/>
        <v>786.40653061585249</v>
      </c>
      <c r="R48" s="2080">
        <f t="shared" si="17"/>
        <v>786.40653061585249</v>
      </c>
    </row>
    <row r="49" spans="2:22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-5112.6384630102611</v>
      </c>
      <c r="N49" s="2125">
        <f t="shared" si="18"/>
        <v>-1494.7700165744523</v>
      </c>
      <c r="O49" s="1772">
        <f t="shared" si="18"/>
        <v>-1022.5276926020524</v>
      </c>
      <c r="P49" s="1772">
        <f t="shared" si="18"/>
        <v>-1022.5276926020524</v>
      </c>
      <c r="Q49" s="1772">
        <f t="shared" si="18"/>
        <v>-786.40653061585249</v>
      </c>
      <c r="R49" s="1773">
        <f t="shared" si="18"/>
        <v>-786.40653061585249</v>
      </c>
    </row>
    <row r="50" spans="2:22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-0.66033431876141568</v>
      </c>
      <c r="N50" s="2511">
        <f t="shared" si="19"/>
        <v>-0.63573419099391903</v>
      </c>
      <c r="O50" s="2168">
        <f t="shared" si="19"/>
        <v>-0.65233026641279257</v>
      </c>
      <c r="P50" s="2168">
        <f t="shared" si="19"/>
        <v>-0.6623661166652971</v>
      </c>
      <c r="Q50" s="2168">
        <f t="shared" si="19"/>
        <v>-0.67921751632138405</v>
      </c>
      <c r="R50" s="2187">
        <f t="shared" si="19"/>
        <v>-0.70077997715698359</v>
      </c>
    </row>
    <row r="51" spans="2:22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54</v>
      </c>
      <c r="P51" s="2185">
        <f t="shared" si="20"/>
        <v>54</v>
      </c>
      <c r="Q51" s="2185">
        <f t="shared" si="20"/>
        <v>40.5</v>
      </c>
      <c r="R51" s="2186">
        <f t="shared" si="20"/>
        <v>40.5</v>
      </c>
    </row>
    <row r="52" spans="2:22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-4842.6384630102611</v>
      </c>
      <c r="N52" s="2178">
        <f t="shared" si="21"/>
        <v>-1413.7700165744523</v>
      </c>
      <c r="O52" s="2081">
        <f t="shared" si="21"/>
        <v>-968.52769260205241</v>
      </c>
      <c r="P52" s="2081">
        <f t="shared" si="21"/>
        <v>-968.52769260205241</v>
      </c>
      <c r="Q52" s="2081">
        <f t="shared" si="21"/>
        <v>-745.90653061585249</v>
      </c>
      <c r="R52" s="2082">
        <f t="shared" si="21"/>
        <v>-745.90653061585249</v>
      </c>
    </row>
    <row r="53" spans="2:22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-0.62546186154475447</v>
      </c>
      <c r="N53" s="2511">
        <f t="shared" si="22"/>
        <v>-0.60128443022836886</v>
      </c>
      <c r="O53" s="2168">
        <f t="shared" si="22"/>
        <v>-0.6178805056472424</v>
      </c>
      <c r="P53" s="2168">
        <f t="shared" si="22"/>
        <v>-0.62738635958027689</v>
      </c>
      <c r="Q53" s="2168">
        <f t="shared" si="22"/>
        <v>-0.64423775923636384</v>
      </c>
      <c r="R53" s="2187">
        <f t="shared" si="22"/>
        <v>-0.66468975159307375</v>
      </c>
    </row>
    <row r="54" spans="2:22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</row>
    <row r="55" spans="2:22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4842.6384630102611</v>
      </c>
      <c r="N55" s="2038">
        <f t="shared" si="23"/>
        <v>1413.7700165744523</v>
      </c>
      <c r="O55" s="2038">
        <f t="shared" si="23"/>
        <v>968.52769260205241</v>
      </c>
      <c r="P55" s="2038">
        <f t="shared" si="23"/>
        <v>968.52769260205241</v>
      </c>
      <c r="Q55" s="2038">
        <f t="shared" si="23"/>
        <v>745.90653061585249</v>
      </c>
      <c r="R55" s="2039">
        <f t="shared" si="23"/>
        <v>745.90653061585249</v>
      </c>
    </row>
    <row r="56" spans="2:22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2774" t="s">
        <v>191</v>
      </c>
      <c r="M56" s="2515">
        <f t="shared" ref="M56:R56" si="25">IF(M10=0,0,M$55/M10)</f>
        <v>36.702102035446195</v>
      </c>
      <c r="N56" s="2516">
        <f t="shared" si="25"/>
        <v>35.716295155565113</v>
      </c>
      <c r="O56" s="2516">
        <f t="shared" si="25"/>
        <v>36.702102035446195</v>
      </c>
      <c r="P56" s="2516">
        <f t="shared" si="25"/>
        <v>36.702102035446195</v>
      </c>
      <c r="Q56" s="2516">
        <f t="shared" si="25"/>
        <v>37.687908915327291</v>
      </c>
      <c r="R56" s="2517">
        <f t="shared" si="25"/>
        <v>37.687908915327291</v>
      </c>
    </row>
    <row r="57" spans="2:22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40.780113372717992</v>
      </c>
      <c r="N57" s="3427">
        <f>IF($N$7=0,0,N$55/$N$9)</f>
        <v>39.684772395072343</v>
      </c>
      <c r="O57" s="3427">
        <f>IF($O$7=0,0,O$55/$O$9)</f>
        <v>40.780113372717999</v>
      </c>
      <c r="P57" s="3427">
        <f>IF($P$7=0,0,P$55/$P$9)</f>
        <v>40.780113372717999</v>
      </c>
      <c r="Q57" s="3427">
        <f>IF($Q$7=0,0,Q$55/$Q$9)</f>
        <v>41.875454350363647</v>
      </c>
      <c r="R57" s="3428">
        <f>IF($R$7=0,0,R$55/$R$9)</f>
        <v>41.875454350363647</v>
      </c>
    </row>
    <row r="58" spans="2:22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T58" s="3308" t="s">
        <v>1369</v>
      </c>
    </row>
    <row r="59" spans="2:22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0.62546186154475447</v>
      </c>
      <c r="N59" s="2136">
        <f t="shared" si="26"/>
        <v>0.60128443022836886</v>
      </c>
      <c r="O59" s="2136">
        <f t="shared" si="26"/>
        <v>0.6178805056472424</v>
      </c>
      <c r="P59" s="2136">
        <f t="shared" si="26"/>
        <v>0.62738635958027689</v>
      </c>
      <c r="Q59" s="2136">
        <f t="shared" si="26"/>
        <v>0.64423775923636384</v>
      </c>
      <c r="R59" s="2137">
        <f t="shared" si="26"/>
        <v>0.66468975159307375</v>
      </c>
    </row>
    <row r="60" spans="2:22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0.17373940598465404</v>
      </c>
      <c r="N60" s="2136">
        <f t="shared" si="27"/>
        <v>0.16702345284121359</v>
      </c>
      <c r="O60" s="2136">
        <f t="shared" si="27"/>
        <v>0.17163347379090066</v>
      </c>
      <c r="P60" s="2136">
        <f t="shared" si="27"/>
        <v>0.17427398877229913</v>
      </c>
      <c r="Q60" s="2136">
        <f t="shared" si="27"/>
        <v>0.17895493312121216</v>
      </c>
      <c r="R60" s="2137">
        <f t="shared" si="27"/>
        <v>0.18463604210918716</v>
      </c>
    </row>
    <row r="61" spans="2:22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0.62546186154475447</v>
      </c>
      <c r="N61" s="2136">
        <f t="shared" si="28"/>
        <v>0.60128443022836886</v>
      </c>
      <c r="O61" s="2136">
        <f t="shared" si="28"/>
        <v>0.6178805056472424</v>
      </c>
      <c r="P61" s="2136">
        <f t="shared" si="28"/>
        <v>0.62738635958027689</v>
      </c>
      <c r="Q61" s="2136">
        <f t="shared" si="28"/>
        <v>0.64423775923636384</v>
      </c>
      <c r="R61" s="2137">
        <f t="shared" si="28"/>
        <v>0.66468975159307375</v>
      </c>
    </row>
    <row r="62" spans="2:22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0.37527711692685262</v>
      </c>
      <c r="N62" s="2513">
        <f t="shared" si="29"/>
        <v>0.36077065813702131</v>
      </c>
      <c r="O62" s="2513">
        <f t="shared" si="29"/>
        <v>0.37072830338834545</v>
      </c>
      <c r="P62" s="2513">
        <f t="shared" si="29"/>
        <v>0.37643181574816609</v>
      </c>
      <c r="Q62" s="2513">
        <f t="shared" si="29"/>
        <v>0.38654265554181827</v>
      </c>
      <c r="R62" s="2514">
        <f t="shared" si="29"/>
        <v>0.39881385095584426</v>
      </c>
    </row>
    <row r="63" spans="2:22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3"/>
      <c r="J63" s="1563"/>
      <c r="K63" s="1563"/>
      <c r="L63" s="1590" t="s">
        <v>266</v>
      </c>
      <c r="M63" s="1769">
        <f t="shared" ref="M63:R63" si="30">M55-M40</f>
        <v>4569.899522681043</v>
      </c>
      <c r="N63" s="1769">
        <f t="shared" si="30"/>
        <v>1331.9483344756868</v>
      </c>
      <c r="O63" s="1769">
        <f t="shared" si="30"/>
        <v>913.97990453620878</v>
      </c>
      <c r="P63" s="1769">
        <f t="shared" si="30"/>
        <v>913.97990453620878</v>
      </c>
      <c r="Q63" s="1769">
        <f t="shared" si="30"/>
        <v>704.99568956646976</v>
      </c>
      <c r="R63" s="1776">
        <f t="shared" si="30"/>
        <v>704.99568956646976</v>
      </c>
    </row>
    <row r="64" spans="2:22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3"/>
      <c r="J64" s="1563"/>
      <c r="K64" s="1563"/>
      <c r="L64" s="1867" t="s">
        <v>1017</v>
      </c>
      <c r="M64" s="3426">
        <f>IF($M$7=0,0,M$63/$M$9)</f>
        <v>38.483364401524575</v>
      </c>
      <c r="N64" s="3427">
        <f>IF($N$7=0,0,N$63/$N$9)</f>
        <v>37.388023423878927</v>
      </c>
      <c r="O64" s="3427">
        <f>IF($O$7=0,0,O$63/$O$9)</f>
        <v>38.483364401524582</v>
      </c>
      <c r="P64" s="3427">
        <f>IF($P$7=0,0,P$63/$P$9)</f>
        <v>38.483364401524582</v>
      </c>
      <c r="Q64" s="3427">
        <f>IF($Q$7=0,0,Q$63/$Q$9)</f>
        <v>39.578705379170231</v>
      </c>
      <c r="R64" s="3428">
        <f>IF($R$7=0,0,R$63/$R$9)</f>
        <v>39.578705379170231</v>
      </c>
      <c r="U64" s="3530">
        <f>27.5*1.107</f>
        <v>30.442499999999999</v>
      </c>
      <c r="V64" s="3297" t="s">
        <v>1465</v>
      </c>
    </row>
    <row r="65" spans="2:18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1739"/>
      <c r="J65" s="432"/>
      <c r="K65" s="432"/>
      <c r="L65" s="1596" t="s">
        <v>271</v>
      </c>
      <c r="M65" s="2165">
        <f t="shared" ref="M65:R66" si="31">IF(M12=0,0,M$63/M12)</f>
        <v>0.59023565033013148</v>
      </c>
      <c r="N65" s="2169">
        <f t="shared" si="31"/>
        <v>0.56648520339210495</v>
      </c>
      <c r="O65" s="2169">
        <f t="shared" si="31"/>
        <v>0.58308127881097849</v>
      </c>
      <c r="P65" s="2169">
        <f t="shared" si="31"/>
        <v>0.59205176002345505</v>
      </c>
      <c r="Q65" s="2169">
        <f t="shared" si="31"/>
        <v>0.60890315967954201</v>
      </c>
      <c r="R65" s="2172">
        <f t="shared" si="31"/>
        <v>0.62823341871698779</v>
      </c>
    </row>
    <row r="66" spans="2:18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438"/>
      <c r="J66" s="438"/>
      <c r="K66" s="438"/>
      <c r="L66" s="1598" t="s">
        <v>272</v>
      </c>
      <c r="M66" s="2170">
        <f t="shared" si="31"/>
        <v>0.35414139019807883</v>
      </c>
      <c r="N66" s="2171">
        <f t="shared" si="31"/>
        <v>0.339891122035263</v>
      </c>
      <c r="O66" s="2171">
        <f t="shared" si="31"/>
        <v>0.34984876728658709</v>
      </c>
      <c r="P66" s="2171">
        <f t="shared" si="31"/>
        <v>0.35523105601407301</v>
      </c>
      <c r="Q66" s="2171">
        <f t="shared" si="31"/>
        <v>0.36534189580772525</v>
      </c>
      <c r="R66" s="2173">
        <f t="shared" si="31"/>
        <v>0.3769400512301927</v>
      </c>
    </row>
    <row r="67" spans="2:18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</row>
    <row r="68" spans="2:18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1079.7321370764846</v>
      </c>
      <c r="N68" s="1772">
        <f t="shared" si="32"/>
        <v>323.7936844625192</v>
      </c>
      <c r="O68" s="1772">
        <f t="shared" si="32"/>
        <v>215.94642741529697</v>
      </c>
      <c r="P68" s="1772">
        <f t="shared" si="32"/>
        <v>215.94642741529697</v>
      </c>
      <c r="Q68" s="1772">
        <f t="shared" si="32"/>
        <v>162.02279889168585</v>
      </c>
      <c r="R68" s="1773">
        <f t="shared" si="32"/>
        <v>162.02279889168585</v>
      </c>
    </row>
    <row r="69" spans="2:18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0.13945523242834804</v>
      </c>
      <c r="N69" s="2031">
        <f t="shared" si="33"/>
        <v>0.13771129589049194</v>
      </c>
      <c r="O69" s="2031">
        <f t="shared" si="33"/>
        <v>0.13776486597467111</v>
      </c>
      <c r="P69" s="2031">
        <f t="shared" si="33"/>
        <v>0.13988432545120452</v>
      </c>
      <c r="Q69" s="2031">
        <f t="shared" si="33"/>
        <v>0.1399387196905249</v>
      </c>
      <c r="R69" s="2032">
        <f t="shared" si="33"/>
        <v>0.14438121872831933</v>
      </c>
    </row>
    <row r="70" spans="2:18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3352.3473856045584</v>
      </c>
      <c r="N70" s="1769">
        <f t="shared" si="34"/>
        <v>966.80865001316772</v>
      </c>
      <c r="O70" s="1769">
        <f t="shared" si="34"/>
        <v>670.46947712091185</v>
      </c>
      <c r="P70" s="1769">
        <f t="shared" si="34"/>
        <v>670.46947712091185</v>
      </c>
      <c r="Q70" s="1769">
        <f t="shared" si="34"/>
        <v>522.2998906747838</v>
      </c>
      <c r="R70" s="1776">
        <f t="shared" si="34"/>
        <v>522.2998906747838</v>
      </c>
    </row>
    <row r="71" spans="2:18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0.43297996585141213</v>
      </c>
      <c r="N71" s="2168">
        <f t="shared" si="35"/>
        <v>0.41118921850639778</v>
      </c>
      <c r="O71" s="2168">
        <f t="shared" si="35"/>
        <v>0.42773172384109209</v>
      </c>
      <c r="P71" s="2168">
        <f t="shared" si="35"/>
        <v>0.43431221190018582</v>
      </c>
      <c r="Q71" s="2168">
        <f t="shared" si="35"/>
        <v>0.45110921731695225</v>
      </c>
      <c r="R71" s="2187">
        <f t="shared" si="35"/>
        <v>0.46543014485082379</v>
      </c>
    </row>
    <row r="72" spans="2:18" ht="13.7" customHeight="1" x14ac:dyDescent="0.2">
      <c r="B72" s="1589"/>
      <c r="C72" s="1768"/>
      <c r="E72" s="1768"/>
      <c r="F72" s="1768"/>
      <c r="G72" s="1768"/>
      <c r="H72" s="1768"/>
    </row>
    <row r="73" spans="2:18" x14ac:dyDescent="0.2">
      <c r="C73" s="7" t="s">
        <v>1383</v>
      </c>
    </row>
    <row r="97" spans="5:18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</row>
    <row r="98" spans="5:18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</row>
  </sheetData>
  <sheetProtection sheet="1" objects="1" scenarios="1"/>
  <mergeCells count="16">
    <mergeCell ref="B6:B13"/>
    <mergeCell ref="B3:B5"/>
    <mergeCell ref="B55:B71"/>
    <mergeCell ref="D19:D23"/>
    <mergeCell ref="D24:D26"/>
    <mergeCell ref="D28:K28"/>
    <mergeCell ref="D32:K32"/>
    <mergeCell ref="B47:B53"/>
    <mergeCell ref="B28:B34"/>
    <mergeCell ref="B19:B27"/>
    <mergeCell ref="B36:B45"/>
    <mergeCell ref="B1:H1"/>
    <mergeCell ref="L1:N1"/>
    <mergeCell ref="O1:R1"/>
    <mergeCell ref="I3:M3"/>
    <mergeCell ref="F3:G3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41&amp;9
&amp;R&amp;12&amp;F
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FFC000"/>
  </sheetPr>
  <dimension ref="A1:CJ61"/>
  <sheetViews>
    <sheetView showGridLines="0" zoomScale="70" zoomScaleNormal="70" zoomScaleSheetLayoutView="64" workbookViewId="0">
      <pane xSplit="4" ySplit="4" topLeftCell="E5" activePane="bottomRight" state="frozen"/>
      <selection activeCell="O6" sqref="O6"/>
      <selection pane="topRight" activeCell="O6" sqref="O6"/>
      <selection pane="bottomLeft" activeCell="O6" sqref="O6"/>
      <selection pane="bottomRight"/>
    </sheetView>
  </sheetViews>
  <sheetFormatPr baseColWidth="10" defaultRowHeight="12.75" x14ac:dyDescent="0.2"/>
  <cols>
    <col min="1" max="1" width="2.140625" style="8" customWidth="1"/>
    <col min="2" max="2" width="54.42578125" style="778" customWidth="1"/>
    <col min="3" max="3" width="19.140625" style="778" customWidth="1"/>
    <col min="4" max="4" width="20.85546875" style="1543" customWidth="1"/>
    <col min="5" max="7" width="12.28515625" style="783" customWidth="1"/>
    <col min="8" max="8" width="12.28515625" style="782" customWidth="1"/>
    <col min="9" max="9" width="12.28515625" style="783" customWidth="1"/>
    <col min="10" max="16" width="12.28515625" style="782" customWidth="1"/>
    <col min="17" max="17" width="14" style="782" customWidth="1"/>
    <col min="18" max="19" width="12.7109375" style="782" customWidth="1"/>
    <col min="20" max="22" width="15.28515625" style="782" customWidth="1"/>
    <col min="23" max="27" width="14.5703125" style="782" customWidth="1"/>
    <col min="28" max="31" width="14.5703125" style="783" customWidth="1"/>
    <col min="32" max="32" width="2.7109375" style="783" hidden="1" customWidth="1"/>
    <col min="33" max="35" width="10.85546875" style="783" customWidth="1"/>
    <col min="36" max="44" width="9.5703125" style="783" customWidth="1"/>
    <col min="45" max="62" width="10.28515625" style="783" customWidth="1"/>
    <col min="63" max="64" width="12.7109375" style="782" customWidth="1"/>
    <col min="65" max="67" width="10.85546875" style="782" customWidth="1"/>
    <col min="68" max="70" width="9.7109375" style="782" customWidth="1"/>
    <col min="71" max="79" width="9.28515625" style="782" hidden="1" customWidth="1"/>
    <col min="80" max="82" width="10.85546875" style="782" hidden="1" customWidth="1"/>
    <col min="83" max="88" width="10.85546875" style="782" customWidth="1"/>
  </cols>
  <sheetData>
    <row r="1" spans="1:88" ht="71.25" customHeight="1" thickBot="1" x14ac:dyDescent="0.25">
      <c r="A1" s="7"/>
      <c r="B1" s="783"/>
      <c r="C1" s="3761"/>
      <c r="D1" s="3761"/>
      <c r="AS1" s="3691"/>
      <c r="AT1" s="3691"/>
      <c r="AU1" s="3691"/>
      <c r="AV1" s="3691"/>
      <c r="AW1" s="3691"/>
      <c r="AX1" s="3691"/>
      <c r="AY1" s="3691"/>
      <c r="AZ1" s="3691"/>
      <c r="BA1" s="3691"/>
      <c r="BB1" s="3691"/>
      <c r="BC1" s="3691"/>
      <c r="BD1" s="3691"/>
      <c r="BE1" s="3691"/>
      <c r="BF1" s="3691"/>
      <c r="BG1" s="3691"/>
      <c r="BH1" s="3691"/>
      <c r="BI1" s="3691"/>
      <c r="BJ1" s="3691"/>
      <c r="BK1" s="3692"/>
      <c r="BL1" s="3692"/>
      <c r="BM1" s="3692"/>
      <c r="BN1" s="3692"/>
      <c r="BO1" s="3692"/>
      <c r="BP1" s="3692"/>
      <c r="BQ1" s="3692"/>
      <c r="BR1" s="3692"/>
      <c r="BS1" s="3692"/>
      <c r="BT1" s="3692"/>
      <c r="BU1" s="3692"/>
      <c r="BV1" s="3692"/>
      <c r="BW1" s="3692"/>
      <c r="BX1" s="3692"/>
      <c r="BY1" s="3692"/>
      <c r="BZ1" s="3692"/>
      <c r="CA1" s="3692"/>
      <c r="CB1" s="3692"/>
      <c r="CC1" s="3692"/>
      <c r="CD1" s="3692"/>
      <c r="CE1" s="3692"/>
      <c r="CF1" s="3692"/>
      <c r="CG1" s="3692"/>
      <c r="CH1" s="3692"/>
      <c r="CI1" s="3692"/>
      <c r="CJ1" s="3692"/>
    </row>
    <row r="2" spans="1:88" s="172" customFormat="1" ht="29.85" customHeight="1" thickBot="1" x14ac:dyDescent="0.25">
      <c r="A2" s="8"/>
      <c r="B2" s="2786" t="s">
        <v>222</v>
      </c>
      <c r="C2" s="2229"/>
      <c r="D2" s="2787">
        <f>Ausglleist!AA3</f>
        <v>2022</v>
      </c>
      <c r="E2" s="2379"/>
      <c r="F2" s="2229"/>
      <c r="G2" s="2788" t="s">
        <v>223</v>
      </c>
      <c r="H2" s="2788"/>
      <c r="I2" s="2788"/>
      <c r="J2" s="2788"/>
      <c r="K2" s="2788"/>
      <c r="L2" s="2788"/>
      <c r="M2" s="2788"/>
      <c r="N2" s="2788"/>
      <c r="O2" s="2788"/>
      <c r="P2" s="2788"/>
      <c r="Q2" s="2788"/>
      <c r="R2" s="2789"/>
      <c r="S2" s="2789"/>
      <c r="T2" s="4185" t="s">
        <v>224</v>
      </c>
      <c r="U2" s="4181"/>
      <c r="V2" s="4181"/>
      <c r="W2" s="4181"/>
      <c r="X2" s="4181"/>
      <c r="Y2" s="4181"/>
      <c r="Z2" s="4181"/>
      <c r="AA2" s="4181"/>
      <c r="AB2" s="4181"/>
      <c r="AC2" s="4181"/>
      <c r="AD2" s="4181"/>
      <c r="AE2" s="4186"/>
      <c r="AF2" s="2775"/>
      <c r="AG2" s="4181"/>
      <c r="AH2" s="4181"/>
      <c r="AI2" s="4181"/>
      <c r="AJ2" s="4181"/>
      <c r="AK2" s="4181"/>
      <c r="AL2" s="4181"/>
      <c r="AM2" s="4181"/>
      <c r="AN2" s="4181"/>
      <c r="AO2" s="4181"/>
      <c r="AP2" s="4181"/>
      <c r="AQ2" s="4181"/>
      <c r="AR2" s="4181"/>
      <c r="AS2" s="4178" t="s">
        <v>665</v>
      </c>
      <c r="AT2" s="4179"/>
      <c r="AU2" s="4179"/>
      <c r="AV2" s="4179"/>
      <c r="AW2" s="4179"/>
      <c r="AX2" s="4179"/>
      <c r="AY2" s="4179"/>
      <c r="AZ2" s="4179"/>
      <c r="BA2" s="4179"/>
      <c r="BB2" s="4179"/>
      <c r="BC2" s="4179"/>
      <c r="BD2" s="4179"/>
      <c r="BE2" s="4179"/>
      <c r="BF2" s="4179"/>
      <c r="BG2" s="4179"/>
      <c r="BH2" s="4179"/>
      <c r="BI2" s="4179"/>
      <c r="BJ2" s="4180"/>
      <c r="BK2" s="4178" t="s">
        <v>763</v>
      </c>
      <c r="BL2" s="4179"/>
      <c r="BM2" s="4179"/>
      <c r="BN2" s="4179"/>
      <c r="BO2" s="4179"/>
      <c r="BP2" s="4179"/>
      <c r="BQ2" s="4179"/>
      <c r="BR2" s="4179"/>
      <c r="BS2" s="4179"/>
      <c r="BT2" s="4179"/>
      <c r="BU2" s="4179"/>
      <c r="BV2" s="4179"/>
      <c r="BW2" s="4179"/>
      <c r="BX2" s="4179"/>
      <c r="BY2" s="4179"/>
      <c r="BZ2" s="4179"/>
      <c r="CA2" s="4180"/>
      <c r="CB2" s="2505"/>
      <c r="CC2" s="2939"/>
      <c r="CD2" s="2505"/>
      <c r="CE2" s="2505"/>
      <c r="CF2" s="2505"/>
      <c r="CG2" s="2505"/>
      <c r="CH2" s="2505"/>
      <c r="CI2" s="2505"/>
      <c r="CJ2" s="2940"/>
    </row>
    <row r="3" spans="1:88" s="172" customFormat="1" ht="53.45" customHeight="1" thickBot="1" x14ac:dyDescent="0.25">
      <c r="A3" s="893"/>
      <c r="B3" s="2790" t="s">
        <v>782</v>
      </c>
      <c r="C3" s="2791"/>
      <c r="D3" s="2792"/>
      <c r="E3" s="4174" t="s">
        <v>458</v>
      </c>
      <c r="F3" s="4175"/>
      <c r="G3" s="4176"/>
      <c r="H3" s="4174" t="s">
        <v>459</v>
      </c>
      <c r="I3" s="4175"/>
      <c r="J3" s="4175"/>
      <c r="K3" s="4175"/>
      <c r="L3" s="4175"/>
      <c r="M3" s="4175"/>
      <c r="N3" s="4176"/>
      <c r="O3" s="4174" t="s">
        <v>460</v>
      </c>
      <c r="P3" s="4176"/>
      <c r="Q3" s="1791" t="s">
        <v>461</v>
      </c>
      <c r="R3" s="4174" t="s">
        <v>462</v>
      </c>
      <c r="S3" s="4177"/>
      <c r="T3" s="3684" t="s">
        <v>1639</v>
      </c>
      <c r="U3" s="3684" t="s">
        <v>409</v>
      </c>
      <c r="V3" s="3685" t="s">
        <v>1641</v>
      </c>
      <c r="W3" s="4182" t="s">
        <v>158</v>
      </c>
      <c r="X3" s="4183"/>
      <c r="Y3" s="4184"/>
      <c r="Z3" s="4182" t="s">
        <v>1059</v>
      </c>
      <c r="AA3" s="4183"/>
      <c r="AB3" s="4184"/>
      <c r="AC3" s="4187" t="s">
        <v>1642</v>
      </c>
      <c r="AD3" s="4188"/>
      <c r="AE3" s="4189"/>
      <c r="AF3" s="3731"/>
      <c r="AG3" s="4187" t="s">
        <v>1091</v>
      </c>
      <c r="AH3" s="4190"/>
      <c r="AI3" s="4191"/>
      <c r="AJ3" s="4187" t="s">
        <v>844</v>
      </c>
      <c r="AK3" s="4190"/>
      <c r="AL3" s="4191"/>
      <c r="AM3" s="4187" t="s">
        <v>847</v>
      </c>
      <c r="AN3" s="4190"/>
      <c r="AO3" s="4191"/>
      <c r="AP3" s="4187" t="s">
        <v>88</v>
      </c>
      <c r="AQ3" s="4190"/>
      <c r="AR3" s="4191"/>
      <c r="AS3" s="4187" t="s">
        <v>845</v>
      </c>
      <c r="AT3" s="4190"/>
      <c r="AU3" s="4191"/>
      <c r="AV3" s="4187" t="s">
        <v>666</v>
      </c>
      <c r="AW3" s="4190"/>
      <c r="AX3" s="4191"/>
      <c r="AY3" s="4187" t="s">
        <v>881</v>
      </c>
      <c r="AZ3" s="4190"/>
      <c r="BA3" s="4191"/>
      <c r="BB3" s="4187" t="s">
        <v>1463</v>
      </c>
      <c r="BC3" s="4190"/>
      <c r="BD3" s="4191"/>
      <c r="BE3" s="4187" t="s">
        <v>536</v>
      </c>
      <c r="BF3" s="4190"/>
      <c r="BG3" s="4191"/>
      <c r="BH3" s="4187" t="s">
        <v>692</v>
      </c>
      <c r="BI3" s="4190"/>
      <c r="BJ3" s="4191"/>
      <c r="BK3" s="3740" t="s">
        <v>781</v>
      </c>
      <c r="BL3" s="3741" t="s">
        <v>667</v>
      </c>
      <c r="BM3" s="4187" t="s">
        <v>668</v>
      </c>
      <c r="BN3" s="4190"/>
      <c r="BO3" s="4191"/>
      <c r="BP3" s="4187" t="s">
        <v>669</v>
      </c>
      <c r="BQ3" s="4190"/>
      <c r="BR3" s="4191"/>
      <c r="BS3" s="3500" t="s">
        <v>521</v>
      </c>
      <c r="BT3" s="3529"/>
      <c r="BU3" s="3732"/>
      <c r="BV3" s="3500" t="s">
        <v>522</v>
      </c>
      <c r="BW3" s="3529"/>
      <c r="BX3" s="3732"/>
      <c r="BY3" s="3500" t="s">
        <v>523</v>
      </c>
      <c r="BZ3" s="3529"/>
      <c r="CA3" s="3732"/>
      <c r="CB3" s="4187" t="s">
        <v>1460</v>
      </c>
      <c r="CC3" s="4190"/>
      <c r="CD3" s="4191"/>
      <c r="CE3" s="4187" t="s">
        <v>670</v>
      </c>
      <c r="CF3" s="4190"/>
      <c r="CG3" s="4191"/>
      <c r="CH3" s="4187" t="s">
        <v>1459</v>
      </c>
      <c r="CI3" s="4190"/>
      <c r="CJ3" s="4191"/>
    </row>
    <row r="4" spans="1:88" s="172" customFormat="1" ht="38.85" customHeight="1" x14ac:dyDescent="0.2">
      <c r="A4" s="894"/>
      <c r="B4" s="2230" t="s">
        <v>132</v>
      </c>
      <c r="C4" s="2546"/>
      <c r="D4" s="2202"/>
      <c r="E4" s="3696" t="s">
        <v>1630</v>
      </c>
      <c r="F4" s="3729" t="s">
        <v>1631</v>
      </c>
      <c r="G4" s="3730" t="s">
        <v>1632</v>
      </c>
      <c r="H4" s="3696" t="s">
        <v>1090</v>
      </c>
      <c r="I4" s="3733" t="s">
        <v>1633</v>
      </c>
      <c r="J4" s="3734" t="s">
        <v>814</v>
      </c>
      <c r="K4" s="3733" t="s">
        <v>1636</v>
      </c>
      <c r="L4" s="3733" t="s">
        <v>1637</v>
      </c>
      <c r="M4" s="3733" t="s">
        <v>1638</v>
      </c>
      <c r="N4" s="3735" t="s">
        <v>1434</v>
      </c>
      <c r="O4" s="3736" t="s">
        <v>1634</v>
      </c>
      <c r="P4" s="3737" t="s">
        <v>133</v>
      </c>
      <c r="Q4" s="3738" t="s">
        <v>134</v>
      </c>
      <c r="R4" s="3733" t="s">
        <v>1635</v>
      </c>
      <c r="S4" s="3733" t="s">
        <v>173</v>
      </c>
      <c r="T4" s="3736" t="s">
        <v>1649</v>
      </c>
      <c r="U4" s="3736" t="s">
        <v>1640</v>
      </c>
      <c r="V4" s="3739" t="s">
        <v>1640</v>
      </c>
      <c r="W4" s="1794" t="s">
        <v>135</v>
      </c>
      <c r="X4" s="1795" t="s">
        <v>136</v>
      </c>
      <c r="Y4" s="1793" t="s">
        <v>137</v>
      </c>
      <c r="Z4" s="1792" t="s">
        <v>135</v>
      </c>
      <c r="AA4" s="1795" t="s">
        <v>136</v>
      </c>
      <c r="AB4" s="1796" t="s">
        <v>137</v>
      </c>
      <c r="AC4" s="1792" t="s">
        <v>135</v>
      </c>
      <c r="AD4" s="1795" t="s">
        <v>136</v>
      </c>
      <c r="AE4" s="1796" t="s">
        <v>137</v>
      </c>
      <c r="AF4" s="2776"/>
      <c r="AG4" s="1794" t="s">
        <v>135</v>
      </c>
      <c r="AH4" s="1795" t="s">
        <v>136</v>
      </c>
      <c r="AI4" s="2231" t="s">
        <v>137</v>
      </c>
      <c r="AJ4" s="1794" t="s">
        <v>135</v>
      </c>
      <c r="AK4" s="1795" t="s">
        <v>136</v>
      </c>
      <c r="AL4" s="2231" t="s">
        <v>137</v>
      </c>
      <c r="AM4" s="1794" t="s">
        <v>135</v>
      </c>
      <c r="AN4" s="1795" t="s">
        <v>136</v>
      </c>
      <c r="AO4" s="2231" t="s">
        <v>137</v>
      </c>
      <c r="AP4" s="1794" t="s">
        <v>135</v>
      </c>
      <c r="AQ4" s="1795" t="s">
        <v>136</v>
      </c>
      <c r="AR4" s="2231" t="s">
        <v>137</v>
      </c>
      <c r="AS4" s="1792" t="s">
        <v>135</v>
      </c>
      <c r="AT4" s="1795" t="s">
        <v>136</v>
      </c>
      <c r="AU4" s="2231" t="s">
        <v>137</v>
      </c>
      <c r="AV4" s="1794" t="s">
        <v>135</v>
      </c>
      <c r="AW4" s="1795" t="s">
        <v>136</v>
      </c>
      <c r="AX4" s="2231" t="s">
        <v>137</v>
      </c>
      <c r="AY4" s="1794" t="s">
        <v>135</v>
      </c>
      <c r="AZ4" s="1795" t="s">
        <v>136</v>
      </c>
      <c r="BA4" s="2231" t="s">
        <v>137</v>
      </c>
      <c r="BB4" s="1794" t="s">
        <v>135</v>
      </c>
      <c r="BC4" s="1795" t="s">
        <v>136</v>
      </c>
      <c r="BD4" s="2231" t="s">
        <v>137</v>
      </c>
      <c r="BE4" s="2627" t="s">
        <v>318</v>
      </c>
      <c r="BF4" s="2627" t="s">
        <v>136</v>
      </c>
      <c r="BG4" s="2627" t="s">
        <v>137</v>
      </c>
      <c r="BH4" s="2627" t="s">
        <v>318</v>
      </c>
      <c r="BI4" s="2627" t="s">
        <v>136</v>
      </c>
      <c r="BJ4" s="2627" t="s">
        <v>137</v>
      </c>
      <c r="BK4" s="3499" t="s">
        <v>1458</v>
      </c>
      <c r="BL4" s="3499" t="s">
        <v>1458</v>
      </c>
      <c r="BM4" s="2627" t="s">
        <v>318</v>
      </c>
      <c r="BN4" s="2627" t="s">
        <v>136</v>
      </c>
      <c r="BO4" s="2627" t="s">
        <v>137</v>
      </c>
      <c r="BP4" s="2627" t="s">
        <v>318</v>
      </c>
      <c r="BQ4" s="2627" t="s">
        <v>136</v>
      </c>
      <c r="BR4" s="2627" t="s">
        <v>137</v>
      </c>
      <c r="BS4" s="2627" t="s">
        <v>318</v>
      </c>
      <c r="BT4" s="2627" t="s">
        <v>136</v>
      </c>
      <c r="BU4" s="2627" t="s">
        <v>137</v>
      </c>
      <c r="BV4" s="2627" t="s">
        <v>318</v>
      </c>
      <c r="BW4" s="2627" t="s">
        <v>136</v>
      </c>
      <c r="BX4" s="2627" t="s">
        <v>137</v>
      </c>
      <c r="BY4" s="2627" t="s">
        <v>318</v>
      </c>
      <c r="BZ4" s="2627" t="s">
        <v>136</v>
      </c>
      <c r="CA4" s="2627" t="s">
        <v>137</v>
      </c>
      <c r="CB4" s="2627" t="s">
        <v>318</v>
      </c>
      <c r="CC4" s="2627" t="s">
        <v>136</v>
      </c>
      <c r="CD4" s="2627" t="s">
        <v>137</v>
      </c>
      <c r="CE4" s="2627" t="s">
        <v>318</v>
      </c>
      <c r="CF4" s="2627" t="s">
        <v>136</v>
      </c>
      <c r="CG4" s="2627" t="s">
        <v>137</v>
      </c>
      <c r="CH4" s="2627" t="s">
        <v>318</v>
      </c>
      <c r="CI4" s="2627" t="s">
        <v>136</v>
      </c>
      <c r="CJ4" s="2627" t="s">
        <v>137</v>
      </c>
    </row>
    <row r="5" spans="1:88" s="172" customFormat="1" ht="17.100000000000001" customHeight="1" x14ac:dyDescent="0.2">
      <c r="A5" s="890"/>
      <c r="B5" s="2232" t="s">
        <v>138</v>
      </c>
      <c r="C5" s="1828"/>
      <c r="D5" s="2203" t="s">
        <v>139</v>
      </c>
      <c r="E5" s="1202">
        <f>'1)Grünf. 3Nutz.(b)'!$M$6</f>
        <v>75</v>
      </c>
      <c r="F5" s="1204">
        <f>'2)Grünf. 4Nutz.(b)'!$M$6</f>
        <v>90</v>
      </c>
      <c r="G5" s="1201">
        <f>'3)Grünf. 5Nutz.(b)'!$M$6</f>
        <v>125</v>
      </c>
      <c r="H5" s="1203">
        <f>'4)GS 3Nutz.eig.mech.(b)'!$M$6</f>
        <v>75</v>
      </c>
      <c r="I5" s="1200">
        <f>'5)GS 4Nutz.eig.mech(b)'!$M$6</f>
        <v>90</v>
      </c>
      <c r="J5" s="1204">
        <f>'6)GS 5Nutz.eig.mech.(b)'!$M$6</f>
        <v>125</v>
      </c>
      <c r="K5" s="1200">
        <f>'7)GS3Nutz.Fremdmech(b)'!$M$6</f>
        <v>75</v>
      </c>
      <c r="L5" s="1200">
        <f>'8)GS4Nutz.Fremdmech(b)'!$M$6</f>
        <v>90</v>
      </c>
      <c r="M5" s="1200">
        <f>'9)GS 5Nutz.Fremd(b)'!$M$6</f>
        <v>125</v>
      </c>
      <c r="N5" s="1202">
        <f>'10) GS 3Nutz. Ballensil.(b)'!$M$6</f>
        <v>75</v>
      </c>
      <c r="O5" s="1203">
        <f>'11)Heu 2Nutz.-(b)'!$M$6</f>
        <v>60</v>
      </c>
      <c r="P5" s="1200">
        <f>'12)Heu 3Nutz.(b)'!$M$6</f>
        <v>85</v>
      </c>
      <c r="Q5" s="2246">
        <f>'13)Grascobs 5Nutz.(b)'!$M$6</f>
        <v>125</v>
      </c>
      <c r="R5" s="1204">
        <f>'14)Weide_ext.(b)'!$M$6</f>
        <v>60</v>
      </c>
      <c r="S5" s="1200">
        <f>'15)Weide int. 4Nutz.(b)'!$M$6</f>
        <v>90</v>
      </c>
      <c r="T5" s="1203">
        <f>'17)Kleegras-GrünFu-Eig.mech(b)'!$M$6</f>
        <v>110</v>
      </c>
      <c r="U5" s="1204">
        <f>'18)Kleegrassi-Fremnernt(b)'!$M$6</f>
        <v>110</v>
      </c>
      <c r="V5" s="1201">
        <f>'19)LuzerneSil-Fremdernte(b)'!$M$6</f>
        <v>110</v>
      </c>
      <c r="W5" s="1200">
        <f>'20)Silomais int(b)'!$M6</f>
        <v>120</v>
      </c>
      <c r="X5" s="1204">
        <f>'20)Silomais int(b)'!$N6</f>
        <v>145</v>
      </c>
      <c r="Y5" s="1206">
        <f>'20)Silomais int(b)'!$O6</f>
        <v>170</v>
      </c>
      <c r="Z5" s="1203">
        <f>'21)Futterrüben(b)'!$M6</f>
        <v>110</v>
      </c>
      <c r="AA5" s="1204">
        <f>'21)Futterrüben(b)'!$N6</f>
        <v>130</v>
      </c>
      <c r="AB5" s="1201">
        <f>'21)Futterrüben(b)'!$O6</f>
        <v>150</v>
      </c>
      <c r="AC5" s="1207">
        <f>'22)ZWF-Raps-(b)'!M6</f>
        <v>25</v>
      </c>
      <c r="AD5" s="1204">
        <f>'22)ZWF-Raps-(b)'!N6</f>
        <v>32</v>
      </c>
      <c r="AE5" s="1205">
        <f>'22)ZWF-Raps-(b)'!O6</f>
        <v>40</v>
      </c>
      <c r="AF5" s="2458"/>
      <c r="AG5" s="1200">
        <f>'23)GPS-(b)'!M6</f>
        <v>90</v>
      </c>
      <c r="AH5" s="1204">
        <f>'23)GPS-(b)'!N6</f>
        <v>105</v>
      </c>
      <c r="AI5" s="1201">
        <f>'23)GPS-(b)'!O6</f>
        <v>120</v>
      </c>
      <c r="AJ5" s="1200">
        <f>'24)Mais LKS-(b)'!M6</f>
        <v>100</v>
      </c>
      <c r="AK5" s="1204">
        <f>'24)Mais LKS-(b)'!N6</f>
        <v>115</v>
      </c>
      <c r="AL5" s="1201">
        <f>'24)Mais LKS-(b)'!O6</f>
        <v>130</v>
      </c>
      <c r="AM5" s="1200">
        <f>'25)Mais CCM-(b)'!M6</f>
        <v>90</v>
      </c>
      <c r="AN5" s="1204">
        <f>'25)Mais CCM-(b)'!N6</f>
        <v>105</v>
      </c>
      <c r="AO5" s="1201">
        <f>'25)Mais CCM-(b)'!O6</f>
        <v>120</v>
      </c>
      <c r="AP5" s="1203">
        <f>'26)M(ais feucht-b)'!$M6</f>
        <v>80</v>
      </c>
      <c r="AQ5" s="1204">
        <f>'26)M(ais feucht-b)'!$N6</f>
        <v>95</v>
      </c>
      <c r="AR5" s="1201">
        <f>'26)M(ais feucht-b)'!$O6</f>
        <v>110</v>
      </c>
      <c r="AS5" s="1203">
        <f>'27)Silomais Biogas ab Feld-(b)'!M6</f>
        <v>120</v>
      </c>
      <c r="AT5" s="1204">
        <f>'27)Silomais Biogas ab Feld-(b)'!N6</f>
        <v>150</v>
      </c>
      <c r="AU5" s="1201">
        <f>'27)Silomais Biogas ab Feld-(b)'!O6</f>
        <v>180</v>
      </c>
      <c r="AV5" s="1200">
        <f>'28)Silomais Biogas ex Silo (b)'!M6</f>
        <v>120</v>
      </c>
      <c r="AW5" s="1204">
        <f>'28)Silomais Biogas ex Silo (b)'!N6</f>
        <v>150</v>
      </c>
      <c r="AX5" s="1201">
        <f>'28)Silomais Biogas ex Silo (b)'!O6</f>
        <v>180</v>
      </c>
      <c r="AY5" s="1200">
        <f>'29)Triticale-GPS Biogas Feld(b)'!M6</f>
        <v>100</v>
      </c>
      <c r="AZ5" s="1204">
        <f>'29)Triticale-GPS Biogas Feld(b)'!N6</f>
        <v>120</v>
      </c>
      <c r="BA5" s="1201">
        <f>'29)Triticale-GPS Biogas Feld(b)'!O6</f>
        <v>140</v>
      </c>
      <c r="BB5" s="1200">
        <f>'30)Tritic-GPS Biogas ex Silo(b)'!M6</f>
        <v>100</v>
      </c>
      <c r="BC5" s="1204">
        <f>'30)Tritic-GPS Biogas ex Silo(b)'!N6</f>
        <v>120</v>
      </c>
      <c r="BD5" s="1201">
        <f>'30)Tritic-GPS Biogas ex Silo(b)'!O6</f>
        <v>140</v>
      </c>
      <c r="BE5" s="1205">
        <f>'33)Kleegrassil 4N Biogas aF(b)'!M6</f>
        <v>90</v>
      </c>
      <c r="BF5" s="1201">
        <f>'33)Kleegrassil 4N Biogas aF(b)'!N6</f>
        <v>110</v>
      </c>
      <c r="BG5" s="1201">
        <f>'33)Kleegrassil 4N Biogas aF(b)'!O6</f>
        <v>130</v>
      </c>
      <c r="BH5" s="1201">
        <f>'34)Kleegrassil 4N Biog ex S(b)'!M6</f>
        <v>100</v>
      </c>
      <c r="BI5" s="1201">
        <f>'34)Kleegrassil 4N Biog ex S(b)'!N6</f>
        <v>120</v>
      </c>
      <c r="BJ5" s="1201">
        <f>'34)Kleegrassil 4N Biog ex S(b)'!O6</f>
        <v>140</v>
      </c>
      <c r="BK5" s="2246">
        <f>'36)GS 3Nutz. Biogas Feld-(b)'!$M$6</f>
        <v>75</v>
      </c>
      <c r="BL5" s="2246">
        <f>'37)GS 3Nutz. Biogas ex Silo (b)'!$M$6</f>
        <v>75</v>
      </c>
      <c r="BM5" s="1201">
        <f>'40)GrünroggenVFBiogas ex S(b)'!M6</f>
        <v>50</v>
      </c>
      <c r="BN5" s="1201">
        <f>'40)GrünroggenVFBiogas ex S(b)'!N6</f>
        <v>60</v>
      </c>
      <c r="BO5" s="1201">
        <f>'40)GrünroggenVFBiogas ex S(b)'!O6</f>
        <v>70</v>
      </c>
      <c r="BP5" s="1201">
        <f>'42)Grürog.+Silom. Biog ex S(b)'!M6</f>
        <v>160</v>
      </c>
      <c r="BQ5" s="1201">
        <f>'42)Grürog.+Silom. Biog ex S(b)'!N6</f>
        <v>190</v>
      </c>
      <c r="BR5" s="1201">
        <f>'42)Grürog.+Silom. Biog ex S(b)'!O6</f>
        <v>220</v>
      </c>
      <c r="BS5" s="1201">
        <f>'44)Sudangras HF Biogas ex S(b)'!M6</f>
        <v>100</v>
      </c>
      <c r="BT5" s="1201">
        <f>'44)Sudangras HF Biogas ex S(b)'!N6</f>
        <v>130</v>
      </c>
      <c r="BU5" s="1201">
        <f>'44)Sudangras HF Biogas ex S(b)'!O6</f>
        <v>160</v>
      </c>
      <c r="BV5" s="1201">
        <f>'51) GPS Weidelgras Biog aF (b)'!M6</f>
        <v>125</v>
      </c>
      <c r="BW5" s="1201">
        <f>'51) GPS Weidelgras Biog aF (b)'!N6</f>
        <v>150</v>
      </c>
      <c r="BX5" s="1201">
        <f>'51) GPS Weidelgras Biog aF (b)'!O6</f>
        <v>175</v>
      </c>
      <c r="BY5" s="1201">
        <f>'48)Zuhirse HF Biogas ex S(b)'!M6</f>
        <v>100</v>
      </c>
      <c r="BZ5" s="1201">
        <f>'48)Zuhirse HF Biogas ex S(b)'!N6</f>
        <v>130</v>
      </c>
      <c r="CA5" s="1201">
        <f>'48)Zuhirse HF Biogas ex S(b)'!O6</f>
        <v>160</v>
      </c>
      <c r="CB5" s="1201">
        <f>'46)GPS+Sudangr Biogas ex S(b)'!M6</f>
        <v>180</v>
      </c>
      <c r="CC5" s="1201">
        <f>'46)GPS+Sudangr Biogas ex S(b)'!N6</f>
        <v>200</v>
      </c>
      <c r="CD5" s="1201">
        <f>'46)GPS+Sudangr Biogas ex S(b)'!O6</f>
        <v>220</v>
      </c>
      <c r="CE5" s="1201">
        <f>'48)Zuhirse HF Biogas ex S(b)'!M6</f>
        <v>100</v>
      </c>
      <c r="CF5" s="1201">
        <f>'48)Zuhirse HF Biogas ex S(b)'!N6</f>
        <v>130</v>
      </c>
      <c r="CG5" s="1201">
        <f>'48)Zuhirse HF Biogas ex S(b)'!O6</f>
        <v>160</v>
      </c>
      <c r="CH5" s="1201">
        <f>'54)Dw. Silphie Biogas ex S(b)'!M6</f>
        <v>100</v>
      </c>
      <c r="CI5" s="1201">
        <f>'54)Dw. Silphie Biogas ex S(b)'!N6</f>
        <v>130</v>
      </c>
      <c r="CJ5" s="1201">
        <f>'54)Dw. Silphie Biogas ex S(b)'!O6</f>
        <v>160</v>
      </c>
    </row>
    <row r="6" spans="1:88" s="172" customFormat="1" ht="17.100000000000001" customHeight="1" x14ac:dyDescent="0.2">
      <c r="A6" s="891"/>
      <c r="B6" s="2232" t="s">
        <v>52</v>
      </c>
      <c r="C6" s="1828"/>
      <c r="D6" s="2203" t="s">
        <v>139</v>
      </c>
      <c r="E6" s="1210">
        <f>'1)Grünf. 3Nutz.(b)'!$M$7</f>
        <v>71.25</v>
      </c>
      <c r="F6" s="1212">
        <f>'2)Grünf. 4Nutz.(b)'!$M$7</f>
        <v>85.5</v>
      </c>
      <c r="G6" s="1209">
        <f>'3)Grünf. 5Nutz.(b)'!$M$7</f>
        <v>118.75</v>
      </c>
      <c r="H6" s="1211">
        <f>'4)GS 3Nutz.eig.mech.(b)'!$M$7</f>
        <v>71.25</v>
      </c>
      <c r="I6" s="1208">
        <f>'5)GS 4Nutz.eig.mech(b)'!$M$7</f>
        <v>85.5</v>
      </c>
      <c r="J6" s="1212">
        <f>'6)GS 5Nutz.eig.mech.(b)'!$M$7</f>
        <v>118.75</v>
      </c>
      <c r="K6" s="1208">
        <f>'7)GS3Nutz.Fremdmech(b)'!$M$7</f>
        <v>71.25</v>
      </c>
      <c r="L6" s="1208">
        <f>'8)GS4Nutz.Fremdmech(b)'!$M$7</f>
        <v>85.5</v>
      </c>
      <c r="M6" s="1208">
        <f>'9)GS 5Nutz.Fremd(b)'!$M$7</f>
        <v>118.75</v>
      </c>
      <c r="N6" s="1210">
        <f>'10) GS 3Nutz. Ballensil.(b)'!$M$7</f>
        <v>71.25</v>
      </c>
      <c r="O6" s="1211">
        <f>'11)Heu 2Nutz.-(b)'!$M$7</f>
        <v>54</v>
      </c>
      <c r="P6" s="1208">
        <f>'12)Heu 3Nutz.(b)'!$M$7</f>
        <v>76.5</v>
      </c>
      <c r="Q6" s="2247">
        <f>'13)Grascobs 5Nutz.(b)'!$M$7</f>
        <v>118.75</v>
      </c>
      <c r="R6" s="1212">
        <f>'14)Weide_ext.(b)'!$M$7</f>
        <v>48</v>
      </c>
      <c r="S6" s="1208">
        <f>'15)Weide int. 4Nutz.(b)'!$M$7</f>
        <v>72</v>
      </c>
      <c r="T6" s="1211">
        <f>'17)Kleegras-GrünFu-Eig.mech(b)'!$M$7</f>
        <v>104.5</v>
      </c>
      <c r="U6" s="1212">
        <f>'18)Kleegrassi-Fremnernt(b)'!$M$7</f>
        <v>104.5</v>
      </c>
      <c r="V6" s="1209">
        <f>'19)LuzerneSil-Fremdernte(b)'!$M$7</f>
        <v>104.5</v>
      </c>
      <c r="W6" s="1208">
        <f>'20)Silomais int(b)'!$M7</f>
        <v>114</v>
      </c>
      <c r="X6" s="1212">
        <f>'20)Silomais int(b)'!$N7</f>
        <v>137.75</v>
      </c>
      <c r="Y6" s="1214">
        <f>'20)Silomais int(b)'!$O7</f>
        <v>161.5</v>
      </c>
      <c r="Z6" s="1211">
        <f>'21)Futterrüben(b)'!$M7</f>
        <v>104.5</v>
      </c>
      <c r="AA6" s="1212">
        <f>'21)Futterrüben(b)'!$N7</f>
        <v>123.5</v>
      </c>
      <c r="AB6" s="1209">
        <f>'21)Futterrüben(b)'!$O7</f>
        <v>142.5</v>
      </c>
      <c r="AC6" s="1215">
        <f>'22)ZWF-Raps-(b)'!M7</f>
        <v>23.75</v>
      </c>
      <c r="AD6" s="1212">
        <f>'22)ZWF-Raps-(b)'!N7</f>
        <v>30.4</v>
      </c>
      <c r="AE6" s="1213">
        <f>'22)ZWF-Raps-(b)'!O7</f>
        <v>38</v>
      </c>
      <c r="AF6" s="2777"/>
      <c r="AG6" s="1208">
        <f>'23)GPS-(b)'!M7</f>
        <v>85.5</v>
      </c>
      <c r="AH6" s="1212">
        <f>'23)GPS-(b)'!N7</f>
        <v>99.75</v>
      </c>
      <c r="AI6" s="1209">
        <f>'23)GPS-(b)'!O7</f>
        <v>114</v>
      </c>
      <c r="AJ6" s="1208">
        <f>'24)Mais LKS-(b)'!M7</f>
        <v>95</v>
      </c>
      <c r="AK6" s="1212">
        <f>'24)Mais LKS-(b)'!N7</f>
        <v>109.25</v>
      </c>
      <c r="AL6" s="1209">
        <f>'24)Mais LKS-(b)'!O7</f>
        <v>123.5</v>
      </c>
      <c r="AM6" s="1208">
        <f>'25)Mais CCM-(b)'!M7</f>
        <v>85.5</v>
      </c>
      <c r="AN6" s="1212">
        <f>'25)Mais CCM-(b)'!N7</f>
        <v>99.75</v>
      </c>
      <c r="AO6" s="1209">
        <f>'25)Mais CCM-(b)'!O7</f>
        <v>114</v>
      </c>
      <c r="AP6" s="1211">
        <f>'26)M(ais feucht-b)'!$M7</f>
        <v>76</v>
      </c>
      <c r="AQ6" s="1212">
        <f>'26)M(ais feucht-b)'!$N7</f>
        <v>90.25</v>
      </c>
      <c r="AR6" s="1209">
        <f>'26)M(ais feucht-b)'!$O7</f>
        <v>104.5</v>
      </c>
      <c r="AS6" s="1211">
        <f>'27)Silomais Biogas ab Feld-(b)'!M7</f>
        <v>114</v>
      </c>
      <c r="AT6" s="1212">
        <f>'27)Silomais Biogas ab Feld-(b)'!N7</f>
        <v>142.5</v>
      </c>
      <c r="AU6" s="1209">
        <f>'27)Silomais Biogas ab Feld-(b)'!O7</f>
        <v>171</v>
      </c>
      <c r="AV6" s="1208">
        <f>'28)Silomais Biogas ex Silo (b)'!M7</f>
        <v>114</v>
      </c>
      <c r="AW6" s="1212">
        <f>'28)Silomais Biogas ex Silo (b)'!N7</f>
        <v>142.5</v>
      </c>
      <c r="AX6" s="1209">
        <f>'28)Silomais Biogas ex Silo (b)'!O7</f>
        <v>171</v>
      </c>
      <c r="AY6" s="1208">
        <f>'29)Triticale-GPS Biogas Feld(b)'!M7</f>
        <v>95</v>
      </c>
      <c r="AZ6" s="1212">
        <f>'29)Triticale-GPS Biogas Feld(b)'!N7</f>
        <v>114</v>
      </c>
      <c r="BA6" s="1209">
        <f>'29)Triticale-GPS Biogas Feld(b)'!O7</f>
        <v>133</v>
      </c>
      <c r="BB6" s="1208">
        <f>'30)Tritic-GPS Biogas ex Silo(b)'!M7</f>
        <v>95</v>
      </c>
      <c r="BC6" s="1212">
        <f>'30)Tritic-GPS Biogas ex Silo(b)'!N7</f>
        <v>114</v>
      </c>
      <c r="BD6" s="1209">
        <f>'30)Tritic-GPS Biogas ex Silo(b)'!O7</f>
        <v>133</v>
      </c>
      <c r="BE6" s="1213">
        <f>'33)Kleegrassil 4N Biogas aF(b)'!M7</f>
        <v>85.5</v>
      </c>
      <c r="BF6" s="1209">
        <f>'33)Kleegrassil 4N Biogas aF(b)'!N7</f>
        <v>104.5</v>
      </c>
      <c r="BG6" s="1209">
        <f>'33)Kleegrassil 4N Biogas aF(b)'!O7</f>
        <v>123.5</v>
      </c>
      <c r="BH6" s="1209">
        <f>'34)Kleegrassil 4N Biog ex S(b)'!M7</f>
        <v>95</v>
      </c>
      <c r="BI6" s="1209">
        <f>'34)Kleegrassil 4N Biog ex S(b)'!N7</f>
        <v>114</v>
      </c>
      <c r="BJ6" s="1209">
        <f>'34)Kleegrassil 4N Biog ex S(b)'!O7</f>
        <v>133</v>
      </c>
      <c r="BK6" s="2247">
        <f>'36)GS 3Nutz. Biogas Feld-(b)'!$M$7</f>
        <v>71.25</v>
      </c>
      <c r="BL6" s="2247">
        <f>'37)GS 3Nutz. Biogas ex Silo (b)'!$M$7</f>
        <v>71.25</v>
      </c>
      <c r="BM6" s="1209">
        <f>'40)GrünroggenVFBiogas ex S(b)'!M7</f>
        <v>47.5</v>
      </c>
      <c r="BN6" s="1209">
        <f>'40)GrünroggenVFBiogas ex S(b)'!N7</f>
        <v>57</v>
      </c>
      <c r="BO6" s="1209">
        <f>'40)GrünroggenVFBiogas ex S(b)'!O7</f>
        <v>66.5</v>
      </c>
      <c r="BP6" s="1209">
        <f>'42)Grürog.+Silom. Biog ex S(b)'!M7</f>
        <v>160</v>
      </c>
      <c r="BQ6" s="1209">
        <f>'42)Grürog.+Silom. Biog ex S(b)'!N7</f>
        <v>180.5</v>
      </c>
      <c r="BR6" s="1209">
        <f>'42)Grürog.+Silom. Biog ex S(b)'!O7</f>
        <v>209</v>
      </c>
      <c r="BS6" s="1209">
        <f>'44)Sudangras HF Biogas ex S(b)'!M7</f>
        <v>95</v>
      </c>
      <c r="BT6" s="1209">
        <f>'44)Sudangras HF Biogas ex S(b)'!N7</f>
        <v>123.5</v>
      </c>
      <c r="BU6" s="1209">
        <f>'44)Sudangras HF Biogas ex S(b)'!O7</f>
        <v>152</v>
      </c>
      <c r="BV6" s="1209">
        <f>'51) GPS Weidelgras Biog aF (b)'!M7</f>
        <v>118.75</v>
      </c>
      <c r="BW6" s="1209">
        <f>'51) GPS Weidelgras Biog aF (b)'!N7</f>
        <v>142.5</v>
      </c>
      <c r="BX6" s="1209">
        <f>'51) GPS Weidelgras Biog aF (b)'!O7</f>
        <v>166.25</v>
      </c>
      <c r="BY6" s="1209">
        <f>'48)Zuhirse HF Biogas ex S(b)'!M7</f>
        <v>95</v>
      </c>
      <c r="BZ6" s="1209">
        <f>'48)Zuhirse HF Biogas ex S(b)'!N7</f>
        <v>123.5</v>
      </c>
      <c r="CA6" s="1209">
        <f>'48)Zuhirse HF Biogas ex S(b)'!O7</f>
        <v>152</v>
      </c>
      <c r="CB6" s="1209">
        <f>'46)GPS+Sudangr Biogas ex S(b)'!M7</f>
        <v>171</v>
      </c>
      <c r="CC6" s="1209">
        <f>'46)GPS+Sudangr Biogas ex S(b)'!N7</f>
        <v>190</v>
      </c>
      <c r="CD6" s="1209">
        <f>'46)GPS+Sudangr Biogas ex S(b)'!O7</f>
        <v>209</v>
      </c>
      <c r="CE6" s="1209">
        <f>'48)Zuhirse HF Biogas ex S(b)'!M7</f>
        <v>95</v>
      </c>
      <c r="CF6" s="1209">
        <f>'48)Zuhirse HF Biogas ex S(b)'!N7</f>
        <v>123.5</v>
      </c>
      <c r="CG6" s="1209">
        <f>'48)Zuhirse HF Biogas ex S(b)'!O7</f>
        <v>152</v>
      </c>
      <c r="CH6" s="1209">
        <f>'54)Dw. Silphie Biogas ex S(b)'!M7</f>
        <v>95</v>
      </c>
      <c r="CI6" s="1209">
        <f>'54)Dw. Silphie Biogas ex S(b)'!N7</f>
        <v>123.5</v>
      </c>
      <c r="CJ6" s="1209">
        <f>'54)Dw. Silphie Biogas ex S(b)'!O7</f>
        <v>152</v>
      </c>
    </row>
    <row r="7" spans="1:88" s="172" customFormat="1" ht="17.100000000000001" customHeight="1" x14ac:dyDescent="0.2">
      <c r="A7" s="891"/>
      <c r="B7" s="2233" t="s">
        <v>829</v>
      </c>
      <c r="C7" s="2547"/>
      <c r="D7" s="2204" t="s">
        <v>830</v>
      </c>
      <c r="E7" s="1210">
        <f>'1)Grünf. 3Nutz.(b)'!$M$8</f>
        <v>395.83333333333337</v>
      </c>
      <c r="F7" s="1212">
        <f>'2)Grünf. 4Nutz.(b)'!$M$8</f>
        <v>475</v>
      </c>
      <c r="G7" s="1209">
        <f>'3)Grünf. 5Nutz.(b)'!$M$8</f>
        <v>659.72222222222229</v>
      </c>
      <c r="H7" s="1211">
        <f>'4)GS 3Nutz.eig.mech.(b)'!$M$8</f>
        <v>203.57142857142856</v>
      </c>
      <c r="I7" s="1208">
        <f>'5)GS 4Nutz.eig.mech(b)'!$M$8</f>
        <v>244.28571428571431</v>
      </c>
      <c r="J7" s="1212">
        <f>'6)GS 5Nutz.eig.mech.(b)'!$M$8</f>
        <v>339.28571428571422</v>
      </c>
      <c r="K7" s="1208">
        <f>'7)GS3Nutz.Fremdmech(b)'!$M$8</f>
        <v>203.57142857142856</v>
      </c>
      <c r="L7" s="1208">
        <f>'8)GS4Nutz.Fremdmech(b)'!$M$8</f>
        <v>244.28571428571431</v>
      </c>
      <c r="M7" s="1208">
        <f>'9)GS 5Nutz.Fremd(b)'!$M$8</f>
        <v>339.28571428571422</v>
      </c>
      <c r="N7" s="1210">
        <f>'10) GS 3Nutz. Ballensil.(b)'!$M$8</f>
        <v>203.57142857142856</v>
      </c>
      <c r="O7" s="1211">
        <f>'11)Heu 2Nutz.-(b)'!$M$8</f>
        <v>62.790697674418603</v>
      </c>
      <c r="P7" s="1208">
        <f>'12)Heu 3Nutz.(b)'!$M$8</f>
        <v>88.95348837209302</v>
      </c>
      <c r="Q7" s="2247">
        <f>'13)Grascobs 5Nutz.(b)'!$M$8</f>
        <v>131.94444444444443</v>
      </c>
      <c r="R7" s="1212">
        <f>'14)Weide_ext.(b)'!$M$8</f>
        <v>300</v>
      </c>
      <c r="S7" s="1208">
        <f>'15)Weide int. 4Nutz.(b)'!$M$8</f>
        <v>450</v>
      </c>
      <c r="T7" s="1211">
        <f>'17)Kleegras-GrünFu-Eig.mech(b)'!$M$8</f>
        <v>653.125</v>
      </c>
      <c r="U7" s="1212">
        <f>'18)Kleegrassi-Fremnernt(b)'!$M$8</f>
        <v>316.66666666666663</v>
      </c>
      <c r="V7" s="1209">
        <f>'19)LuzerneSil-Fremdernte(b)'!$M$8</f>
        <v>316.66666666666663</v>
      </c>
      <c r="W7" s="1208">
        <f>'20)Silomais int(b)'!$M8</f>
        <v>345.45454545454544</v>
      </c>
      <c r="X7" s="1212">
        <f>'20)Silomais int(b)'!$N8</f>
        <v>417.42424242424238</v>
      </c>
      <c r="Y7" s="1214">
        <f>'20)Silomais int(b)'!$O8</f>
        <v>489.39393939393938</v>
      </c>
      <c r="Z7" s="1211">
        <f>'21)Futterrüben(b)'!$M8</f>
        <v>803.84615384615381</v>
      </c>
      <c r="AA7" s="1212">
        <f>'21)Futterrüben(b)'!$N8</f>
        <v>950</v>
      </c>
      <c r="AB7" s="1209">
        <f>'21)Futterrüben(b)'!$O8</f>
        <v>1096.1538461538462</v>
      </c>
      <c r="AC7" s="1215">
        <f>'22)ZWF-Raps-(b)'!M8</f>
        <v>197.91666666666669</v>
      </c>
      <c r="AD7" s="1212">
        <f>'22)ZWF-Raps-(b)'!N8</f>
        <v>253.33333333333331</v>
      </c>
      <c r="AE7" s="1213">
        <f>'22)ZWF-Raps-(b)'!O8</f>
        <v>316.66666666666663</v>
      </c>
      <c r="AF7" s="2777"/>
      <c r="AG7" s="1208">
        <f>'23)GPS-(b)'!M8</f>
        <v>213.75000000000003</v>
      </c>
      <c r="AH7" s="1212">
        <f>'23)GPS-(b)'!N8</f>
        <v>249.375</v>
      </c>
      <c r="AI7" s="1209">
        <f>'23)GPS-(b)'!O8</f>
        <v>285</v>
      </c>
      <c r="AJ7" s="1208">
        <f>'24)Mais LKS-(b)'!M8</f>
        <v>182.69230769230768</v>
      </c>
      <c r="AK7" s="1212">
        <f>'24)Mais LKS-(b)'!N8</f>
        <v>210.09615384615384</v>
      </c>
      <c r="AL7" s="1209">
        <f>'24)Mais LKS-(b)'!O8</f>
        <v>237.5</v>
      </c>
      <c r="AM7" s="1208">
        <f>'25)Mais CCM-(b)'!M8</f>
        <v>135.71428571428572</v>
      </c>
      <c r="AN7" s="1212">
        <f>'25)Mais CCM-(b)'!N8</f>
        <v>158.33333333333331</v>
      </c>
      <c r="AO7" s="1209">
        <f>'25)Mais CCM-(b)'!O8</f>
        <v>180.95238095238096</v>
      </c>
      <c r="AP7" s="1211">
        <f>'26)M(ais feucht-b)'!$M8</f>
        <v>116.92307692307693</v>
      </c>
      <c r="AQ7" s="1212">
        <f>'26)M(ais feucht-b)'!$N8</f>
        <v>138.84615384615384</v>
      </c>
      <c r="AR7" s="1209">
        <f>'26)M(ais feucht-b)'!$O8</f>
        <v>160.76923076923077</v>
      </c>
      <c r="AS7" s="1211">
        <f>'27)Silomais Biogas ab Feld-(b)'!M8</f>
        <v>345.45454545454544</v>
      </c>
      <c r="AT7" s="1212">
        <f>'27)Silomais Biogas ab Feld-(b)'!N8</f>
        <v>431.81818181818181</v>
      </c>
      <c r="AU7" s="1209">
        <f>'27)Silomais Biogas ab Feld-(b)'!O8</f>
        <v>518.18181818181813</v>
      </c>
      <c r="AV7" s="1208">
        <f>'28)Silomais Biogas ex Silo (b)'!M8</f>
        <v>345.45454545454544</v>
      </c>
      <c r="AW7" s="1212">
        <f>'28)Silomais Biogas ex Silo (b)'!N8</f>
        <v>431.81818181818181</v>
      </c>
      <c r="AX7" s="1209">
        <f>'28)Silomais Biogas ex Silo (b)'!O8</f>
        <v>518.18181818181813</v>
      </c>
      <c r="AY7" s="1208">
        <f>'29)Triticale-GPS Biogas Feld(b)'!M8</f>
        <v>271.42857142857144</v>
      </c>
      <c r="AZ7" s="1212">
        <f>'29)Triticale-GPS Biogas Feld(b)'!N8</f>
        <v>325.71428571428572</v>
      </c>
      <c r="BA7" s="1209">
        <f>'29)Triticale-GPS Biogas Feld(b)'!O8</f>
        <v>380</v>
      </c>
      <c r="BB7" s="1208">
        <f>'30)Tritic-GPS Biogas ex Silo(b)'!M8</f>
        <v>271.42857142857144</v>
      </c>
      <c r="BC7" s="1212">
        <f>'30)Tritic-GPS Biogas ex Silo(b)'!N8</f>
        <v>325.71428571428572</v>
      </c>
      <c r="BD7" s="1209">
        <f>'30)Tritic-GPS Biogas ex Silo(b)'!O8</f>
        <v>380</v>
      </c>
      <c r="BE7" s="1213">
        <f>'33)Kleegrassil 4N Biogas aF(b)'!M8</f>
        <v>285</v>
      </c>
      <c r="BF7" s="1209">
        <f>'33)Kleegrassil 4N Biogas aF(b)'!N8</f>
        <v>348.33333333333331</v>
      </c>
      <c r="BG7" s="1209">
        <f>'33)Kleegrassil 4N Biogas aF(b)'!O8</f>
        <v>411.66666666666663</v>
      </c>
      <c r="BH7" s="1209">
        <f>'34)Kleegrassil 4N Biog ex S(b)'!M8</f>
        <v>296.875</v>
      </c>
      <c r="BI7" s="1209">
        <f>'34)Kleegrassil 4N Biog ex S(b)'!N8</f>
        <v>356.25</v>
      </c>
      <c r="BJ7" s="1209">
        <f>'34)Kleegrassil 4N Biog ex S(b)'!O8</f>
        <v>415.625</v>
      </c>
      <c r="BK7" s="2247">
        <f>'36)GS 3Nutz. Biogas Feld-(b)'!$M$8</f>
        <v>203.57142857142858</v>
      </c>
      <c r="BL7" s="2247">
        <f>'37)GS 3Nutz. Biogas ex Silo (b)'!$M$8</f>
        <v>203.57142857142858</v>
      </c>
      <c r="BM7" s="1209">
        <f>'40)GrünroggenVFBiogas ex S(b)'!M8</f>
        <v>190</v>
      </c>
      <c r="BN7" s="1209">
        <f>'40)GrünroggenVFBiogas ex S(b)'!N8</f>
        <v>227.99999999999997</v>
      </c>
      <c r="BO7" s="1209">
        <f>'40)GrünroggenVFBiogas ex S(b)'!O8</f>
        <v>266</v>
      </c>
      <c r="BP7" s="1209">
        <f>'42)Grürog.+Silom. Biog ex S(b)'!M8</f>
        <v>516.12903225806451</v>
      </c>
      <c r="BQ7" s="1209">
        <f>'42)Grürog.+Silom. Biog ex S(b)'!N8</f>
        <v>582.25806451612902</v>
      </c>
      <c r="BR7" s="1209">
        <f>'42)Grürog.+Silom. Biog ex S(b)'!O8</f>
        <v>674.19354838709683</v>
      </c>
      <c r="BS7" s="1209">
        <f>'44)Sudangras HF Biogas ex S(b)'!M8</f>
        <v>339.28571428571428</v>
      </c>
      <c r="BT7" s="1209">
        <f>'44)Sudangras HF Biogas ex S(b)'!N8</f>
        <v>441.07142857142856</v>
      </c>
      <c r="BU7" s="1209">
        <f>'44)Sudangras HF Biogas ex S(b)'!O8</f>
        <v>542.85714285714289</v>
      </c>
      <c r="BV7" s="1209">
        <f>'51) GPS Weidelgras Biog aF (b)'!M8</f>
        <v>475</v>
      </c>
      <c r="BW7" s="1209">
        <f>'51) GPS Weidelgras Biog aF (b)'!N8</f>
        <v>570</v>
      </c>
      <c r="BX7" s="1209">
        <f>'51) GPS Weidelgras Biog aF (b)'!O8</f>
        <v>665</v>
      </c>
      <c r="BY7" s="1209">
        <f>'48)Zuhirse HF Biogas ex S(b)'!M8</f>
        <v>339.28571428571428</v>
      </c>
      <c r="BZ7" s="1209">
        <f>'48)Zuhirse HF Biogas ex S(b)'!N8</f>
        <v>441.07142857142856</v>
      </c>
      <c r="CA7" s="1209">
        <f>'48)Zuhirse HF Biogas ex S(b)'!O8</f>
        <v>542.85714285714289</v>
      </c>
      <c r="CB7" s="1209">
        <f>'46)GPS+Sudangr Biogas ex S(b)'!M8</f>
        <v>551.61290322580646</v>
      </c>
      <c r="CC7" s="1209">
        <f>'46)GPS+Sudangr Biogas ex S(b)'!N8</f>
        <v>612.90322580645159</v>
      </c>
      <c r="CD7" s="1209">
        <f>'46)GPS+Sudangr Biogas ex S(b)'!O8</f>
        <v>674.19354838709683</v>
      </c>
      <c r="CE7" s="1209">
        <f>'48)Zuhirse HF Biogas ex S(b)'!M8</f>
        <v>339.28571428571428</v>
      </c>
      <c r="CF7" s="1209">
        <f>'48)Zuhirse HF Biogas ex S(b)'!N8</f>
        <v>441.07142857142856</v>
      </c>
      <c r="CG7" s="1209">
        <f>'48)Zuhirse HF Biogas ex S(b)'!O8</f>
        <v>542.85714285714289</v>
      </c>
      <c r="CH7" s="1209">
        <f>'54)Dw. Silphie Biogas ex S(b)'!M8</f>
        <v>339.28571428571428</v>
      </c>
      <c r="CI7" s="1209">
        <f>'54)Dw. Silphie Biogas ex S(b)'!N8</f>
        <v>441.07142857142856</v>
      </c>
      <c r="CJ7" s="1209">
        <f>'54)Dw. Silphie Biogas ex S(b)'!O8</f>
        <v>542.85714285714289</v>
      </c>
    </row>
    <row r="8" spans="1:88" s="2772" customFormat="1" ht="17.100000000000001" customHeight="1" x14ac:dyDescent="0.2">
      <c r="A8" s="890"/>
      <c r="B8" s="2232" t="s">
        <v>373</v>
      </c>
      <c r="C8" s="1828"/>
      <c r="D8" s="2203" t="s">
        <v>830</v>
      </c>
      <c r="E8" s="1202">
        <f>'1)Grünf. 3Nutz.(b)'!$M$10</f>
        <v>395.83333333333337</v>
      </c>
      <c r="F8" s="1204">
        <f>'2)Grünf. 4Nutz.(b)'!$M$10</f>
        <v>475</v>
      </c>
      <c r="G8" s="1201">
        <f>'3)Grünf. 5Nutz.(b)'!$M$10</f>
        <v>659.72222222222229</v>
      </c>
      <c r="H8" s="1203">
        <f>'4)GS 3Nutz.eig.mech.(b)'!$M$10</f>
        <v>179.08783783783781</v>
      </c>
      <c r="I8" s="1200">
        <f>'5)GS 4Nutz.eig.mech(b)'!$M$10</f>
        <v>214.90540540540542</v>
      </c>
      <c r="J8" s="1204">
        <f>'6)GS 5Nutz.eig.mech.(b)'!$M$10</f>
        <v>298.47972972972968</v>
      </c>
      <c r="K8" s="1200">
        <f>'7)GS3Nutz.Fremdmech(b)'!$M$10</f>
        <v>179.08783783783781</v>
      </c>
      <c r="L8" s="1200">
        <f>'8)GS4Nutz.Fremdmech(b)'!$M$10</f>
        <v>214.90540540540542</v>
      </c>
      <c r="M8" s="1200">
        <f>'9)GS 5Nutz.Fremd(b)'!$M$10</f>
        <v>298.47972972972968</v>
      </c>
      <c r="N8" s="1202">
        <f>'10) GS 3Nutz. Ballensil.(b)'!$M$10</f>
        <v>179.08783783783781</v>
      </c>
      <c r="O8" s="1203">
        <f>'11)Heu 2Nutz.-(b)'!$M$10</f>
        <v>58.295454545454547</v>
      </c>
      <c r="P8" s="1200">
        <f>'12)Heu 3Nutz.(b)'!$M$10</f>
        <v>82.585227272727266</v>
      </c>
      <c r="Q8" s="2246">
        <f>'13)Grascobs 5Nutz.(b)'!$M$10</f>
        <v>131.94444444444443</v>
      </c>
      <c r="R8" s="1204">
        <f>'14)Weide_ext.(b)'!$M$10</f>
        <v>300</v>
      </c>
      <c r="S8" s="1200">
        <f>'15)Weide int. 4Nutz.(b)'!$M$10</f>
        <v>450</v>
      </c>
      <c r="T8" s="1203">
        <f>'17)Kleegras-GrünFu-Eig.mech(b)'!$M$10</f>
        <v>653.125</v>
      </c>
      <c r="U8" s="1204">
        <f>'18)Kleegrassi-Fremnernt(b)'!$M$10</f>
        <v>277.67142857142858</v>
      </c>
      <c r="V8" s="1201">
        <f>'19)LuzerneSil-Fremdernte(b)'!$M$10</f>
        <v>277.67142857142858</v>
      </c>
      <c r="W8" s="1200">
        <f>'20)Silomais int(b)'!$M10</f>
        <v>319.20000000000005</v>
      </c>
      <c r="X8" s="1204">
        <f>'20)Silomais int(b)'!$N10</f>
        <v>385.70000000000005</v>
      </c>
      <c r="Y8" s="1206">
        <f>'20)Silomais int(b)'!$O10</f>
        <v>452.20000000000005</v>
      </c>
      <c r="Z8" s="1203">
        <f>'21)Futterrüben(b)'!$M10</f>
        <v>647.9</v>
      </c>
      <c r="AA8" s="1204">
        <f>'21)Futterrüben(b)'!$N10</f>
        <v>765.7</v>
      </c>
      <c r="AB8" s="1201">
        <f>'21)Futterrüben(b)'!$O10</f>
        <v>883.50000000000011</v>
      </c>
      <c r="AC8" s="1207">
        <f>'22)ZWF-Raps-(b)'!M10</f>
        <v>197.91666666666669</v>
      </c>
      <c r="AD8" s="1204">
        <f>'22)ZWF-Raps-(b)'!N10</f>
        <v>253.33333333333331</v>
      </c>
      <c r="AE8" s="1205">
        <f>'22)ZWF-Raps-(b)'!O10</f>
        <v>316.66666666666663</v>
      </c>
      <c r="AF8" s="2458"/>
      <c r="AG8" s="1200">
        <f>'23)GPS-(b)'!M10</f>
        <v>209.47500000000002</v>
      </c>
      <c r="AH8" s="1204">
        <f>'23)GPS-(b)'!N10</f>
        <v>244.38749999999999</v>
      </c>
      <c r="AI8" s="1201">
        <f>'23)GPS-(b)'!O10</f>
        <v>279.3</v>
      </c>
      <c r="AJ8" s="1200">
        <f>'24)Mais LKS-(b)'!M10</f>
        <v>172.40740740740739</v>
      </c>
      <c r="AK8" s="1204">
        <f>'24)Mais LKS-(b)'!N10</f>
        <v>198.26851851851853</v>
      </c>
      <c r="AL8" s="1201">
        <f>'24)Mais LKS-(b)'!O10</f>
        <v>224.12962962962962</v>
      </c>
      <c r="AM8" s="1200">
        <f>'25)Mais CCM-(b)'!M10</f>
        <v>128.90769230769232</v>
      </c>
      <c r="AN8" s="1204">
        <f>'25)Mais CCM-(b)'!N10</f>
        <v>150.3923076923077</v>
      </c>
      <c r="AO8" s="1201">
        <f>'25)Mais CCM-(b)'!O10</f>
        <v>171.87692307692308</v>
      </c>
      <c r="AP8" s="1203">
        <f>'26)M(ais feucht-b)'!$M10</f>
        <v>111.16417910447763</v>
      </c>
      <c r="AQ8" s="1204">
        <f>'26)M(ais feucht-b)'!$N10</f>
        <v>132.00746268656715</v>
      </c>
      <c r="AR8" s="1201">
        <f>'26)M(ais feucht-b)'!$O10</f>
        <v>152.85074626865671</v>
      </c>
      <c r="AS8" s="1203">
        <f>'27)Silomais Biogas ab Feld-(b)'!M10</f>
        <v>319.20000000000005</v>
      </c>
      <c r="AT8" s="1204">
        <f>'27)Silomais Biogas ab Feld-(b)'!N10</f>
        <v>399</v>
      </c>
      <c r="AU8" s="1201">
        <f>'27)Silomais Biogas ab Feld-(b)'!O10</f>
        <v>478.8</v>
      </c>
      <c r="AV8" s="1200">
        <f>'28)Silomais Biogas ex Silo (b)'!M10</f>
        <v>319.20000000000005</v>
      </c>
      <c r="AW8" s="1204">
        <f>'28)Silomais Biogas ex Silo (b)'!N10</f>
        <v>399</v>
      </c>
      <c r="AX8" s="1201">
        <f>'28)Silomais Biogas ex Silo (b)'!O10</f>
        <v>478.8</v>
      </c>
      <c r="AY8" s="1200">
        <f>'29)Triticale-GPS Biogas Feld(b)'!M10</f>
        <v>251.62162162162161</v>
      </c>
      <c r="AZ8" s="1204">
        <f>'29)Triticale-GPS Biogas Feld(b)'!N10</f>
        <v>301.94594594594594</v>
      </c>
      <c r="BA8" s="1201">
        <f>'29)Triticale-GPS Biogas Feld(b)'!O10</f>
        <v>352.27027027027032</v>
      </c>
      <c r="BB8" s="1200">
        <f>'30)Tritic-GPS Biogas ex Silo(b)'!M10</f>
        <v>251.62162162162161</v>
      </c>
      <c r="BC8" s="1204">
        <f>'30)Tritic-GPS Biogas ex Silo(b)'!N10</f>
        <v>301.94594594594594</v>
      </c>
      <c r="BD8" s="1201">
        <f>'30)Tritic-GPS Biogas ex Silo(b)'!O10</f>
        <v>352.27027027027032</v>
      </c>
      <c r="BE8" s="1205">
        <f>'33)Kleegrassil 4N Biogas aF(b)'!M10</f>
        <v>248.484375</v>
      </c>
      <c r="BF8" s="1201">
        <f>'33)Kleegrassil 4N Biogas aF(b)'!N10</f>
        <v>303.703125</v>
      </c>
      <c r="BG8" s="1201">
        <f>'33)Kleegrassil 4N Biogas aF(b)'!O10</f>
        <v>358.921875</v>
      </c>
      <c r="BH8" s="1201">
        <f>'34)Kleegrassil 4N Biog ex S(b)'!M10</f>
        <v>259.85294117647055</v>
      </c>
      <c r="BI8" s="1201">
        <f>'34)Kleegrassil 4N Biog ex S(b)'!N10</f>
        <v>311.8235294117647</v>
      </c>
      <c r="BJ8" s="1201">
        <f>'34)Kleegrassil 4N Biog ex S(b)'!O10</f>
        <v>363.79411764705878</v>
      </c>
      <c r="BK8" s="2246">
        <f>'36)GS 3Nutz. Biogas Feld-(b)'!$M$10</f>
        <v>179.08783783783784</v>
      </c>
      <c r="BL8" s="2246">
        <f>'37)GS 3Nutz. Biogas ex Silo (b)'!$M$10</f>
        <v>179.08783783783784</v>
      </c>
      <c r="BM8" s="1201">
        <f>'40)GrünroggenVFBiogas ex S(b)'!M10</f>
        <v>157.76785714285714</v>
      </c>
      <c r="BN8" s="1201">
        <f>'40)GrünroggenVFBiogas ex S(b)'!N10</f>
        <v>189.32142857142858</v>
      </c>
      <c r="BO8" s="1201">
        <f>'40)GrünroggenVFBiogas ex S(b)'!O10</f>
        <v>220.87499999999997</v>
      </c>
      <c r="BP8" s="1201">
        <f>'42)Grürog.+Silom. Biog ex S(b)'!M10</f>
        <v>450.90909090909099</v>
      </c>
      <c r="BQ8" s="1201">
        <f>'42)Grürog.+Silom. Biog ex S(b)'!N10</f>
        <v>508.68181818181819</v>
      </c>
      <c r="BR8" s="1201">
        <f>'42)Grürog.+Silom. Biog ex S(b)'!O10</f>
        <v>589</v>
      </c>
      <c r="BS8" s="1201">
        <f>'44)Sudangras HF Biogas ex S(b)'!M10</f>
        <v>294.5</v>
      </c>
      <c r="BT8" s="1201">
        <f>'44)Sudangras HF Biogas ex S(b)'!N10</f>
        <v>382.85</v>
      </c>
      <c r="BU8" s="1201">
        <f>'44)Sudangras HF Biogas ex S(b)'!O10</f>
        <v>471.20000000000005</v>
      </c>
      <c r="BV8" s="1201">
        <f>'51) GPS Weidelgras Biog aF (b)'!M10</f>
        <v>409.02777777777777</v>
      </c>
      <c r="BW8" s="1201">
        <f>'51) GPS Weidelgras Biog aF (b)'!N10</f>
        <v>490.83333333333331</v>
      </c>
      <c r="BX8" s="1201">
        <f>'51) GPS Weidelgras Biog aF (b)'!O10</f>
        <v>572.63888888888891</v>
      </c>
      <c r="BY8" s="1201">
        <f>'48)Zuhirse HF Biogas ex S(b)'!M10</f>
        <v>294.5</v>
      </c>
      <c r="BZ8" s="1201">
        <f>'48)Zuhirse HF Biogas ex S(b)'!N10</f>
        <v>382.85</v>
      </c>
      <c r="CA8" s="1201">
        <f>'48)Zuhirse HF Biogas ex S(b)'!O10</f>
        <v>471.20000000000005</v>
      </c>
      <c r="CB8" s="1201">
        <f>'46)GPS+Sudangr Biogas ex S(b)'!M10</f>
        <v>481.90909090909093</v>
      </c>
      <c r="CC8" s="1201">
        <f>'46)GPS+Sudangr Biogas ex S(b)'!N10</f>
        <v>535.4545454545455</v>
      </c>
      <c r="CD8" s="1201">
        <f>'46)GPS+Sudangr Biogas ex S(b)'!O10</f>
        <v>589</v>
      </c>
      <c r="CE8" s="1201">
        <f>'48)Zuhirse HF Biogas ex S(b)'!M10</f>
        <v>294.5</v>
      </c>
      <c r="CF8" s="1201">
        <f>'48)Zuhirse HF Biogas ex S(b)'!N10</f>
        <v>382.85</v>
      </c>
      <c r="CG8" s="1201">
        <f>'48)Zuhirse HF Biogas ex S(b)'!O10</f>
        <v>471.20000000000005</v>
      </c>
      <c r="CH8" s="1201">
        <f>'54)Dw. Silphie Biogas ex S(b)'!M10</f>
        <v>294.5</v>
      </c>
      <c r="CI8" s="1201">
        <f>'54)Dw. Silphie Biogas ex S(b)'!N10</f>
        <v>382.85</v>
      </c>
      <c r="CJ8" s="1201">
        <f>'54)Dw. Silphie Biogas ex S(b)'!O10</f>
        <v>471.20000000000005</v>
      </c>
    </row>
    <row r="9" spans="1:88" s="2772" customFormat="1" ht="17.100000000000001" customHeight="1" x14ac:dyDescent="0.2">
      <c r="A9" s="890"/>
      <c r="B9" s="2232" t="s">
        <v>89</v>
      </c>
      <c r="C9" s="1828"/>
      <c r="D9" s="2203" t="s">
        <v>139</v>
      </c>
      <c r="E9" s="1202">
        <f>'1)Grünf. 3Nutz.(b)'!$M$9</f>
        <v>71.25</v>
      </c>
      <c r="F9" s="1204">
        <f>'2)Grünf. 4Nutz.(b)'!$M$9</f>
        <v>85.5</v>
      </c>
      <c r="G9" s="1201">
        <f>'3)Grünf. 5Nutz.(b)'!$M$9</f>
        <v>118.75</v>
      </c>
      <c r="H9" s="1203">
        <f>'4)GS 3Nutz.eig.mech.(b)'!$M$9</f>
        <v>66.262500000000003</v>
      </c>
      <c r="I9" s="1200">
        <f>'5)GS 4Nutz.eig.mech(b)'!$M$9</f>
        <v>79.515000000000015</v>
      </c>
      <c r="J9" s="1204">
        <f>'6)GS 5Nutz.eig.mech.(b)'!$M$9</f>
        <v>110.4375</v>
      </c>
      <c r="K9" s="1200">
        <f>'7)GS3Nutz.Fremdmech(b)'!$M$9</f>
        <v>66.262500000000003</v>
      </c>
      <c r="L9" s="1200">
        <f>'8)GS4Nutz.Fremdmech(b)'!$M$9</f>
        <v>79.515000000000015</v>
      </c>
      <c r="M9" s="1200">
        <f>'9)GS 5Nutz.Fremd(b)'!$M$9</f>
        <v>110.4375</v>
      </c>
      <c r="N9" s="1202">
        <f>'10) GS 3Nutz. Ballensil.(b)'!$M$9</f>
        <v>66.262500000000003</v>
      </c>
      <c r="O9" s="1203">
        <f>'11)Heu 2Nutz.-(b)'!$M$9</f>
        <v>51.3</v>
      </c>
      <c r="P9" s="1200">
        <f>'12)Heu 3Nutz.(b)'!$M$9</f>
        <v>72.674999999999997</v>
      </c>
      <c r="Q9" s="2246">
        <f>'13)Grascobs 5Nutz.(b)'!$M$9</f>
        <v>118.75</v>
      </c>
      <c r="R9" s="1204">
        <f>'14)Weide_ext.(b)'!$M$9</f>
        <v>48</v>
      </c>
      <c r="S9" s="1200">
        <f>'15)Weide int. 4Nutz.(b)'!$M$9</f>
        <v>72</v>
      </c>
      <c r="T9" s="1203">
        <f>'17)Kleegras-GrünFu-Eig.mech(b)'!$M$9</f>
        <v>104.5</v>
      </c>
      <c r="U9" s="1204">
        <f>'18)Kleegrassi-Fremnernt(b)'!$M$9</f>
        <v>97.185000000000002</v>
      </c>
      <c r="V9" s="1201">
        <f>'19)LuzerneSil-Fremdernte(b)'!$M$9</f>
        <v>97.185000000000002</v>
      </c>
      <c r="W9" s="1200">
        <f>'20)Silomais int(b)'!$M9</f>
        <v>111.72</v>
      </c>
      <c r="X9" s="1204">
        <f>'20)Silomais int(b)'!$N9</f>
        <v>134.995</v>
      </c>
      <c r="Y9" s="1206">
        <f>'20)Silomais int(b)'!$O9</f>
        <v>158.27000000000001</v>
      </c>
      <c r="Z9" s="1203">
        <f>'21)Futterrüben(b)'!$M9</f>
        <v>97.185000000000002</v>
      </c>
      <c r="AA9" s="1204">
        <f>'21)Futterrüben(b)'!$N9</f>
        <v>114.855</v>
      </c>
      <c r="AB9" s="1201">
        <f>'21)Futterrüben(b)'!$O9</f>
        <v>132.52500000000001</v>
      </c>
      <c r="AC9" s="1207">
        <f>'22)ZWF-Raps-(b)'!M9</f>
        <v>23.75</v>
      </c>
      <c r="AD9" s="1204">
        <f>'22)ZWF-Raps-(b)'!N9</f>
        <v>30.4</v>
      </c>
      <c r="AE9" s="1205">
        <f>'22)ZWF-Raps-(b)'!O9</f>
        <v>38</v>
      </c>
      <c r="AF9" s="2458"/>
      <c r="AG9" s="1200">
        <f>'23)GPS-(b)'!M9</f>
        <v>83.79</v>
      </c>
      <c r="AH9" s="1204">
        <f>'23)GPS-(b)'!N9</f>
        <v>97.754999999999995</v>
      </c>
      <c r="AI9" s="1201">
        <f>'23)GPS-(b)'!O9</f>
        <v>111.72</v>
      </c>
      <c r="AJ9" s="1200">
        <f>'24)Mais LKS-(b)'!M9</f>
        <v>93.1</v>
      </c>
      <c r="AK9" s="1204">
        <f>'24)Mais LKS-(b)'!N9</f>
        <v>107.065</v>
      </c>
      <c r="AL9" s="1201">
        <f>'24)Mais LKS-(b)'!O9</f>
        <v>121.03</v>
      </c>
      <c r="AM9" s="1200">
        <f>'25)Mais CCM-(b)'!M9</f>
        <v>83.79</v>
      </c>
      <c r="AN9" s="1204">
        <f>'25)Mais CCM-(b)'!N9</f>
        <v>97.754999999999995</v>
      </c>
      <c r="AO9" s="1201">
        <f>'25)Mais CCM-(b)'!O9</f>
        <v>111.72</v>
      </c>
      <c r="AP9" s="1203">
        <f>'26)M(ais feucht-b)'!$M9</f>
        <v>74.48</v>
      </c>
      <c r="AQ9" s="1204">
        <f>'26)M(ais feucht-b)'!$N9</f>
        <v>88.444999999999993</v>
      </c>
      <c r="AR9" s="1201">
        <f>'26)M(ais feucht-b)'!$O9</f>
        <v>102.41</v>
      </c>
      <c r="AS9" s="1203">
        <f>'27)Silomais Biogas ab Feld-(b)'!M9</f>
        <v>111.72</v>
      </c>
      <c r="AT9" s="1204">
        <f>'27)Silomais Biogas ab Feld-(b)'!N9</f>
        <v>139.65</v>
      </c>
      <c r="AU9" s="1201">
        <f>'27)Silomais Biogas ab Feld-(b)'!O9</f>
        <v>167.58</v>
      </c>
      <c r="AV9" s="1200">
        <f>'28)Silomais Biogas ex Silo (b)'!M9</f>
        <v>111.72</v>
      </c>
      <c r="AW9" s="1204">
        <f>'28)Silomais Biogas ex Silo (b)'!N9</f>
        <v>139.65</v>
      </c>
      <c r="AX9" s="1201">
        <f>'28)Silomais Biogas ex Silo (b)'!O9</f>
        <v>167.58</v>
      </c>
      <c r="AY9" s="1200">
        <f>'29)Triticale-GPS Biogas Feld(b)'!M9</f>
        <v>93.1</v>
      </c>
      <c r="AZ9" s="1204">
        <f>'29)Triticale-GPS Biogas Feld(b)'!N9</f>
        <v>111.72</v>
      </c>
      <c r="BA9" s="1201">
        <f>'29)Triticale-GPS Biogas Feld(b)'!O9</f>
        <v>130.34</v>
      </c>
      <c r="BB9" s="1200">
        <f>'30)Tritic-GPS Biogas ex Silo(b)'!M9</f>
        <v>93.1</v>
      </c>
      <c r="BC9" s="1204">
        <f>'30)Tritic-GPS Biogas ex Silo(b)'!N9</f>
        <v>111.72</v>
      </c>
      <c r="BD9" s="1201">
        <f>'30)Tritic-GPS Biogas ex Silo(b)'!O9</f>
        <v>130.34</v>
      </c>
      <c r="BE9" s="1205">
        <f>'33)Kleegrassil 4N Biogas aF(b)'!M9</f>
        <v>79.515000000000001</v>
      </c>
      <c r="BF9" s="1201">
        <f>'33)Kleegrassil 4N Biogas aF(b)'!N9</f>
        <v>97.185000000000002</v>
      </c>
      <c r="BG9" s="1201">
        <f>'33)Kleegrassil 4N Biogas aF(b)'!O9</f>
        <v>114.855</v>
      </c>
      <c r="BH9" s="1201">
        <f>'34)Kleegrassil 4N Biog ex S(b)'!M9</f>
        <v>88.35</v>
      </c>
      <c r="BI9" s="1201">
        <f>'34)Kleegrassil 4N Biog ex S(b)'!N9</f>
        <v>106.02</v>
      </c>
      <c r="BJ9" s="1201">
        <f>'34)Kleegrassil 4N Biog ex S(b)'!O9</f>
        <v>123.69</v>
      </c>
      <c r="BK9" s="2246">
        <f>'36)GS 3Nutz. Biogas Feld-(b)'!$M$9</f>
        <v>66.262500000000003</v>
      </c>
      <c r="BL9" s="2246">
        <f>'37)GS 3Nutz. Biogas ex Silo (b)'!$M$9</f>
        <v>66.262500000000003</v>
      </c>
      <c r="BM9" s="1201">
        <f>'40)GrünroggenVFBiogas ex S(b)'!M9</f>
        <v>44.174999999999997</v>
      </c>
      <c r="BN9" s="1201">
        <f>'40)GrünroggenVFBiogas ex S(b)'!N9</f>
        <v>53.01</v>
      </c>
      <c r="BO9" s="1201">
        <f>'40)GrünroggenVFBiogas ex S(b)'!O9</f>
        <v>61.844999999999999</v>
      </c>
      <c r="BP9" s="1201">
        <f>'42)Grürog.+Silom. Biog ex S(b)'!M9</f>
        <v>148.80000000000001</v>
      </c>
      <c r="BQ9" s="1201">
        <f>'42)Grürog.+Silom. Biog ex S(b)'!N9</f>
        <v>167.86500000000001</v>
      </c>
      <c r="BR9" s="1201">
        <f>'42)Grürog.+Silom. Biog ex S(b)'!O9</f>
        <v>194.37</v>
      </c>
      <c r="BS9" s="1201">
        <f>'44)Sudangras HF Biogas ex S(b)'!M9</f>
        <v>88.35</v>
      </c>
      <c r="BT9" s="1201">
        <f>'44)Sudangras HF Biogas ex S(b)'!N9</f>
        <v>114.855</v>
      </c>
      <c r="BU9" s="1201">
        <f>'44)Sudangras HF Biogas ex S(b)'!O9</f>
        <v>141.36000000000001</v>
      </c>
      <c r="BV9" s="1201">
        <f>'51) GPS Weidelgras Biog aF (b)'!M9</f>
        <v>110.4375</v>
      </c>
      <c r="BW9" s="1201">
        <f>'51) GPS Weidelgras Biog aF (b)'!N9</f>
        <v>132.52500000000001</v>
      </c>
      <c r="BX9" s="1201">
        <f>'51) GPS Weidelgras Biog aF (b)'!O9</f>
        <v>154.61250000000001</v>
      </c>
      <c r="BY9" s="1201">
        <f>'48)Zuhirse HF Biogas ex S(b)'!M9</f>
        <v>88.35</v>
      </c>
      <c r="BZ9" s="1201">
        <f>'48)Zuhirse HF Biogas ex S(b)'!N9</f>
        <v>114.855</v>
      </c>
      <c r="CA9" s="1201">
        <f>'48)Zuhirse HF Biogas ex S(b)'!O9</f>
        <v>141.36000000000001</v>
      </c>
      <c r="CB9" s="1201">
        <f>'46)GPS+Sudangr Biogas ex S(b)'!M9</f>
        <v>159.03</v>
      </c>
      <c r="CC9" s="1201">
        <f>'46)GPS+Sudangr Biogas ex S(b)'!N9</f>
        <v>176.7</v>
      </c>
      <c r="CD9" s="1201">
        <f>'46)GPS+Sudangr Biogas ex S(b)'!O9</f>
        <v>194.37</v>
      </c>
      <c r="CE9" s="1201">
        <f>'48)Zuhirse HF Biogas ex S(b)'!M9</f>
        <v>88.35</v>
      </c>
      <c r="CF9" s="1201">
        <f>'48)Zuhirse HF Biogas ex S(b)'!N9</f>
        <v>114.855</v>
      </c>
      <c r="CG9" s="1201">
        <f>'48)Zuhirse HF Biogas ex S(b)'!O9</f>
        <v>141.36000000000001</v>
      </c>
      <c r="CH9" s="1201">
        <f>'54)Dw. Silphie Biogas ex S(b)'!M9</f>
        <v>88.35</v>
      </c>
      <c r="CI9" s="1201">
        <f>'54)Dw. Silphie Biogas ex S(b)'!N9</f>
        <v>114.855</v>
      </c>
      <c r="CJ9" s="1201">
        <f>'54)Dw. Silphie Biogas ex S(b)'!O9</f>
        <v>141.36000000000001</v>
      </c>
    </row>
    <row r="10" spans="1:88" s="172" customFormat="1" ht="17.100000000000001" customHeight="1" x14ac:dyDescent="0.2">
      <c r="A10" s="891"/>
      <c r="B10" s="2232" t="s">
        <v>833</v>
      </c>
      <c r="C10" s="1828"/>
      <c r="D10" s="2204"/>
      <c r="E10" s="1210"/>
      <c r="F10" s="1212"/>
      <c r="G10" s="1209"/>
      <c r="H10" s="1211"/>
      <c r="I10" s="1208"/>
      <c r="J10" s="1212"/>
      <c r="K10" s="1208"/>
      <c r="L10" s="1208"/>
      <c r="M10" s="1208"/>
      <c r="N10" s="1210"/>
      <c r="O10" s="1211"/>
      <c r="P10" s="1208"/>
      <c r="Q10" s="2247"/>
      <c r="R10" s="1212"/>
      <c r="S10" s="1208"/>
      <c r="T10" s="1211"/>
      <c r="U10" s="1212"/>
      <c r="V10" s="1209"/>
      <c r="W10" s="1208"/>
      <c r="X10" s="1212"/>
      <c r="Y10" s="1214"/>
      <c r="Z10" s="1211"/>
      <c r="AA10" s="1212"/>
      <c r="AB10" s="1209"/>
      <c r="AC10" s="1215"/>
      <c r="AD10" s="1212"/>
      <c r="AE10" s="1213"/>
      <c r="AF10" s="2777"/>
      <c r="AG10" s="1208"/>
      <c r="AH10" s="1212"/>
      <c r="AI10" s="1209"/>
      <c r="AJ10" s="1208"/>
      <c r="AK10" s="1212"/>
      <c r="AL10" s="1209"/>
      <c r="AM10" s="1208"/>
      <c r="AN10" s="1212"/>
      <c r="AO10" s="1209"/>
      <c r="AP10" s="1211"/>
      <c r="AQ10" s="1212"/>
      <c r="AR10" s="1209"/>
      <c r="AS10" s="1211"/>
      <c r="AT10" s="1212"/>
      <c r="AU10" s="1209"/>
      <c r="AV10" s="1208"/>
      <c r="AW10" s="1212"/>
      <c r="AX10" s="1209"/>
      <c r="AY10" s="1208"/>
      <c r="AZ10" s="1212"/>
      <c r="BA10" s="1209"/>
      <c r="BB10" s="1208"/>
      <c r="BC10" s="1212"/>
      <c r="BD10" s="1209"/>
      <c r="BE10" s="1213"/>
      <c r="BF10" s="1209"/>
      <c r="BG10" s="1209"/>
      <c r="BH10" s="1209"/>
      <c r="BI10" s="1209"/>
      <c r="BJ10" s="1209"/>
      <c r="BK10" s="2247"/>
      <c r="BL10" s="2247"/>
      <c r="BM10" s="1209"/>
      <c r="BN10" s="1209"/>
      <c r="BO10" s="1209"/>
      <c r="BP10" s="1209"/>
      <c r="BQ10" s="1209"/>
      <c r="BR10" s="1209"/>
      <c r="BS10" s="1209"/>
      <c r="BT10" s="1209"/>
      <c r="BU10" s="1209"/>
      <c r="BV10" s="1209"/>
      <c r="BW10" s="1209"/>
      <c r="BX10" s="1209"/>
      <c r="BY10" s="1209"/>
      <c r="BZ10" s="1209"/>
      <c r="CA10" s="1209"/>
      <c r="CB10" s="1209"/>
      <c r="CC10" s="1209"/>
      <c r="CD10" s="1209"/>
      <c r="CE10" s="1209"/>
      <c r="CF10" s="1209"/>
      <c r="CG10" s="1209"/>
      <c r="CH10" s="1209"/>
      <c r="CI10" s="1209"/>
      <c r="CJ10" s="1209"/>
    </row>
    <row r="11" spans="1:88" s="172" customFormat="1" ht="17.100000000000001" customHeight="1" x14ac:dyDescent="0.2">
      <c r="A11" s="890"/>
      <c r="B11" s="2899" t="s">
        <v>880</v>
      </c>
      <c r="C11" s="2548"/>
      <c r="D11" s="2205"/>
      <c r="E11" s="1218">
        <f>'1)Grünf. 3Nutz.(b)'!$M$12</f>
        <v>4310.625</v>
      </c>
      <c r="F11" s="1220">
        <f>'2)Grünf. 4Nutz.(b)'!$M$12</f>
        <v>5228.3249999999998</v>
      </c>
      <c r="G11" s="1217">
        <f>'3)Grünf. 5Nutz.(b)'!$M$12</f>
        <v>7350.625</v>
      </c>
      <c r="H11" s="1219">
        <f>'4)GS 3Nutz.eig.mech.(b)'!$M$12</f>
        <v>3743.8312500000002</v>
      </c>
      <c r="I11" s="1216">
        <f>'5)GS 4Nutz.eig.mech(b)'!$M$12</f>
        <v>4862.3422499999997</v>
      </c>
      <c r="J11" s="1220">
        <f>'6)GS 5Nutz.eig.mech.(b)'!$M$12</f>
        <v>6648.3374999999996</v>
      </c>
      <c r="K11" s="1216">
        <f>'7)GS3Nutz.Fremdmech(b)'!$M$12</f>
        <v>3743.8312500000002</v>
      </c>
      <c r="L11" s="1216">
        <f>'8)GS4Nutz.Fremdmech(b)'!$M$12</f>
        <v>4862.3422499999997</v>
      </c>
      <c r="M11" s="1216">
        <f>'9)GS 5Nutz.Fremd(b)'!$M$12</f>
        <v>6648.3374999999996</v>
      </c>
      <c r="N11" s="1218">
        <f>'10) GS 3Nutz. Ballensil.(b)'!$M$12</f>
        <v>3876.3562499999998</v>
      </c>
      <c r="O11" s="1219">
        <f>'11)Heu 2Nutz.-(b)'!$M$12</f>
        <v>2565</v>
      </c>
      <c r="P11" s="1216">
        <f>'12)Heu 3Nutz.(b)'!$M$12</f>
        <v>4015.2937499999998</v>
      </c>
      <c r="Q11" s="2248">
        <f>'13)Grascobs 5Nutz.(b)'!$M$12</f>
        <v>7742.5</v>
      </c>
      <c r="R11" s="1220">
        <f>'14)Weide_ext.(b)'!$M$12</f>
        <v>2601.6</v>
      </c>
      <c r="S11" s="1216">
        <f>'15)Weide int. 4Nutz.(b)'!$M$12</f>
        <v>4456.8</v>
      </c>
      <c r="T11" s="1219">
        <f>'17)Kleegras-GrünFu-Eig.mech(b)'!$M$12</f>
        <v>6479</v>
      </c>
      <c r="U11" s="1220">
        <f>'18)Kleegrassi-Fremnernt(b)'!$M$12</f>
        <v>6025.47</v>
      </c>
      <c r="V11" s="1217">
        <f>'19)LuzerneSil-Fremdernte(b)'!$M$12</f>
        <v>5636.73</v>
      </c>
      <c r="W11" s="1216">
        <f>'20)Silomais int(b)'!$M12</f>
        <v>7261.7999999999993</v>
      </c>
      <c r="X11" s="1220">
        <f>'20)Silomais int(b)'!$N12</f>
        <v>8909.67</v>
      </c>
      <c r="Y11" s="1222">
        <f>'20)Silomais int(b)'!$O12</f>
        <v>10445.820000000002</v>
      </c>
      <c r="Z11" s="1219">
        <f>'21)Futterrüben(b)'!$M12</f>
        <v>6802.9500000000007</v>
      </c>
      <c r="AA11" s="1220">
        <f>'21)Futterrüben(b)'!$N12</f>
        <v>8039.85</v>
      </c>
      <c r="AB11" s="1217">
        <f>'21)Futterrüben(b)'!$O12</f>
        <v>9276.75</v>
      </c>
      <c r="AC11" s="1223">
        <f>'22)ZWF-Raps-(b)'!M12</f>
        <v>1496.25</v>
      </c>
      <c r="AD11" s="1220">
        <f>'22)ZWF-Raps-(b)'!N12</f>
        <v>1915.1999999999998</v>
      </c>
      <c r="AE11" s="1221">
        <f>'22)ZWF-Raps-(b)'!O12</f>
        <v>2394</v>
      </c>
      <c r="AF11" s="2778"/>
      <c r="AG11" s="1216">
        <f>'23)GPS-(b)'!M12</f>
        <v>4859.8200000000006</v>
      </c>
      <c r="AH11" s="1220">
        <f>'23)GPS-(b)'!N12</f>
        <v>5767.5450000000001</v>
      </c>
      <c r="AI11" s="1217">
        <f>'23)GPS-(b)'!O12</f>
        <v>6591.4800000000005</v>
      </c>
      <c r="AJ11" s="1216">
        <f>'24)Mais LKS-(b)'!M12</f>
        <v>6889.4</v>
      </c>
      <c r="AK11" s="1220">
        <f>'24)Mais LKS-(b)'!N12</f>
        <v>7922.81</v>
      </c>
      <c r="AL11" s="1217">
        <f>'24)Mais LKS-(b)'!O12</f>
        <v>8956.2200000000012</v>
      </c>
      <c r="AM11" s="1216">
        <f>'25)Mais CCM-(b)'!M12</f>
        <v>6786.9900000000007</v>
      </c>
      <c r="AN11" s="1220">
        <f>'25)Mais CCM-(b)'!N12</f>
        <v>7918.1549999999988</v>
      </c>
      <c r="AO11" s="1217">
        <f>'25)Mais CCM-(b)'!O12</f>
        <v>9049.32</v>
      </c>
      <c r="AP11" s="1219">
        <f>'26)M(ais feucht-b)'!$M12</f>
        <v>6405.2800000000007</v>
      </c>
      <c r="AQ11" s="1220">
        <f>'26)M(ais feucht-b)'!$N12</f>
        <v>7606.2699999999995</v>
      </c>
      <c r="AR11" s="1217">
        <f>'26)M(ais feucht-b)'!$O12</f>
        <v>8807.2599999999984</v>
      </c>
      <c r="AS11" s="1219">
        <f>'27)Silomais Biogas ab Feld-(b)'!M12</f>
        <v>3575.04</v>
      </c>
      <c r="AT11" s="1220">
        <f>'27)Silomais Biogas ab Feld-(b)'!N12</f>
        <v>4468.8</v>
      </c>
      <c r="AU11" s="1217">
        <f>'27)Silomais Biogas ab Feld-(b)'!O12</f>
        <v>5362.56</v>
      </c>
      <c r="AV11" s="1216">
        <f>'28)Silomais Biogas ex Silo (b)'!M12</f>
        <v>3575.04</v>
      </c>
      <c r="AW11" s="1220">
        <f>'28)Silomais Biogas ex Silo (b)'!N12</f>
        <v>4468.8</v>
      </c>
      <c r="AX11" s="1217">
        <f>'28)Silomais Biogas ex Silo (b)'!O12</f>
        <v>5362.56</v>
      </c>
      <c r="AY11" s="1216">
        <f>'29)Triticale-GPS Biogas Feld(b)'!M12</f>
        <v>2793</v>
      </c>
      <c r="AZ11" s="1220">
        <f>'29)Triticale-GPS Biogas Feld(b)'!N12</f>
        <v>3351.6</v>
      </c>
      <c r="BA11" s="1217">
        <f>'29)Triticale-GPS Biogas Feld(b)'!O12</f>
        <v>3910.2000000000003</v>
      </c>
      <c r="BB11" s="1216">
        <f>'30)Tritic-GPS Biogas ex Silo(b)'!M12</f>
        <v>2793</v>
      </c>
      <c r="BC11" s="1220">
        <f>'30)Tritic-GPS Biogas ex Silo(b)'!N12</f>
        <v>3351.6</v>
      </c>
      <c r="BD11" s="1217">
        <f>'30)Tritic-GPS Biogas ex Silo(b)'!O12</f>
        <v>3910.2000000000003</v>
      </c>
      <c r="BE11" s="1221">
        <f>'33)Kleegrassil 4N Biogas aF(b)'!M12</f>
        <v>2305.9349999999999</v>
      </c>
      <c r="BF11" s="1217">
        <f>'33)Kleegrassil 4N Biogas aF(b)'!N12</f>
        <v>2818.3650000000002</v>
      </c>
      <c r="BG11" s="1217">
        <f>'33)Kleegrassil 4N Biogas aF(b)'!O12</f>
        <v>3330.7950000000001</v>
      </c>
      <c r="BH11" s="1217">
        <f>'34)Kleegrassil 4N Biog ex S(b)'!M12</f>
        <v>2562.1499999999996</v>
      </c>
      <c r="BI11" s="1217">
        <f>'34)Kleegrassil 4N Biog ex S(b)'!N12</f>
        <v>3074.58</v>
      </c>
      <c r="BJ11" s="1217">
        <f>'34)Kleegrassil 4N Biog ex S(b)'!O12</f>
        <v>3587.0099999999998</v>
      </c>
      <c r="BK11" s="2248">
        <f>'36)GS 3Nutz. Biogas Feld-(b)'!$M$12</f>
        <v>1921.6125</v>
      </c>
      <c r="BL11" s="2248">
        <f>'37)GS 3Nutz. Biogas ex Silo (b)'!$M$12</f>
        <v>1921.6125</v>
      </c>
      <c r="BM11" s="1217">
        <f>'40)GrünroggenVFBiogas ex S(b)'!M12</f>
        <v>1281.0749999999998</v>
      </c>
      <c r="BN11" s="1217">
        <f>'40)GrünroggenVFBiogas ex S(b)'!N12</f>
        <v>1537.29</v>
      </c>
      <c r="BO11" s="1217">
        <f>'40)GrünroggenVFBiogas ex S(b)'!O12</f>
        <v>1793.5049999999999</v>
      </c>
      <c r="BP11" s="1217">
        <f>'42)Grürog.+Silom. Biog ex S(b)'!M12</f>
        <v>4464</v>
      </c>
      <c r="BQ11" s="1217">
        <f>'42)Grürog.+Silom. Biog ex S(b)'!N12</f>
        <v>5035.9500000000007</v>
      </c>
      <c r="BR11" s="1217">
        <f>'42)Grürog.+Silom. Biog ex S(b)'!O12</f>
        <v>5831.1</v>
      </c>
      <c r="BS11" s="1217">
        <f>'44)Sudangras HF Biogas ex S(b)'!M12</f>
        <v>2473.7999999999997</v>
      </c>
      <c r="BT11" s="1217">
        <f>'44)Sudangras HF Biogas ex S(b)'!N12</f>
        <v>3215.94</v>
      </c>
      <c r="BU11" s="1217">
        <f>'44)Sudangras HF Biogas ex S(b)'!O12</f>
        <v>3958.0800000000004</v>
      </c>
      <c r="BV11" s="1217">
        <f>'51) GPS Weidelgras Biog aF (b)'!M12</f>
        <v>2981.8125</v>
      </c>
      <c r="BW11" s="1217">
        <f>'51) GPS Weidelgras Biog aF (b)'!N12</f>
        <v>3578.1750000000002</v>
      </c>
      <c r="BX11" s="1217">
        <f>'51) GPS Weidelgras Biog aF (b)'!O12</f>
        <v>4174.5375000000004</v>
      </c>
      <c r="BY11" s="1217">
        <f>'48)Zuhirse HF Biogas ex S(b)'!M12</f>
        <v>2473.7999999999997</v>
      </c>
      <c r="BZ11" s="1217">
        <f>'48)Zuhirse HF Biogas ex S(b)'!N12</f>
        <v>3215.94</v>
      </c>
      <c r="CA11" s="1217">
        <f>'48)Zuhirse HF Biogas ex S(b)'!O12</f>
        <v>3958.0800000000004</v>
      </c>
      <c r="CB11" s="1217">
        <f>'46)GPS+Sudangr Biogas ex S(b)'!M12</f>
        <v>4611.87</v>
      </c>
      <c r="CC11" s="1217">
        <f>'46)GPS+Sudangr Biogas ex S(b)'!N12</f>
        <v>5124.2999999999993</v>
      </c>
      <c r="CD11" s="1217">
        <f>'46)GPS+Sudangr Biogas ex S(b)'!O12</f>
        <v>5636.7300000000005</v>
      </c>
      <c r="CE11" s="1217">
        <f>'48)Zuhirse HF Biogas ex S(b)'!M12</f>
        <v>2473.7999999999997</v>
      </c>
      <c r="CF11" s="1217">
        <f>'48)Zuhirse HF Biogas ex S(b)'!N12</f>
        <v>3215.94</v>
      </c>
      <c r="CG11" s="1217">
        <f>'48)Zuhirse HF Biogas ex S(b)'!O12</f>
        <v>3958.0800000000004</v>
      </c>
      <c r="CH11" s="1217">
        <f>'54)Dw. Silphie Biogas ex S(b)'!M12</f>
        <v>1973.15</v>
      </c>
      <c r="CI11" s="1217">
        <f>'54)Dw. Silphie Biogas ex S(b)'!N12</f>
        <v>2565.0950000000003</v>
      </c>
      <c r="CJ11" s="1217">
        <f>'54)Dw. Silphie Biogas ex S(b)'!O12</f>
        <v>3157.0400000000004</v>
      </c>
    </row>
    <row r="12" spans="1:88" s="172" customFormat="1" ht="17.100000000000001" customHeight="1" thickBot="1" x14ac:dyDescent="0.25">
      <c r="A12" s="891"/>
      <c r="B12" s="2898" t="s">
        <v>710</v>
      </c>
      <c r="C12" s="2549"/>
      <c r="D12" s="2268"/>
      <c r="E12" s="2270">
        <f>'1)Grünf. 3Nutz.(b)'!$M$13</f>
        <v>7184.375</v>
      </c>
      <c r="F12" s="2269">
        <f>'2)Grünf. 4Nutz.(b)'!$M$13</f>
        <v>8713.875</v>
      </c>
      <c r="G12" s="2274">
        <f>'3)Grünf. 5Nutz.(b)'!$M$13</f>
        <v>12251.041666666668</v>
      </c>
      <c r="H12" s="2271">
        <f>'4)GS 3Nutz.eig.mech.(b)'!$M$13</f>
        <v>6239.71875</v>
      </c>
      <c r="I12" s="2275">
        <f>'5)GS 4Nutz.eig.mech(b)'!$M$13</f>
        <v>8103.9037500000004</v>
      </c>
      <c r="J12" s="2269">
        <f>'6)GS 5Nutz.eig.mech.(b)'!$M$13</f>
        <v>11080.5625</v>
      </c>
      <c r="K12" s="2275">
        <f>'7)GS3Nutz.Fremdmech(b)'!$M$13</f>
        <v>6239.71875</v>
      </c>
      <c r="L12" s="2275">
        <f>'8)GS4Nutz.Fremdmech(b)'!$M$13</f>
        <v>8103.9037500000004</v>
      </c>
      <c r="M12" s="2275">
        <f>'9)GS 5Nutz.Fremd(b)'!$M$13</f>
        <v>11080.5625</v>
      </c>
      <c r="N12" s="2270">
        <f>'10) GS 3Nutz. Ballensil.(b)'!$M$13</f>
        <v>6460.59375</v>
      </c>
      <c r="O12" s="2271">
        <f>'11)Heu 2Nutz.-(b)'!$M$13</f>
        <v>4275</v>
      </c>
      <c r="P12" s="2275">
        <f>'12)Heu 3Nutz.(b)'!$M$13</f>
        <v>6692.1562500000009</v>
      </c>
      <c r="Q12" s="2273">
        <f>'13)Grascobs 5Nutz.(b)'!$M$13</f>
        <v>12904.166666666668</v>
      </c>
      <c r="R12" s="2269">
        <f>'14)Weide_ext.(b)'!$M$13</f>
        <v>4336</v>
      </c>
      <c r="S12" s="2275">
        <f>'15)Weide int. 4Nutz.(b)'!$M$13</f>
        <v>7428</v>
      </c>
      <c r="T12" s="2271">
        <f>'17)Kleegras-GrünFu-Eig.mech(b)'!$M$13</f>
        <v>10798.333333333334</v>
      </c>
      <c r="U12" s="2269">
        <f>'18)Kleegrassi-Fremnernt(b)'!$M$13</f>
        <v>10042.450000000001</v>
      </c>
      <c r="V12" s="2274">
        <f>'19)LuzerneSil-Fremdernte(b)'!$M$13</f>
        <v>9394.5499999999993</v>
      </c>
      <c r="W12" s="2275">
        <f>'20)Silomais int(b)'!$M13</f>
        <v>12103</v>
      </c>
      <c r="X12" s="2269">
        <f>'20)Silomais int(b)'!$N13</f>
        <v>14849.45</v>
      </c>
      <c r="Y12" s="2272">
        <f>'20)Silomais int(b)'!$O13</f>
        <v>17409.7</v>
      </c>
      <c r="Z12" s="2271">
        <f>'21)Futterrüben(b)'!$M13</f>
        <v>11338.25</v>
      </c>
      <c r="AA12" s="2269">
        <f>'21)Futterrüben(b)'!$N13</f>
        <v>13399.750000000002</v>
      </c>
      <c r="AB12" s="2274">
        <f>'21)Futterrüben(b)'!$O13</f>
        <v>15461.250000000002</v>
      </c>
      <c r="AC12" s="2277">
        <f>'22)ZWF-Raps-(b)'!M13</f>
        <v>2493.75</v>
      </c>
      <c r="AD12" s="2269">
        <f>'22)ZWF-Raps-(b)'!N13</f>
        <v>3192</v>
      </c>
      <c r="AE12" s="2276">
        <f>'22)ZWF-Raps-(b)'!O13</f>
        <v>3990</v>
      </c>
      <c r="AF12" s="2779"/>
      <c r="AG12" s="2275">
        <f>'23)GPS-(b)'!M13</f>
        <v>8099.7000000000007</v>
      </c>
      <c r="AH12" s="2269">
        <f>'23)GPS-(b)'!N13</f>
        <v>9612.5750000000007</v>
      </c>
      <c r="AI12" s="2274">
        <f>'23)GPS-(b)'!O13</f>
        <v>10985.800000000001</v>
      </c>
      <c r="AJ12" s="2275">
        <f>'24)Mais LKS-(b)'!M13</f>
        <v>11482.333333333334</v>
      </c>
      <c r="AK12" s="2269">
        <f>'24)Mais LKS-(b)'!N13</f>
        <v>13204.683333333334</v>
      </c>
      <c r="AL12" s="2274">
        <f>'24)Mais LKS-(b)'!O13</f>
        <v>14927.033333333333</v>
      </c>
      <c r="AM12" s="2275">
        <f>'25)Mais CCM-(b)'!M13</f>
        <v>11311.650000000001</v>
      </c>
      <c r="AN12" s="2269">
        <f>'25)Mais CCM-(b)'!N13</f>
        <v>13196.924999999999</v>
      </c>
      <c r="AO12" s="2274">
        <f>'25)Mais CCM-(b)'!O13</f>
        <v>15082.2</v>
      </c>
      <c r="AP12" s="2271">
        <f>'26)M(ais feucht-b)'!$M13</f>
        <v>10675.466666666669</v>
      </c>
      <c r="AQ12" s="2269">
        <f>'26)M(ais feucht-b)'!$N13</f>
        <v>12677.116666666665</v>
      </c>
      <c r="AR12" s="2274">
        <f>'26)M(ais feucht-b)'!$O13</f>
        <v>14678.766666666668</v>
      </c>
      <c r="AS12" s="2271">
        <f>'27)Silomais Biogas ab Feld-(b)'!M13</f>
        <v>128.70143999999999</v>
      </c>
      <c r="AT12" s="2269">
        <f>'27)Silomais Biogas ab Feld-(b)'!N13</f>
        <v>160.8768</v>
      </c>
      <c r="AU12" s="2274">
        <f>'27)Silomais Biogas ab Feld-(b)'!O13</f>
        <v>193.05215999999999</v>
      </c>
      <c r="AV12" s="2275">
        <f>'28)Silomais Biogas ex Silo (b)'!M13</f>
        <v>128.70143999999999</v>
      </c>
      <c r="AW12" s="2269">
        <f>'28)Silomais Biogas ex Silo (b)'!N13</f>
        <v>160.8768</v>
      </c>
      <c r="AX12" s="2274">
        <f>'28)Silomais Biogas ex Silo (b)'!O13</f>
        <v>193.05215999999999</v>
      </c>
      <c r="AY12" s="2275">
        <f>'29)Triticale-GPS Biogas Feld(b)'!M13</f>
        <v>100.54799999999997</v>
      </c>
      <c r="AZ12" s="2269">
        <f>'29)Triticale-GPS Biogas Feld(b)'!N13</f>
        <v>120.65759999999999</v>
      </c>
      <c r="BA12" s="2274">
        <f>'29)Triticale-GPS Biogas Feld(b)'!O13</f>
        <v>140.76719999999997</v>
      </c>
      <c r="BB12" s="2275">
        <f>'30)Tritic-GPS Biogas ex Silo(b)'!M13</f>
        <v>100.54799999999997</v>
      </c>
      <c r="BC12" s="2269">
        <f>'30)Tritic-GPS Biogas ex Silo(b)'!N13</f>
        <v>120.65759999999999</v>
      </c>
      <c r="BD12" s="2274">
        <f>'30)Tritic-GPS Biogas ex Silo(b)'!O13</f>
        <v>140.76719999999997</v>
      </c>
      <c r="BE12" s="2276">
        <f>'33)Kleegrassil 4N Biogas aF(b)'!M13</f>
        <v>83.013659999999987</v>
      </c>
      <c r="BF12" s="2274">
        <f>'33)Kleegrassil 4N Biogas aF(b)'!N13</f>
        <v>101.46113999999999</v>
      </c>
      <c r="BG12" s="2274">
        <f>'33)Kleegrassil 4N Biogas aF(b)'!O13</f>
        <v>119.90861999999998</v>
      </c>
      <c r="BH12" s="2274">
        <f>'34)Kleegrassil 4N Biog ex S(b)'!M13</f>
        <v>92.23739999999998</v>
      </c>
      <c r="BI12" s="2274">
        <f>'34)Kleegrassil 4N Biog ex S(b)'!N13</f>
        <v>110.68487999999998</v>
      </c>
      <c r="BJ12" s="2274">
        <f>'34)Kleegrassil 4N Biog ex S(b)'!O13</f>
        <v>129.13235999999998</v>
      </c>
      <c r="BK12" s="2273">
        <f>'36)GS 3Nutz. Biogas Feld-(b)'!$M$13</f>
        <v>69.178049999999985</v>
      </c>
      <c r="BL12" s="2273">
        <f>'37)GS 3Nutz. Biogas ex Silo (b)'!$M$13</f>
        <v>69.178049999999985</v>
      </c>
      <c r="BM12" s="2274">
        <f>'40)GrünroggenVFBiogas ex S(b)'!M13</f>
        <v>46.11869999999999</v>
      </c>
      <c r="BN12" s="2274">
        <f>'40)GrünroggenVFBiogas ex S(b)'!N13</f>
        <v>55.342439999999989</v>
      </c>
      <c r="BO12" s="2274">
        <f>'40)GrünroggenVFBiogas ex S(b)'!O13</f>
        <v>64.566179999999989</v>
      </c>
      <c r="BP12" s="2274">
        <f>'42)Grürog.+Silom. Biog ex S(b)'!M13</f>
        <v>160.70399999999998</v>
      </c>
      <c r="BQ12" s="2274">
        <f>'42)Grürog.+Silom. Biog ex S(b)'!N13</f>
        <v>181.29419999999999</v>
      </c>
      <c r="BR12" s="2274">
        <f>'42)Grürog.+Silom. Biog ex S(b)'!O13</f>
        <v>209.91959999999997</v>
      </c>
      <c r="BS12" s="2274">
        <f>'44)Sudangras HF Biogas ex S(b)'!M13</f>
        <v>89.056799999999996</v>
      </c>
      <c r="BT12" s="2274">
        <f>'44)Sudangras HF Biogas ex S(b)'!N13</f>
        <v>115.77384000000001</v>
      </c>
      <c r="BU12" s="2274">
        <f>'44)Sudangras HF Biogas ex S(b)'!O13</f>
        <v>142.49088</v>
      </c>
      <c r="BV12" s="2274">
        <f>'51) GPS Weidelgras Biog aF (b)'!M13</f>
        <v>107.34524999999999</v>
      </c>
      <c r="BW12" s="2274">
        <f>'51) GPS Weidelgras Biog aF (b)'!N13</f>
        <v>128.8143</v>
      </c>
      <c r="BX12" s="2274">
        <f>'51) GPS Weidelgras Biog aF (b)'!O13</f>
        <v>150.28335000000001</v>
      </c>
      <c r="BY12" s="2274">
        <f>'48)Zuhirse HF Biogas ex S(b)'!M13</f>
        <v>89.056799999999996</v>
      </c>
      <c r="BZ12" s="2274">
        <f>'48)Zuhirse HF Biogas ex S(b)'!N13</f>
        <v>115.77384000000001</v>
      </c>
      <c r="CA12" s="2274">
        <f>'48)Zuhirse HF Biogas ex S(b)'!O13</f>
        <v>142.49088</v>
      </c>
      <c r="CB12" s="2274">
        <f>'46)GPS+Sudangr Biogas ex S(b)'!M13</f>
        <v>166.02731999999997</v>
      </c>
      <c r="CC12" s="2274">
        <f>'46)GPS+Sudangr Biogas ex S(b)'!N13</f>
        <v>184.47479999999996</v>
      </c>
      <c r="CD12" s="2274">
        <f>'46)GPS+Sudangr Biogas ex S(b)'!O13</f>
        <v>202.92227999999997</v>
      </c>
      <c r="CE12" s="2274">
        <f>'48)Zuhirse HF Biogas ex S(b)'!M13</f>
        <v>89.056799999999996</v>
      </c>
      <c r="CF12" s="2274">
        <f>'48)Zuhirse HF Biogas ex S(b)'!N13</f>
        <v>115.77384000000001</v>
      </c>
      <c r="CG12" s="2274">
        <f>'48)Zuhirse HF Biogas ex S(b)'!O13</f>
        <v>142.49088</v>
      </c>
      <c r="CH12" s="2274">
        <f>'54)Dw. Silphie Biogas ex S(b)'!M13</f>
        <v>71.0334</v>
      </c>
      <c r="CI12" s="2274">
        <f>'54)Dw. Silphie Biogas ex S(b)'!N13</f>
        <v>92.343420000000009</v>
      </c>
      <c r="CJ12" s="2274">
        <f>'54)Dw. Silphie Biogas ex S(b)'!O13</f>
        <v>113.65344000000002</v>
      </c>
    </row>
    <row r="13" spans="1:88" s="172" customFormat="1" ht="17.45" hidden="1" customHeight="1" x14ac:dyDescent="0.2">
      <c r="A13" s="225"/>
      <c r="B13" s="2234" t="s">
        <v>834</v>
      </c>
      <c r="C13" s="2548"/>
      <c r="D13" s="2205" t="s">
        <v>266</v>
      </c>
      <c r="E13" s="1202" t="e">
        <f>'1)Grünf. 3Nutz.(b)'!#REF!</f>
        <v>#REF!</v>
      </c>
      <c r="F13" s="1204" t="e">
        <f>'2)Grünf. 4Nutz.(b)'!#REF!</f>
        <v>#REF!</v>
      </c>
      <c r="G13" s="1201" t="e">
        <f>'3)Grünf. 5Nutz.(b)'!#REF!</f>
        <v>#REF!</v>
      </c>
      <c r="H13" s="1203" t="e">
        <f>'4)GS 3Nutz.eig.mech.(b)'!#REF!</f>
        <v>#REF!</v>
      </c>
      <c r="I13" s="1200" t="e">
        <f>'5)GS 4Nutz.eig.mech(b)'!#REF!</f>
        <v>#REF!</v>
      </c>
      <c r="J13" s="1204" t="e">
        <f>'6)GS 5Nutz.eig.mech.(b)'!#REF!</f>
        <v>#REF!</v>
      </c>
      <c r="K13" s="1200" t="e">
        <f>'7)GS3Nutz.Fremdmech(b)'!#REF!</f>
        <v>#REF!</v>
      </c>
      <c r="L13" s="1200" t="e">
        <f>'8)GS4Nutz.Fremdmech(b)'!#REF!</f>
        <v>#REF!</v>
      </c>
      <c r="M13" s="1200" t="e">
        <f>'9)GS 5Nutz.Fremd(b)'!#REF!</f>
        <v>#REF!</v>
      </c>
      <c r="N13" s="1202" t="e">
        <f>'10) GS 3Nutz. Ballensil.(b)'!#REF!</f>
        <v>#REF!</v>
      </c>
      <c r="O13" s="1203" t="e">
        <f>'11)Heu 2Nutz.-(b)'!#REF!</f>
        <v>#REF!</v>
      </c>
      <c r="P13" s="1200" t="e">
        <f>'12)Heu 3Nutz.(b)'!#REF!</f>
        <v>#REF!</v>
      </c>
      <c r="Q13" s="2246" t="e">
        <f>'13)Grascobs 5Nutz.(b)'!#REF!</f>
        <v>#REF!</v>
      </c>
      <c r="R13" s="1204" t="e">
        <f>'14)Weide_ext.(b)'!#REF!</f>
        <v>#REF!</v>
      </c>
      <c r="S13" s="1200" t="e">
        <f>'15)Weide int. 4Nutz.(b)'!#REF!</f>
        <v>#REF!</v>
      </c>
      <c r="T13" s="1203" t="e">
        <f>'17)Kleegras-GrünFu-Eig.mech(b)'!#REF!</f>
        <v>#REF!</v>
      </c>
      <c r="U13" s="1204" t="e">
        <f>'18)Kleegrassi-Fremnernt(b)'!#REF!</f>
        <v>#REF!</v>
      </c>
      <c r="V13" s="1201" t="e">
        <f>'19)LuzerneSil-Fremdernte(b)'!#REF!</f>
        <v>#REF!</v>
      </c>
      <c r="W13" s="1200">
        <f>'20)Silomais int(b)'!$M29</f>
        <v>270</v>
      </c>
      <c r="X13" s="1204">
        <f>'20)Silomais int(b)'!$N29</f>
        <v>270</v>
      </c>
      <c r="Y13" s="1206">
        <f>'20)Silomais int(b)'!$O29</f>
        <v>270</v>
      </c>
      <c r="Z13" s="1203">
        <f>'21)Futterrüben(b)'!$M29</f>
        <v>270</v>
      </c>
      <c r="AA13" s="1204">
        <f>'21)Futterrüben(b)'!$N29</f>
        <v>270</v>
      </c>
      <c r="AB13" s="1201">
        <f>'21)Futterrüben(b)'!$O29</f>
        <v>270</v>
      </c>
      <c r="AC13" s="1207">
        <f>'22)ZWF-Raps-(b)'!M29</f>
        <v>270</v>
      </c>
      <c r="AD13" s="1204">
        <f>'22)ZWF-Raps-(b)'!N29</f>
        <v>270</v>
      </c>
      <c r="AE13" s="1205">
        <f>'22)ZWF-Raps-(b)'!O29</f>
        <v>270</v>
      </c>
      <c r="AF13" s="2458"/>
      <c r="AG13" s="1200">
        <f>'23)GPS-(b)'!M29</f>
        <v>270</v>
      </c>
      <c r="AH13" s="1204">
        <f>'23)GPS-(b)'!N29</f>
        <v>270</v>
      </c>
      <c r="AI13" s="1201">
        <f>'23)GPS-(b)'!O29</f>
        <v>270</v>
      </c>
      <c r="AJ13" s="1200">
        <f>'24)Mais LKS-(b)'!M29</f>
        <v>270</v>
      </c>
      <c r="AK13" s="1204">
        <f>'24)Mais LKS-(b)'!N29</f>
        <v>270</v>
      </c>
      <c r="AL13" s="1201">
        <f>'24)Mais LKS-(b)'!O29</f>
        <v>270</v>
      </c>
      <c r="AM13" s="1200">
        <f>'25)Mais CCM-(b)'!M29</f>
        <v>270</v>
      </c>
      <c r="AN13" s="1204">
        <f>'25)Mais CCM-(b)'!N29</f>
        <v>270</v>
      </c>
      <c r="AO13" s="1201">
        <f>'25)Mais CCM-(b)'!O29</f>
        <v>270</v>
      </c>
      <c r="AP13" s="1203">
        <f>'26)M(ais feucht-b)'!$M29</f>
        <v>270</v>
      </c>
      <c r="AQ13" s="1204">
        <f>'26)M(ais feucht-b)'!$N29</f>
        <v>270</v>
      </c>
      <c r="AR13" s="1201">
        <f>'26)M(ais feucht-b)'!$O29</f>
        <v>270</v>
      </c>
      <c r="AS13" s="1203">
        <f>'27)Silomais Biogas ab Feld-(b)'!M29</f>
        <v>270</v>
      </c>
      <c r="AT13" s="1204">
        <f>'27)Silomais Biogas ab Feld-(b)'!N29</f>
        <v>270</v>
      </c>
      <c r="AU13" s="1201">
        <f>'27)Silomais Biogas ab Feld-(b)'!O29</f>
        <v>270</v>
      </c>
      <c r="AV13" s="1200">
        <f>'28)Silomais Biogas ex Silo (b)'!M29</f>
        <v>270</v>
      </c>
      <c r="AW13" s="1204">
        <f>'28)Silomais Biogas ex Silo (b)'!N29</f>
        <v>270</v>
      </c>
      <c r="AX13" s="1201">
        <f>'28)Silomais Biogas ex Silo (b)'!O29</f>
        <v>270</v>
      </c>
      <c r="AY13" s="1200">
        <f>'29)Triticale-GPS Biogas Feld(b)'!M29</f>
        <v>270</v>
      </c>
      <c r="AZ13" s="1204">
        <f>'29)Triticale-GPS Biogas Feld(b)'!N29</f>
        <v>270</v>
      </c>
      <c r="BA13" s="1201">
        <f>'29)Triticale-GPS Biogas Feld(b)'!O29</f>
        <v>270</v>
      </c>
      <c r="BB13" s="1200">
        <f>'30)Tritic-GPS Biogas ex Silo(b)'!M29</f>
        <v>270</v>
      </c>
      <c r="BC13" s="1204">
        <f>'30)Tritic-GPS Biogas ex Silo(b)'!N29</f>
        <v>270</v>
      </c>
      <c r="BD13" s="1201">
        <f>'30)Tritic-GPS Biogas ex Silo(b)'!O29</f>
        <v>270</v>
      </c>
      <c r="BE13" s="1205">
        <f>'33)Kleegrassil 4N Biogas aF(b)'!M29</f>
        <v>270</v>
      </c>
      <c r="BF13" s="1201">
        <f>'33)Kleegrassil 4N Biogas aF(b)'!N29</f>
        <v>270</v>
      </c>
      <c r="BG13" s="1201">
        <f>'33)Kleegrassil 4N Biogas aF(b)'!O29</f>
        <v>270</v>
      </c>
      <c r="BH13" s="1201">
        <f>'34)Kleegrassil 4N Biog ex S(b)'!M29</f>
        <v>270</v>
      </c>
      <c r="BI13" s="1201">
        <f>'34)Kleegrassil 4N Biog ex S(b)'!N29</f>
        <v>270</v>
      </c>
      <c r="BJ13" s="1201">
        <f>'34)Kleegrassil 4N Biog ex S(b)'!O29</f>
        <v>270</v>
      </c>
      <c r="BK13" s="2246" t="e">
        <f>'36)GS 3Nutz. Biogas Feld-(b)'!#REF!</f>
        <v>#REF!</v>
      </c>
      <c r="BL13" s="2246" t="e">
        <f>'37)GS 3Nutz. Biogas ex Silo (b)'!#REF!</f>
        <v>#REF!</v>
      </c>
      <c r="BM13" s="1201">
        <f>'40)GrünroggenVFBiogas ex S(b)'!M29</f>
        <v>270</v>
      </c>
      <c r="BN13" s="1201">
        <f>'40)GrünroggenVFBiogas ex S(b)'!N29</f>
        <v>270</v>
      </c>
      <c r="BO13" s="1201">
        <f>'40)GrünroggenVFBiogas ex S(b)'!O29</f>
        <v>270</v>
      </c>
      <c r="BP13" s="1201">
        <f>'42)Grürog.+Silom. Biog ex S(b)'!M29</f>
        <v>270</v>
      </c>
      <c r="BQ13" s="1201">
        <f>'42)Grürog.+Silom. Biog ex S(b)'!N29</f>
        <v>270</v>
      </c>
      <c r="BR13" s="1201">
        <f>'42)Grürog.+Silom. Biog ex S(b)'!O29</f>
        <v>270</v>
      </c>
      <c r="BS13" s="1201">
        <f>'44)Sudangras HF Biogas ex S(b)'!M29</f>
        <v>270</v>
      </c>
      <c r="BT13" s="1201">
        <f>'44)Sudangras HF Biogas ex S(b)'!N29</f>
        <v>270</v>
      </c>
      <c r="BU13" s="1201">
        <f>'44)Sudangras HF Biogas ex S(b)'!O29</f>
        <v>270</v>
      </c>
      <c r="BV13" s="1201">
        <f>'51) GPS Weidelgras Biog aF (b)'!M29</f>
        <v>270</v>
      </c>
      <c r="BW13" s="1201">
        <f>'51) GPS Weidelgras Biog aF (b)'!N29</f>
        <v>270</v>
      </c>
      <c r="BX13" s="1201">
        <f>'51) GPS Weidelgras Biog aF (b)'!O29</f>
        <v>270</v>
      </c>
      <c r="BY13" s="1201">
        <f>'48)Zuhirse HF Biogas ex S(b)'!M29</f>
        <v>270</v>
      </c>
      <c r="BZ13" s="1201">
        <f>'48)Zuhirse HF Biogas ex S(b)'!N29</f>
        <v>270</v>
      </c>
      <c r="CA13" s="1201">
        <f>'48)Zuhirse HF Biogas ex S(b)'!O29</f>
        <v>270</v>
      </c>
      <c r="CB13" s="1201">
        <f>'46)GPS+Sudangr Biogas ex S(b)'!M29</f>
        <v>270</v>
      </c>
      <c r="CC13" s="1201">
        <f>'46)GPS+Sudangr Biogas ex S(b)'!N29</f>
        <v>270</v>
      </c>
      <c r="CD13" s="1201">
        <f>'46)GPS+Sudangr Biogas ex S(b)'!O29</f>
        <v>270</v>
      </c>
      <c r="CE13" s="1201">
        <f>'48)Zuhirse HF Biogas ex S(b)'!M29</f>
        <v>270</v>
      </c>
      <c r="CF13" s="1201">
        <f>'48)Zuhirse HF Biogas ex S(b)'!N29</f>
        <v>270</v>
      </c>
      <c r="CG13" s="1201">
        <f>'48)Zuhirse HF Biogas ex S(b)'!O29</f>
        <v>270</v>
      </c>
      <c r="CH13" s="1201">
        <f>'54)Dw. Silphie Biogas ex S(b)'!M29</f>
        <v>270</v>
      </c>
      <c r="CI13" s="1201">
        <f>'54)Dw. Silphie Biogas ex S(b)'!N29</f>
        <v>270</v>
      </c>
      <c r="CJ13" s="1201">
        <f>'54)Dw. Silphie Biogas ex S(b)'!O29</f>
        <v>270</v>
      </c>
    </row>
    <row r="14" spans="1:88" s="172" customFormat="1" ht="4.1500000000000004" customHeight="1" thickBot="1" x14ac:dyDescent="0.25">
      <c r="A14" s="2265"/>
      <c r="B14" s="2328"/>
      <c r="C14" s="2550"/>
      <c r="D14" s="2266"/>
      <c r="E14" s="2267"/>
      <c r="F14" s="2267"/>
      <c r="G14" s="2325"/>
      <c r="H14" s="2312"/>
      <c r="I14" s="2267"/>
      <c r="J14" s="2309"/>
      <c r="K14" s="2267"/>
      <c r="L14" s="2267"/>
      <c r="M14" s="2267"/>
      <c r="N14" s="2267"/>
      <c r="O14" s="2312"/>
      <c r="P14" s="2309"/>
      <c r="Q14" s="2267"/>
      <c r="R14" s="2309"/>
      <c r="S14" s="2267"/>
      <c r="T14" s="2756"/>
      <c r="U14" s="2267"/>
      <c r="V14" s="2267"/>
      <c r="W14" s="2267"/>
      <c r="X14" s="2267"/>
      <c r="Y14" s="2267"/>
      <c r="Z14" s="2312"/>
      <c r="AA14" s="2313"/>
      <c r="AB14" s="2314"/>
      <c r="AC14" s="2267"/>
      <c r="AD14" s="2267"/>
      <c r="AE14" s="2267"/>
      <c r="AF14" s="2458"/>
      <c r="AG14" s="2267"/>
      <c r="AH14" s="2267"/>
      <c r="AI14" s="2325"/>
      <c r="AJ14" s="2267"/>
      <c r="AK14" s="2267"/>
      <c r="AL14" s="2325"/>
      <c r="AM14" s="2267"/>
      <c r="AN14" s="2267"/>
      <c r="AO14" s="2325"/>
      <c r="AP14" s="2312"/>
      <c r="AQ14" s="2313"/>
      <c r="AR14" s="2314"/>
      <c r="AS14" s="2756"/>
      <c r="AT14" s="2267"/>
      <c r="AU14" s="2325"/>
      <c r="AV14" s="2267"/>
      <c r="AW14" s="2267"/>
      <c r="AX14" s="2325"/>
      <c r="AY14" s="2267"/>
      <c r="AZ14" s="2267"/>
      <c r="BA14" s="2325"/>
      <c r="BB14" s="2267"/>
      <c r="BC14" s="2267"/>
      <c r="BD14" s="2325"/>
      <c r="BE14" s="2325"/>
      <c r="BF14" s="2325"/>
      <c r="BG14" s="2325"/>
      <c r="BH14" s="2325"/>
      <c r="BI14" s="2325"/>
      <c r="BJ14" s="2325"/>
      <c r="BK14" s="2458"/>
      <c r="BL14" s="2458"/>
      <c r="BM14" s="2325"/>
      <c r="BN14" s="2325"/>
      <c r="BO14" s="2325"/>
      <c r="BP14" s="2325"/>
      <c r="BQ14" s="2325"/>
      <c r="BR14" s="2325"/>
      <c r="BS14" s="2325"/>
      <c r="BT14" s="2325"/>
      <c r="BU14" s="2325"/>
      <c r="BV14" s="2325"/>
      <c r="BW14" s="2325"/>
      <c r="BX14" s="2325"/>
      <c r="BY14" s="2325"/>
      <c r="BZ14" s="2325"/>
      <c r="CA14" s="2325"/>
      <c r="CB14" s="2325"/>
      <c r="CC14" s="2325"/>
      <c r="CD14" s="2325"/>
      <c r="CE14" s="2325"/>
      <c r="CF14" s="2325"/>
      <c r="CG14" s="2325"/>
      <c r="CH14" s="2325"/>
      <c r="CI14" s="2325"/>
      <c r="CJ14" s="2325"/>
    </row>
    <row r="15" spans="1:88" s="172" customFormat="1" ht="17.100000000000001" customHeight="1" x14ac:dyDescent="0.2">
      <c r="A15" s="891"/>
      <c r="B15" s="2278" t="s">
        <v>267</v>
      </c>
      <c r="C15" s="2551"/>
      <c r="D15" s="2279" t="s">
        <v>266</v>
      </c>
      <c r="E15" s="2281">
        <f>'1)Grünf. 3Nutz.(b)'!$M$19</f>
        <v>23.54</v>
      </c>
      <c r="F15" s="2280">
        <f>'2)Grünf. 4Nutz.(b)'!$M$19</f>
        <v>23.54</v>
      </c>
      <c r="G15" s="2285">
        <f>'3)Grünf. 5Nutz.(b)'!$M$19</f>
        <v>23.54</v>
      </c>
      <c r="H15" s="2282">
        <f>'4)GS 3Nutz.eig.mech.(b)'!$M$19</f>
        <v>23.54</v>
      </c>
      <c r="I15" s="2286">
        <f>'5)GS 4Nutz.eig.mech(b)'!$M$19</f>
        <v>23.54</v>
      </c>
      <c r="J15" s="2280">
        <f>'6)GS 5Nutz.eig.mech.(b)'!$M$19</f>
        <v>23.54</v>
      </c>
      <c r="K15" s="2286">
        <f>'7)GS3Nutz.Fremdmech(b)'!$M$19</f>
        <v>23.54</v>
      </c>
      <c r="L15" s="2286">
        <f>'8)GS4Nutz.Fremdmech(b)'!$M$19</f>
        <v>23.54</v>
      </c>
      <c r="M15" s="2286">
        <f>'9)GS 5Nutz.Fremd(b)'!$M$19</f>
        <v>23.54</v>
      </c>
      <c r="N15" s="2281">
        <f>'10) GS 3Nutz. Ballensil.(b)'!$M$19</f>
        <v>23.54</v>
      </c>
      <c r="O15" s="2282">
        <f>'11)Heu 2Nutz.-(b)'!$M$19</f>
        <v>14.124000000000001</v>
      </c>
      <c r="P15" s="2286">
        <f>'12)Heu 3Nutz.(b)'!$M$19</f>
        <v>14.124000000000001</v>
      </c>
      <c r="Q15" s="2284">
        <f>'13)Grascobs 5Nutz.(b)'!$M$19</f>
        <v>23.54</v>
      </c>
      <c r="R15" s="2280">
        <f>'14)Weide_ext.(b)'!$M$19</f>
        <v>14.124000000000001</v>
      </c>
      <c r="S15" s="2286">
        <f>'15)Weide int. 4Nutz.(b)'!$M$19</f>
        <v>28.248000000000001</v>
      </c>
      <c r="T15" s="2282">
        <f>'17)Kleegras-GrünFu-Eig.mech(b)'!$M$19</f>
        <v>61.79249999999999</v>
      </c>
      <c r="U15" s="2280">
        <f>'18)Kleegrassi-Fremnernt(b)'!$M$19</f>
        <v>61.79249999999999</v>
      </c>
      <c r="V15" s="2285">
        <f>'19)LuzerneSil-Fremdernte(b)'!$M$19</f>
        <v>64.2</v>
      </c>
      <c r="W15" s="2286">
        <f>'20)Silomais int(b)'!$M19</f>
        <v>214</v>
      </c>
      <c r="X15" s="2280">
        <f>'20)Silomais int(b)'!$N19</f>
        <v>214</v>
      </c>
      <c r="Y15" s="2283">
        <f>'20)Silomais int(b)'!$O19</f>
        <v>214</v>
      </c>
      <c r="Z15" s="2282">
        <f>'21)Futterrüben(b)'!$M19</f>
        <v>428</v>
      </c>
      <c r="AA15" s="2280">
        <f>'21)Futterrüben(b)'!$N19</f>
        <v>428</v>
      </c>
      <c r="AB15" s="2285">
        <f>'21)Futterrüben(b)'!$O19</f>
        <v>428</v>
      </c>
      <c r="AC15" s="2288">
        <f>'22)ZWF-Raps-(b)'!M19</f>
        <v>74.900000000000006</v>
      </c>
      <c r="AD15" s="2280">
        <f>'22)ZWF-Raps-(b)'!N19</f>
        <v>74.900000000000006</v>
      </c>
      <c r="AE15" s="2287">
        <f>'22)ZWF-Raps-(b)'!O19</f>
        <v>74.900000000000006</v>
      </c>
      <c r="AF15" s="2777"/>
      <c r="AG15" s="2286">
        <f>'23)GPS-(b)'!M19</f>
        <v>113.634</v>
      </c>
      <c r="AH15" s="2280">
        <f>'23)GPS-(b)'!N19</f>
        <v>113.634</v>
      </c>
      <c r="AI15" s="2285">
        <f>'23)GPS-(b)'!O19</f>
        <v>113.634</v>
      </c>
      <c r="AJ15" s="2286">
        <f>'24)Mais LKS-(b)'!M19</f>
        <v>214</v>
      </c>
      <c r="AK15" s="2280">
        <f>'24)Mais LKS-(b)'!N19</f>
        <v>214</v>
      </c>
      <c r="AL15" s="2285">
        <f>'24)Mais LKS-(b)'!O19</f>
        <v>214</v>
      </c>
      <c r="AM15" s="2286">
        <f>'25)Mais CCM-(b)'!M19</f>
        <v>214</v>
      </c>
      <c r="AN15" s="2280">
        <f>'25)Mais CCM-(b)'!N19</f>
        <v>214</v>
      </c>
      <c r="AO15" s="2285">
        <f>'25)Mais CCM-(b)'!O19</f>
        <v>214</v>
      </c>
      <c r="AP15" s="2282">
        <f>'26)M(ais feucht-b)'!$M19</f>
        <v>214</v>
      </c>
      <c r="AQ15" s="2280">
        <f>'26)M(ais feucht-b)'!$N19</f>
        <v>214</v>
      </c>
      <c r="AR15" s="2285">
        <f>'26)M(ais feucht-b)'!$O19</f>
        <v>214</v>
      </c>
      <c r="AS15" s="2282">
        <f>'27)Silomais Biogas ab Feld-(b)'!M19</f>
        <v>214</v>
      </c>
      <c r="AT15" s="2280">
        <f>'27)Silomais Biogas ab Feld-(b)'!N19</f>
        <v>214</v>
      </c>
      <c r="AU15" s="2285">
        <f>'27)Silomais Biogas ab Feld-(b)'!O19</f>
        <v>214</v>
      </c>
      <c r="AV15" s="2286">
        <f>'28)Silomais Biogas ex Silo (b)'!M19</f>
        <v>214</v>
      </c>
      <c r="AW15" s="2280">
        <f>'28)Silomais Biogas ex Silo (b)'!N19</f>
        <v>214</v>
      </c>
      <c r="AX15" s="2285">
        <f>'28)Silomais Biogas ex Silo (b)'!O19</f>
        <v>214</v>
      </c>
      <c r="AY15" s="2286">
        <f>'29)Triticale-GPS Biogas Feld(b)'!M19</f>
        <v>109.14</v>
      </c>
      <c r="AZ15" s="2280">
        <f>'29)Triticale-GPS Biogas Feld(b)'!N19</f>
        <v>109.14</v>
      </c>
      <c r="BA15" s="2285">
        <f>'29)Triticale-GPS Biogas Feld(b)'!O19</f>
        <v>109.14</v>
      </c>
      <c r="BB15" s="2286">
        <f>'30)Tritic-GPS Biogas ex Silo(b)'!M19</f>
        <v>109.14</v>
      </c>
      <c r="BC15" s="2280">
        <f>'30)Tritic-GPS Biogas ex Silo(b)'!N19</f>
        <v>109.14</v>
      </c>
      <c r="BD15" s="2285">
        <f>'30)Tritic-GPS Biogas ex Silo(b)'!O19</f>
        <v>109.14</v>
      </c>
      <c r="BE15" s="2287">
        <f>'33)Kleegrassil 4N Biogas aF(b)'!M19</f>
        <v>61.79249999999999</v>
      </c>
      <c r="BF15" s="2285">
        <f>'33)Kleegrassil 4N Biogas aF(b)'!N19</f>
        <v>1.0298749999999999</v>
      </c>
      <c r="BG15" s="2285">
        <f>'33)Kleegrassil 4N Biogas aF(b)'!O19</f>
        <v>1.0298749999999999</v>
      </c>
      <c r="BH15" s="2285">
        <f>'34)Kleegrassil 4N Biog ex S(b)'!M19</f>
        <v>61.79249999999999</v>
      </c>
      <c r="BI15" s="2285">
        <f>'34)Kleegrassil 4N Biog ex S(b)'!N19</f>
        <v>1.0298749999999999</v>
      </c>
      <c r="BJ15" s="2285">
        <f>'34)Kleegrassil 4N Biog ex S(b)'!O19</f>
        <v>1.0298749999999999</v>
      </c>
      <c r="BK15" s="2284">
        <f>'36)GS 3Nutz. Biogas Feld-(b)'!$M$19</f>
        <v>23.54</v>
      </c>
      <c r="BL15" s="2284">
        <f>'37)GS 3Nutz. Biogas ex Silo (b)'!$M$19</f>
        <v>23.54</v>
      </c>
      <c r="BM15" s="2285">
        <f>'40)GrünroggenVFBiogas ex S(b)'!M19</f>
        <v>95.978999999999999</v>
      </c>
      <c r="BN15" s="2285">
        <f>'40)GrünroggenVFBiogas ex S(b)'!N19</f>
        <v>95.978999999999999</v>
      </c>
      <c r="BO15" s="2285">
        <f>'40)GrünroggenVFBiogas ex S(b)'!O19</f>
        <v>95.978999999999999</v>
      </c>
      <c r="BP15" s="2285">
        <f>'42)Grürog.+Silom. Biog ex S(b)'!M19</f>
        <v>309.97899999999998</v>
      </c>
      <c r="BQ15" s="2285">
        <f>'42)Grürog.+Silom. Biog ex S(b)'!N19</f>
        <v>309.97899999999998</v>
      </c>
      <c r="BR15" s="2285">
        <f>'42)Grürog.+Silom. Biog ex S(b)'!O19</f>
        <v>309.97899999999998</v>
      </c>
      <c r="BS15" s="2285">
        <f>'44)Sudangras HF Biogas ex S(b)'!M19</f>
        <v>85.6</v>
      </c>
      <c r="BT15" s="2285">
        <f>'44)Sudangras HF Biogas ex S(b)'!N19</f>
        <v>85.6</v>
      </c>
      <c r="BU15" s="2285">
        <f>'44)Sudangras HF Biogas ex S(b)'!O19</f>
        <v>85.6</v>
      </c>
      <c r="BV15" s="2285">
        <f>'51) GPS Weidelgras Biog aF (b)'!M19</f>
        <v>319.39500000000004</v>
      </c>
      <c r="BW15" s="2285">
        <f>'51) GPS Weidelgras Biog aF (b)'!N19</f>
        <v>319.39500000000004</v>
      </c>
      <c r="BX15" s="2285">
        <f>'51) GPS Weidelgras Biog aF (b)'!O19</f>
        <v>319.39500000000004</v>
      </c>
      <c r="BY15" s="2285">
        <f>'48)Zuhirse HF Biogas ex S(b)'!M19</f>
        <v>160.5</v>
      </c>
      <c r="BZ15" s="2285">
        <f>'48)Zuhirse HF Biogas ex S(b)'!N19</f>
        <v>160.5</v>
      </c>
      <c r="CA15" s="2285">
        <f>'48)Zuhirse HF Biogas ex S(b)'!O19</f>
        <v>160.5</v>
      </c>
      <c r="CB15" s="2285">
        <f>'46)GPS+Sudangr Biogas ex S(b)'!M19</f>
        <v>176.55</v>
      </c>
      <c r="CC15" s="2285">
        <f>'46)GPS+Sudangr Biogas ex S(b)'!N19</f>
        <v>176.55</v>
      </c>
      <c r="CD15" s="2285">
        <f>'46)GPS+Sudangr Biogas ex S(b)'!O19</f>
        <v>176.55</v>
      </c>
      <c r="CE15" s="2285">
        <f>'48)Zuhirse HF Biogas ex S(b)'!M19</f>
        <v>160.5</v>
      </c>
      <c r="CF15" s="2285">
        <f>'48)Zuhirse HF Biogas ex S(b)'!N19</f>
        <v>160.5</v>
      </c>
      <c r="CG15" s="2285">
        <f>'48)Zuhirse HF Biogas ex S(b)'!O19</f>
        <v>160.5</v>
      </c>
      <c r="CH15" s="2285">
        <f>'54)Dw. Silphie Biogas ex S(b)'!M19</f>
        <v>128.4</v>
      </c>
      <c r="CI15" s="2285">
        <f>'54)Dw. Silphie Biogas ex S(b)'!N19</f>
        <v>128.4</v>
      </c>
      <c r="CJ15" s="2285">
        <f>'54)Dw. Silphie Biogas ex S(b)'!O19</f>
        <v>128.4</v>
      </c>
    </row>
    <row r="16" spans="1:88" s="172" customFormat="1" ht="17.100000000000001" customHeight="1" x14ac:dyDescent="0.2">
      <c r="A16" s="891"/>
      <c r="B16" s="2236" t="s">
        <v>53</v>
      </c>
      <c r="C16" s="2552"/>
      <c r="D16" s="2206" t="s">
        <v>266</v>
      </c>
      <c r="E16" s="1210">
        <f>'1)Grünf. 3Nutz.(b)'!$M$20</f>
        <v>510.35356458333325</v>
      </c>
      <c r="F16" s="1212">
        <f>'2)Grünf. 4Nutz.(b)'!$M$20</f>
        <v>666.87242999999989</v>
      </c>
      <c r="G16" s="1209">
        <f>'3)Grünf. 5Nutz.(b)'!$M$20</f>
        <v>1026.2212916666667</v>
      </c>
      <c r="H16" s="1211">
        <f>'4)GS 3Nutz.eig.mech.(b)'!$M$20</f>
        <v>510.35356458333325</v>
      </c>
      <c r="I16" s="1208">
        <f>'5)GS 4Nutz.eig.mech(b)'!$M$20</f>
        <v>666.87242999999989</v>
      </c>
      <c r="J16" s="1212">
        <f>'6)GS 5Nutz.eig.mech.(b)'!$M$20</f>
        <v>1026.2212916666667</v>
      </c>
      <c r="K16" s="1208">
        <f>'7)GS3Nutz.Fremdmech(b)'!$M$20</f>
        <v>510.35356458333325</v>
      </c>
      <c r="L16" s="1208">
        <f>'8)GS4Nutz.Fremdmech(b)'!$M$20</f>
        <v>666.87242999999989</v>
      </c>
      <c r="M16" s="1208">
        <f>'9)GS 5Nutz.Fremd(b)'!$M$20</f>
        <v>1026.2212916666667</v>
      </c>
      <c r="N16" s="1210">
        <f>'10) GS 3Nutz. Ballensil.(b)'!$M$20</f>
        <v>510.35356458333325</v>
      </c>
      <c r="O16" s="1211">
        <f>'11)Heu 2Nutz.-(b)'!$M$20</f>
        <v>309.05727999999999</v>
      </c>
      <c r="P16" s="1208">
        <f>'12)Heu 3Nutz.(b)'!$M$20</f>
        <v>548.98478249999994</v>
      </c>
      <c r="Q16" s="2247">
        <f>'13)Grascobs 5Nutz.(b)'!$M$20</f>
        <v>1026.2212916666667</v>
      </c>
      <c r="R16" s="1212">
        <f>'14)Weide_ext.(b)'!$M$20</f>
        <v>268.99235999999996</v>
      </c>
      <c r="S16" s="1208">
        <f>'15)Weide int. 4Nutz.(b)'!$M$20</f>
        <v>549.37301999999988</v>
      </c>
      <c r="T16" s="1211">
        <f>'17)Kleegras-GrünFu-Eig.mech(b)'!$M$20</f>
        <v>677.64530166666657</v>
      </c>
      <c r="U16" s="1212">
        <f>'18)Kleegrassi-Fremnernt(b)'!$M$20</f>
        <v>677.64530166666657</v>
      </c>
      <c r="V16" s="1209">
        <f>'19)LuzerneSil-Fremdernte(b)'!$M$20</f>
        <v>414.22759583333334</v>
      </c>
      <c r="W16" s="1208">
        <f>'20)Silomais int(b)'!$M20</f>
        <v>565.88307999999995</v>
      </c>
      <c r="X16" s="1212">
        <f>'20)Silomais int(b)'!$N20</f>
        <v>683.77538833333324</v>
      </c>
      <c r="Y16" s="1214">
        <f>'20)Silomais int(b)'!$O20</f>
        <v>801.66769666666653</v>
      </c>
      <c r="Z16" s="1211">
        <f>'21)Futterrüben(b)'!$M20</f>
        <v>714.76352383333324</v>
      </c>
      <c r="AA16" s="1212">
        <f>'21)Futterrüben(b)'!$N20</f>
        <v>844.72052816666655</v>
      </c>
      <c r="AB16" s="1209">
        <f>'21)Futterrüben(b)'!$O20</f>
        <v>974.67753249999987</v>
      </c>
      <c r="AC16" s="1215">
        <f>'22)ZWF-Raps-(b)'!M20</f>
        <v>145.43411458333333</v>
      </c>
      <c r="AD16" s="1212">
        <f>'22)ZWF-Raps-(b)'!N20</f>
        <v>186.1556666666666</v>
      </c>
      <c r="AE16" s="1213">
        <f>'22)ZWF-Raps-(b)'!O20</f>
        <v>232.6945833333333</v>
      </c>
      <c r="AF16" s="2777"/>
      <c r="AG16" s="1208">
        <f>'23)GPS-(b)'!M20</f>
        <v>373.47197999999997</v>
      </c>
      <c r="AH16" s="1212">
        <f>'23)GPS-(b)'!N20</f>
        <v>435.71730999999994</v>
      </c>
      <c r="AI16" s="1209">
        <f>'23)GPS-(b)'!O20</f>
        <v>497.96263999999991</v>
      </c>
      <c r="AJ16" s="1208">
        <f>'24)Mais LKS-(b)'!M20</f>
        <v>418.31137833333332</v>
      </c>
      <c r="AK16" s="1212">
        <f>'24)Mais LKS-(b)'!N20</f>
        <v>481.05808508333337</v>
      </c>
      <c r="AL16" s="1209">
        <f>'24)Mais LKS-(b)'!O20</f>
        <v>543.80479183333341</v>
      </c>
      <c r="AM16" s="1208">
        <f>'25)Mais CCM-(b)'!M20</f>
        <v>376.48024049999998</v>
      </c>
      <c r="AN16" s="1212">
        <f>'25)Mais CCM-(b)'!N20</f>
        <v>439.22694725000002</v>
      </c>
      <c r="AO16" s="1209">
        <f>'25)Mais CCM-(b)'!O20</f>
        <v>501.97365400000001</v>
      </c>
      <c r="AP16" s="1211">
        <f>'26)M(ais feucht-b)'!$M20</f>
        <v>334.64910266666669</v>
      </c>
      <c r="AQ16" s="1212">
        <f>'26)M(ais feucht-b)'!$N20</f>
        <v>397.39580941666662</v>
      </c>
      <c r="AR16" s="1209">
        <f>'26)M(ais feucht-b)'!$O20</f>
        <v>460.14251616666667</v>
      </c>
      <c r="AS16" s="1211">
        <f>'27)Silomais Biogas ab Feld-(b)'!M20</f>
        <v>82.237092000000018</v>
      </c>
      <c r="AT16" s="1212">
        <f>'27)Silomais Biogas ab Feld-(b)'!N20</f>
        <v>102.79636500000004</v>
      </c>
      <c r="AU16" s="1209">
        <f>'27)Silomais Biogas ab Feld-(b)'!O20</f>
        <v>123.355638</v>
      </c>
      <c r="AV16" s="1208">
        <f>'28)Silomais Biogas ex Silo (b)'!M20</f>
        <v>82.237092000000018</v>
      </c>
      <c r="AW16" s="1212">
        <f>'28)Silomais Biogas ex Silo (b)'!N20</f>
        <v>102.79636500000004</v>
      </c>
      <c r="AX16" s="1209">
        <f>'28)Silomais Biogas ex Silo (b)'!O20</f>
        <v>123.355638</v>
      </c>
      <c r="AY16" s="1208">
        <f>'29)Triticale-GPS Biogas Feld(b)'!M20</f>
        <v>54.335221499999989</v>
      </c>
      <c r="AZ16" s="1212">
        <f>'29)Triticale-GPS Biogas Feld(b)'!N20</f>
        <v>65.202265800000077</v>
      </c>
      <c r="BA16" s="1209">
        <f>'29)Triticale-GPS Biogas Feld(b)'!O20</f>
        <v>76.069310099999939</v>
      </c>
      <c r="BB16" s="1208">
        <f>'30)Tritic-GPS Biogas ex Silo(b)'!M20</f>
        <v>54.335221499999989</v>
      </c>
      <c r="BC16" s="1212">
        <f>'30)Tritic-GPS Biogas ex Silo(b)'!N20</f>
        <v>65.202265800000077</v>
      </c>
      <c r="BD16" s="1209">
        <f>'30)Tritic-GPS Biogas ex Silo(b)'!O20</f>
        <v>76.069310099999939</v>
      </c>
      <c r="BE16" s="1213">
        <f>'33)Kleegrassil 4N Biogas aF(b)'!M20</f>
        <v>59.127232499999991</v>
      </c>
      <c r="BF16" s="1209">
        <f>'33)Kleegrassil 4N Biogas aF(b)'!N20</f>
        <v>72.266617499999938</v>
      </c>
      <c r="BG16" s="1209">
        <f>'33)Kleegrassil 4N Biogas aF(b)'!O20</f>
        <v>85.406002500000113</v>
      </c>
      <c r="BH16" s="1209">
        <f>'34)Kleegrassil 4N Biog ex S(b)'!M20</f>
        <v>65.696924999999965</v>
      </c>
      <c r="BI16" s="1209">
        <f>'34)Kleegrassil 4N Biog ex S(b)'!N20</f>
        <v>78.836309999999912</v>
      </c>
      <c r="BJ16" s="1209">
        <f>'34)Kleegrassil 4N Biog ex S(b)'!O20</f>
        <v>91.97569499999986</v>
      </c>
      <c r="BK16" s="2247">
        <f>'36)GS 3Nutz. Biogas Feld-(b)'!$M$20</f>
        <v>55.005072499999983</v>
      </c>
      <c r="BL16" s="2247">
        <f>'37)GS 3Nutz. Biogas ex Silo (b)'!$M$20</f>
        <v>55.005072499999983</v>
      </c>
      <c r="BM16" s="1209">
        <f>'40)GrünroggenVFBiogas ex S(b)'!M20</f>
        <v>27.167610749999994</v>
      </c>
      <c r="BN16" s="1209">
        <f>'40)GrünroggenVFBiogas ex S(b)'!N20</f>
        <v>32.601132900000039</v>
      </c>
      <c r="BO16" s="1209">
        <f>'40)GrünroggenVFBiogas ex S(b)'!O20</f>
        <v>38.034655049999969</v>
      </c>
      <c r="BP16" s="1209">
        <f>'42)Grürog.+Silom. Biog ex S(b)'!M20</f>
        <v>106.35172800000009</v>
      </c>
      <c r="BQ16" s="1209">
        <f>'42)Grürog.+Silom. Biog ex S(b)'!N20</f>
        <v>119.97804314999996</v>
      </c>
      <c r="BR16" s="1209">
        <f>'42)Grürog.+Silom. Biog ex S(b)'!O20</f>
        <v>138.92194470000004</v>
      </c>
      <c r="BS16" s="1209">
        <f>'44)Sudangras HF Biogas ex S(b)'!M20</f>
        <v>52.866702000000032</v>
      </c>
      <c r="BT16" s="1209">
        <f>'44)Sudangras HF Biogas ex S(b)'!N20</f>
        <v>68.726712600000042</v>
      </c>
      <c r="BU16" s="1209">
        <f>'44)Sudangras HF Biogas ex S(b)'!O20</f>
        <v>84.586723200000051</v>
      </c>
      <c r="BV16" s="1209">
        <f>'51) GPS Weidelgras Biog aF (b)'!M20</f>
        <v>124.82415749999996</v>
      </c>
      <c r="BW16" s="1209">
        <f>'51) GPS Weidelgras Biog aF (b)'!N20</f>
        <v>149.78898900000013</v>
      </c>
      <c r="BX16" s="1209">
        <f>'51) GPS Weidelgras Biog aF (b)'!O20</f>
        <v>174.75382050000007</v>
      </c>
      <c r="BY16" s="1209">
        <f>'48)Zuhirse HF Biogas ex S(b)'!M20</f>
        <v>77.831533500000091</v>
      </c>
      <c r="BZ16" s="1209">
        <f>'48)Zuhirse HF Biogas ex S(b)'!N20</f>
        <v>101.18099355000004</v>
      </c>
      <c r="CA16" s="1209">
        <f>'48)Zuhirse HF Biogas ex S(b)'!O20</f>
        <v>124.5304536000001</v>
      </c>
      <c r="CB16" s="1209">
        <f>'46)GPS+Sudangr Biogas ex S(b)'!M20</f>
        <v>96.922286999999983</v>
      </c>
      <c r="CC16" s="1209">
        <f>'46)GPS+Sudangr Biogas ex S(b)'!N20</f>
        <v>107.69142999999985</v>
      </c>
      <c r="CD16" s="1209">
        <f>'46)GPS+Sudangr Biogas ex S(b)'!O20</f>
        <v>118.46057300000007</v>
      </c>
      <c r="CE16" s="1209">
        <f>'48)Zuhirse HF Biogas ex S(b)'!M20</f>
        <v>77.831533500000091</v>
      </c>
      <c r="CF16" s="1209">
        <f>'48)Zuhirse HF Biogas ex S(b)'!N20</f>
        <v>101.18099355000004</v>
      </c>
      <c r="CG16" s="1209">
        <f>'48)Zuhirse HF Biogas ex S(b)'!O20</f>
        <v>124.5304536000001</v>
      </c>
      <c r="CH16" s="1209">
        <f>'54)Dw. Silphie Biogas ex S(b)'!M20</f>
        <v>39.160519999999963</v>
      </c>
      <c r="CI16" s="1209">
        <f>'54)Dw. Silphie Biogas ex S(b)'!N20</f>
        <v>50.908676000000014</v>
      </c>
      <c r="CJ16" s="1209">
        <f>'54)Dw. Silphie Biogas ex S(b)'!O20</f>
        <v>62.656832000000009</v>
      </c>
    </row>
    <row r="17" spans="1:88" s="172" customFormat="1" ht="17.100000000000001" customHeight="1" x14ac:dyDescent="0.2">
      <c r="A17" s="891"/>
      <c r="B17" s="2235" t="s">
        <v>268</v>
      </c>
      <c r="C17" s="2553"/>
      <c r="D17" s="2206" t="s">
        <v>266</v>
      </c>
      <c r="E17" s="1210">
        <f>'1)Grünf. 3Nutz.(b)'!$M$21</f>
        <v>0</v>
      </c>
      <c r="F17" s="1212">
        <f>'2)Grünf. 4Nutz.(b)'!$M$21</f>
        <v>0</v>
      </c>
      <c r="G17" s="1209">
        <f>'3)Grünf. 5Nutz.(b)'!$M$21</f>
        <v>0</v>
      </c>
      <c r="H17" s="1211">
        <f>'4)GS 3Nutz.eig.mech.(b)'!$M$21</f>
        <v>0</v>
      </c>
      <c r="I17" s="1208">
        <f>'5)GS 4Nutz.eig.mech(b)'!$M$21</f>
        <v>0</v>
      </c>
      <c r="J17" s="1212">
        <f>'6)GS 5Nutz.eig.mech.(b)'!$M$21</f>
        <v>0</v>
      </c>
      <c r="K17" s="1208">
        <f>'7)GS3Nutz.Fremdmech(b)'!$M$21</f>
        <v>0</v>
      </c>
      <c r="L17" s="1208">
        <f>'8)GS4Nutz.Fremdmech(b)'!$M$21</f>
        <v>0</v>
      </c>
      <c r="M17" s="1208">
        <f>'9)GS 5Nutz.Fremd(b)'!$M$21</f>
        <v>0</v>
      </c>
      <c r="N17" s="1210">
        <f>'10) GS 3Nutz. Ballensil.(b)'!$M$21</f>
        <v>0</v>
      </c>
      <c r="O17" s="1211">
        <f>'11)Heu 2Nutz.-(b)'!$M$21</f>
        <v>0</v>
      </c>
      <c r="P17" s="1208">
        <f>'12)Heu 3Nutz.(b)'!$M$21</f>
        <v>0</v>
      </c>
      <c r="Q17" s="2247">
        <f>'13)Grascobs 5Nutz.(b)'!$M$21</f>
        <v>6.6759000000000004</v>
      </c>
      <c r="R17" s="1212">
        <f>'14)Weide_ext.(b)'!$M$21</f>
        <v>0</v>
      </c>
      <c r="S17" s="1208">
        <f>'15)Weide int. 4Nutz.(b)'!$M$21</f>
        <v>0</v>
      </c>
      <c r="T17" s="1211">
        <f>'17)Kleegras-GrünFu-Eig.mech(b)'!$M$21</f>
        <v>0</v>
      </c>
      <c r="U17" s="1212">
        <f>'18)Kleegrassi-Fremnernt(b)'!$M$21</f>
        <v>0</v>
      </c>
      <c r="V17" s="1209">
        <f>'19)LuzerneSil-Fremdernte(b)'!$M$21</f>
        <v>0</v>
      </c>
      <c r="W17" s="1208">
        <f>'20)Silomais int(b)'!$M21</f>
        <v>84.585200000000015</v>
      </c>
      <c r="X17" s="1212">
        <f>'20)Silomais int(b)'!$N21</f>
        <v>84.585200000000015</v>
      </c>
      <c r="Y17" s="1214">
        <f>'20)Silomais int(b)'!$O21</f>
        <v>84.585200000000015</v>
      </c>
      <c r="Z17" s="1211">
        <f>'21)Futterrüben(b)'!$M21</f>
        <v>0</v>
      </c>
      <c r="AA17" s="1212">
        <f>'21)Futterrüben(b)'!$N21</f>
        <v>0</v>
      </c>
      <c r="AB17" s="1209">
        <f>'21)Futterrüben(b)'!$O21</f>
        <v>0</v>
      </c>
      <c r="AC17" s="1215">
        <f>'22)ZWF-Raps-(b)'!M21</f>
        <v>0</v>
      </c>
      <c r="AD17" s="1212">
        <f>'22)ZWF-Raps-(b)'!N21</f>
        <v>0</v>
      </c>
      <c r="AE17" s="1213">
        <f>'22)ZWF-Raps-(b)'!O21</f>
        <v>0</v>
      </c>
      <c r="AF17" s="2777"/>
      <c r="AG17" s="1208">
        <f>'23)GPS-(b)'!M21</f>
        <v>45.517500000000005</v>
      </c>
      <c r="AH17" s="1212">
        <f>'23)GPS-(b)'!N21</f>
        <v>91.035000000000011</v>
      </c>
      <c r="AI17" s="1209">
        <f>'23)GPS-(b)'!O21</f>
        <v>101.15</v>
      </c>
      <c r="AJ17" s="1208">
        <f>'24)Mais LKS-(b)'!M21</f>
        <v>84.585200000000015</v>
      </c>
      <c r="AK17" s="1212">
        <f>'24)Mais LKS-(b)'!N21</f>
        <v>84.585200000000015</v>
      </c>
      <c r="AL17" s="1209">
        <f>'24)Mais LKS-(b)'!O21</f>
        <v>84.585200000000015</v>
      </c>
      <c r="AM17" s="1208">
        <f>'25)Mais CCM-(b)'!M21</f>
        <v>84.585200000000015</v>
      </c>
      <c r="AN17" s="1212">
        <f>'25)Mais CCM-(b)'!N21</f>
        <v>84.585200000000015</v>
      </c>
      <c r="AO17" s="1209">
        <f>'25)Mais CCM-(b)'!O21</f>
        <v>84.585200000000015</v>
      </c>
      <c r="AP17" s="1211">
        <f>'26)M(ais feucht-b)'!$M21</f>
        <v>84.585200000000015</v>
      </c>
      <c r="AQ17" s="1212">
        <f>'26)M(ais feucht-b)'!$N21</f>
        <v>84.585200000000015</v>
      </c>
      <c r="AR17" s="1209">
        <f>'26)M(ais feucht-b)'!$O21</f>
        <v>84.585200000000015</v>
      </c>
      <c r="AS17" s="1211">
        <f>'27)Silomais Biogas ab Feld-(b)'!M21</f>
        <v>84.585200000000015</v>
      </c>
      <c r="AT17" s="1212">
        <f>'27)Silomais Biogas ab Feld-(b)'!N21</f>
        <v>84.585200000000015</v>
      </c>
      <c r="AU17" s="1209">
        <f>'27)Silomais Biogas ab Feld-(b)'!O21</f>
        <v>84.585200000000015</v>
      </c>
      <c r="AV17" s="1208">
        <f>'28)Silomais Biogas ex Silo (b)'!M21</f>
        <v>84.585200000000015</v>
      </c>
      <c r="AW17" s="1212">
        <f>'28)Silomais Biogas ex Silo (b)'!N21</f>
        <v>84.585200000000015</v>
      </c>
      <c r="AX17" s="1209">
        <f>'28)Silomais Biogas ex Silo (b)'!O21</f>
        <v>84.585200000000015</v>
      </c>
      <c r="AY17" s="1208">
        <f>'29)Triticale-GPS Biogas Feld(b)'!M21</f>
        <v>45.517500000000005</v>
      </c>
      <c r="AZ17" s="1212">
        <f>'29)Triticale-GPS Biogas Feld(b)'!N21</f>
        <v>91.035000000000011</v>
      </c>
      <c r="BA17" s="1209">
        <f>'29)Triticale-GPS Biogas Feld(b)'!O21</f>
        <v>101.15</v>
      </c>
      <c r="BB17" s="1208">
        <f>'30)Tritic-GPS Biogas ex Silo(b)'!M21</f>
        <v>45.517500000000005</v>
      </c>
      <c r="BC17" s="1212">
        <f>'30)Tritic-GPS Biogas ex Silo(b)'!N21</f>
        <v>70.804999999999993</v>
      </c>
      <c r="BD17" s="1209">
        <f>'30)Tritic-GPS Biogas ex Silo(b)'!O21</f>
        <v>91.035000000000011</v>
      </c>
      <c r="BE17" s="1213">
        <f>'33)Kleegrassil 4N Biogas aF(b)'!M21</f>
        <v>0</v>
      </c>
      <c r="BF17" s="1209">
        <f>'33)Kleegrassil 4N Biogas aF(b)'!N21</f>
        <v>0</v>
      </c>
      <c r="BG17" s="1209">
        <f>'33)Kleegrassil 4N Biogas aF(b)'!O21</f>
        <v>0</v>
      </c>
      <c r="BH17" s="1209">
        <f>'34)Kleegrassil 4N Biog ex S(b)'!M21</f>
        <v>0</v>
      </c>
      <c r="BI17" s="1209">
        <f>'34)Kleegrassil 4N Biog ex S(b)'!N21</f>
        <v>0</v>
      </c>
      <c r="BJ17" s="1209">
        <f>'34)Kleegrassil 4N Biog ex S(b)'!O21</f>
        <v>0</v>
      </c>
      <c r="BK17" s="2247">
        <f>'36)GS 3Nutz. Biogas Feld-(b)'!$M$21</f>
        <v>0</v>
      </c>
      <c r="BL17" s="2247">
        <f>'37)GS 3Nutz. Biogas ex Silo (b)'!$M$21</f>
        <v>0</v>
      </c>
      <c r="BM17" s="1209">
        <f>'40)GrünroggenVFBiogas ex S(b)'!M21</f>
        <v>0</v>
      </c>
      <c r="BN17" s="1209">
        <f>'40)GrünroggenVFBiogas ex S(b)'!N21</f>
        <v>0</v>
      </c>
      <c r="BO17" s="1209">
        <f>'40)GrünroggenVFBiogas ex S(b)'!O21</f>
        <v>0</v>
      </c>
      <c r="BP17" s="1209">
        <f>'42)Grürog.+Silom. Biog ex S(b)'!M21</f>
        <v>87.732749999999996</v>
      </c>
      <c r="BQ17" s="1209">
        <f>'42)Grürog.+Silom. Biog ex S(b)'!N21</f>
        <v>87.732749999999996</v>
      </c>
      <c r="BR17" s="1209">
        <f>'42)Grürog.+Silom. Biog ex S(b)'!O21</f>
        <v>87.732749999999996</v>
      </c>
      <c r="BS17" s="1209">
        <f>'44)Sudangras HF Biogas ex S(b)'!M21</f>
        <v>35.997499999999995</v>
      </c>
      <c r="BT17" s="1209">
        <f>'44)Sudangras HF Biogas ex S(b)'!N21</f>
        <v>35.997499999999995</v>
      </c>
      <c r="BU17" s="1209">
        <f>'44)Sudangras HF Biogas ex S(b)'!O21</f>
        <v>35.997499999999995</v>
      </c>
      <c r="BV17" s="1209">
        <f>'51) GPS Weidelgras Biog aF (b)'!M21</f>
        <v>0</v>
      </c>
      <c r="BW17" s="1209">
        <f>'51) GPS Weidelgras Biog aF (b)'!N21</f>
        <v>0</v>
      </c>
      <c r="BX17" s="1209">
        <f>'51) GPS Weidelgras Biog aF (b)'!O21</f>
        <v>0</v>
      </c>
      <c r="BY17" s="1209">
        <f>'48)Zuhirse HF Biogas ex S(b)'!M21</f>
        <v>35.997499999999995</v>
      </c>
      <c r="BZ17" s="1209">
        <f>'48)Zuhirse HF Biogas ex S(b)'!N21</f>
        <v>35.997499999999995</v>
      </c>
      <c r="CA17" s="1209">
        <f>'48)Zuhirse HF Biogas ex S(b)'!O21</f>
        <v>35.997499999999995</v>
      </c>
      <c r="CB17" s="1209">
        <f>'46)GPS+Sudangr Biogas ex S(b)'!M21</f>
        <v>81.515000000000001</v>
      </c>
      <c r="CC17" s="1209">
        <f>'46)GPS+Sudangr Biogas ex S(b)'!N21</f>
        <v>127.0325</v>
      </c>
      <c r="CD17" s="1209">
        <f>'46)GPS+Sudangr Biogas ex S(b)'!O21</f>
        <v>137.14750000000001</v>
      </c>
      <c r="CE17" s="1209">
        <f>'48)Zuhirse HF Biogas ex S(b)'!M21</f>
        <v>35.997499999999995</v>
      </c>
      <c r="CF17" s="1209">
        <f>'48)Zuhirse HF Biogas ex S(b)'!N21</f>
        <v>35.997499999999995</v>
      </c>
      <c r="CG17" s="1209">
        <f>'48)Zuhirse HF Biogas ex S(b)'!O21</f>
        <v>35.997499999999995</v>
      </c>
      <c r="CH17" s="1209">
        <f>'54)Dw. Silphie Biogas ex S(b)'!M21</f>
        <v>4.9515900000000004</v>
      </c>
      <c r="CI17" s="1209">
        <f>'54)Dw. Silphie Biogas ex S(b)'!N21</f>
        <v>4.9515900000000004</v>
      </c>
      <c r="CJ17" s="1209">
        <f>'54)Dw. Silphie Biogas ex S(b)'!O21</f>
        <v>4.9515900000000004</v>
      </c>
    </row>
    <row r="18" spans="1:88" s="172" customFormat="1" ht="17.100000000000001" customHeight="1" x14ac:dyDescent="0.2">
      <c r="A18" s="891"/>
      <c r="B18" s="2235" t="s">
        <v>269</v>
      </c>
      <c r="C18" s="2553"/>
      <c r="D18" s="2206" t="s">
        <v>266</v>
      </c>
      <c r="E18" s="1210">
        <f>'1)Grünf. 3Nutz.(b)'!$M$24</f>
        <v>256.80413404996</v>
      </c>
      <c r="F18" s="1212">
        <f>'2)Grünf. 4Nutz.(b)'!$M$24</f>
        <v>297.62442695440001</v>
      </c>
      <c r="G18" s="1209">
        <f>'3)Grünf. 5Nutz.(b)'!$M$24</f>
        <v>492.07697847186671</v>
      </c>
      <c r="H18" s="1211">
        <f>'4)GS 3Nutz.eig.mech.(b)'!$M$24</f>
        <v>289.71352720009804</v>
      </c>
      <c r="I18" s="1208">
        <f>'5)GS 4Nutz.eig.mech(b)'!$M$24</f>
        <v>358.38330299104564</v>
      </c>
      <c r="J18" s="1212">
        <f>'6)GS 5Nutz.eig.mech.(b)'!$M$24</f>
        <v>440.90317075503003</v>
      </c>
      <c r="K18" s="1208">
        <f>'7)GS3Nutz.Fremdmech(b)'!$M$24</f>
        <v>145.70704090955999</v>
      </c>
      <c r="L18" s="1208">
        <f>'8)GS4Nutz.Fremdmech(b)'!$M$24</f>
        <v>185.57551944239998</v>
      </c>
      <c r="M18" s="1208">
        <f>'9)GS 5Nutz.Fremd(b)'!$M$24</f>
        <v>226.34570380599999</v>
      </c>
      <c r="N18" s="1210">
        <f>'10) GS 3Nutz. Ballensil.(b)'!$M$24</f>
        <v>193.81317689795998</v>
      </c>
      <c r="O18" s="1211">
        <f>'11)Heu 2Nutz.-(b)'!$M$24</f>
        <v>158.14244739741497</v>
      </c>
      <c r="P18" s="1208">
        <f>'12)Heu 3Nutz.(b)'!$M$24</f>
        <v>248.87669692403125</v>
      </c>
      <c r="Q18" s="2247">
        <f>'13)Grascobs 5Nutz.(b)'!$M$24</f>
        <v>241.0965739042222</v>
      </c>
      <c r="R18" s="1212">
        <f>'14)Weide_ext.(b)'!$M$24</f>
        <v>249.3399256292</v>
      </c>
      <c r="S18" s="1208">
        <f>'15)Weide int. 4Nutz.(b)'!$M$24</f>
        <v>272.16286561799996</v>
      </c>
      <c r="T18" s="1211">
        <f>'17)Kleegras-GrünFu-Eig.mech(b)'!$M$24</f>
        <v>437.98130991072003</v>
      </c>
      <c r="U18" s="1212">
        <f>'18)Kleegrassi-Fremnernt(b)'!$M$24</f>
        <v>232.37540508871999</v>
      </c>
      <c r="V18" s="1209">
        <f>'19)LuzerneSil-Fremdernte(b)'!$M$24</f>
        <v>232.37540508871999</v>
      </c>
      <c r="W18" s="1208">
        <f>'20)Silomais int(b)'!$M24</f>
        <v>347.83787684968723</v>
      </c>
      <c r="X18" s="1212">
        <f>'20)Silomais int(b)'!$N24</f>
        <v>378.94243235487204</v>
      </c>
      <c r="Y18" s="1214">
        <f>'20)Silomais int(b)'!$O24</f>
        <v>410.04698786005696</v>
      </c>
      <c r="Z18" s="1211">
        <f>'21)Futterrüben(b)'!$M24</f>
        <v>471.39797677989105</v>
      </c>
      <c r="AA18" s="1212">
        <f>'21)Futterrüben(b)'!$N24</f>
        <v>519.29070857870761</v>
      </c>
      <c r="AB18" s="1209">
        <f>'21)Futterrüben(b)'!$O24</f>
        <v>567.18344037752422</v>
      </c>
      <c r="AC18" s="1215">
        <f>'22)ZWF-Raps-(b)'!M24</f>
        <v>185.33812066000002</v>
      </c>
      <c r="AD18" s="1212">
        <f>'22)ZWF-Raps-(b)'!N24</f>
        <v>215.02314876</v>
      </c>
      <c r="AE18" s="1213">
        <f>'22)ZWF-Raps-(b)'!O24</f>
        <v>248.94889515999998</v>
      </c>
      <c r="AF18" s="2777"/>
      <c r="AG18" s="1208">
        <f>'23)GPS-(b)'!M24</f>
        <v>291.384027016799</v>
      </c>
      <c r="AH18" s="1212">
        <f>'23)GPS-(b)'!N24</f>
        <v>306.78078199186547</v>
      </c>
      <c r="AI18" s="1209">
        <f>'23)GPS-(b)'!O24</f>
        <v>322.17753696693194</v>
      </c>
      <c r="AJ18" s="1208">
        <f>'24)Mais LKS-(b)'!M24</f>
        <v>326.57003971565382</v>
      </c>
      <c r="AK18" s="1212">
        <f>'24)Mais LKS-(b)'!N24</f>
        <v>338.41369738878188</v>
      </c>
      <c r="AL18" s="1209">
        <f>'24)Mais LKS-(b)'!O24</f>
        <v>350.25735506190995</v>
      </c>
      <c r="AM18" s="1208">
        <f>'25)Mais CCM-(b)'!M24</f>
        <v>123.86989736172001</v>
      </c>
      <c r="AN18" s="1212">
        <f>'25)Mais CCM-(b)'!N24</f>
        <v>133.64561480620665</v>
      </c>
      <c r="AO18" s="1209">
        <f>'25)Mais CCM-(b)'!O24</f>
        <v>143.42133225069333</v>
      </c>
      <c r="AP18" s="1211">
        <f>'26)M(ais feucht-b)'!$M24</f>
        <v>285.21739896096119</v>
      </c>
      <c r="AQ18" s="1212">
        <f>'26)M(ais feucht-b)'!$N24</f>
        <v>292.26835091086645</v>
      </c>
      <c r="AR18" s="1209">
        <f>'26)M(ais feucht-b)'!$O24</f>
        <v>299.3193028607717</v>
      </c>
      <c r="AS18" s="1211">
        <f>'27)Silomais Biogas ab Feld-(b)'!M24</f>
        <v>193.08549901719996</v>
      </c>
      <c r="AT18" s="1212">
        <f>'27)Silomais Biogas ab Feld-(b)'!N24</f>
        <v>193.08549901719996</v>
      </c>
      <c r="AU18" s="1209">
        <f>'27)Silomais Biogas ab Feld-(b)'!O24</f>
        <v>193.08549901719996</v>
      </c>
      <c r="AV18" s="1208">
        <f>'28)Silomais Biogas ex Silo (b)'!M24</f>
        <v>342.38736544208723</v>
      </c>
      <c r="AW18" s="1212">
        <f>'28)Silomais Biogas ex Silo (b)'!N24</f>
        <v>379.84702040543704</v>
      </c>
      <c r="AX18" s="1209">
        <f>'28)Silomais Biogas ex Silo (b)'!O24</f>
        <v>417.03829865453076</v>
      </c>
      <c r="AY18" s="1208">
        <f>'29)Triticale-GPS Biogas Feld(b)'!M24</f>
        <v>188.10247435119999</v>
      </c>
      <c r="AZ18" s="1212">
        <f>'29)Triticale-GPS Biogas Feld(b)'!N24</f>
        <v>188.10247435119999</v>
      </c>
      <c r="BA18" s="1209">
        <f>'29)Triticale-GPS Biogas Feld(b)'!O24</f>
        <v>188.10247435119999</v>
      </c>
      <c r="BB18" s="1208">
        <f>'30)Tritic-GPS Biogas ex Silo(b)'!M24</f>
        <v>305.41108368504001</v>
      </c>
      <c r="BC18" s="1212">
        <f>'30)Tritic-GPS Biogas ex Silo(b)'!N24</f>
        <v>328.87280555180803</v>
      </c>
      <c r="BD18" s="1209">
        <f>'30)Tritic-GPS Biogas ex Silo(b)'!O24</f>
        <v>352.33452741857599</v>
      </c>
      <c r="BE18" s="1213">
        <f>'33)Kleegrassil 4N Biogas aF(b)'!M24</f>
        <v>195.55144628720001</v>
      </c>
      <c r="BF18" s="1209">
        <f>'33)Kleegrassil 4N Biogas aF(b)'!N24</f>
        <v>195.55144628720001</v>
      </c>
      <c r="BG18" s="1209">
        <f>'33)Kleegrassil 4N Biogas aF(b)'!O24</f>
        <v>195.55144628720001</v>
      </c>
      <c r="BH18" s="1209">
        <f>'34)Kleegrassil 4N Biog ex S(b)'!M24</f>
        <v>491.04373688041824</v>
      </c>
      <c r="BI18" s="1209">
        <f>'34)Kleegrassil 4N Biog ex S(b)'!N24</f>
        <v>525.39142254178182</v>
      </c>
      <c r="BJ18" s="1209">
        <f>'34)Kleegrassil 4N Biog ex S(b)'!O24</f>
        <v>559.73910820314552</v>
      </c>
      <c r="BK18" s="2247">
        <f>'36)GS 3Nutz. Biogas Feld-(b)'!$M$24</f>
        <v>32.066513305960001</v>
      </c>
      <c r="BL18" s="2247">
        <f>'37)GS 3Nutz. Biogas ex Silo (b)'!$M$24</f>
        <v>249.44244773006392</v>
      </c>
      <c r="BM18" s="1209">
        <f>'40)GrünroggenVFBiogas ex S(b)'!M24</f>
        <v>265.74555564728803</v>
      </c>
      <c r="BN18" s="1209">
        <f>'40)GrünroggenVFBiogas ex S(b)'!N24</f>
        <v>282.16876095402563</v>
      </c>
      <c r="BO18" s="1209">
        <f>'40)GrünroggenVFBiogas ex S(b)'!O24</f>
        <v>298.59196626076323</v>
      </c>
      <c r="BP18" s="1209">
        <f>'42)Grürog.+Silom. Biog ex S(b)'!M24</f>
        <v>461.00970587588381</v>
      </c>
      <c r="BQ18" s="1209">
        <f>'42)Grürog.+Silom. Biog ex S(b)'!N24</f>
        <v>489.58998675772773</v>
      </c>
      <c r="BR18" s="1209">
        <f>'42)Grürog.+Silom. Biog ex S(b)'!O24</f>
        <v>529.32354798370568</v>
      </c>
      <c r="BS18" s="1209">
        <f>'44)Sudangras HF Biogas ex S(b)'!M24</f>
        <v>334.7382360185</v>
      </c>
      <c r="BT18" s="1209">
        <f>'44)Sudangras HF Biogas ex S(b)'!N24</f>
        <v>378.72896451868996</v>
      </c>
      <c r="BU18" s="1209">
        <f>'44)Sudangras HF Biogas ex S(b)'!O24</f>
        <v>422.71969301887998</v>
      </c>
      <c r="BV18" s="1209">
        <f>'51) GPS Weidelgras Biog aF (b)'!M24</f>
        <v>207.53283283919998</v>
      </c>
      <c r="BW18" s="1209">
        <f>'51) GPS Weidelgras Biog aF (b)'!N24</f>
        <v>207.53283283919998</v>
      </c>
      <c r="BX18" s="1209">
        <f>'51) GPS Weidelgras Biog aF (b)'!O24</f>
        <v>207.53283283919998</v>
      </c>
      <c r="BY18" s="1209">
        <f>'48)Zuhirse HF Biogas ex S(b)'!M24</f>
        <v>334.7382360185</v>
      </c>
      <c r="BZ18" s="1209">
        <f>'48)Zuhirse HF Biogas ex S(b)'!N24</f>
        <v>378.72896451868996</v>
      </c>
      <c r="CA18" s="1209">
        <f>'48)Zuhirse HF Biogas ex S(b)'!O24</f>
        <v>422.71969301887998</v>
      </c>
      <c r="CB18" s="1209">
        <f>'46)GPS+Sudangr Biogas ex S(b)'!M24</f>
        <v>475.83538692066838</v>
      </c>
      <c r="CC18" s="1209">
        <f>'46)GPS+Sudangr Biogas ex S(b)'!N24</f>
        <v>502.32442773798704</v>
      </c>
      <c r="CD18" s="1209">
        <f>'46)GPS+Sudangr Biogas ex S(b)'!O24</f>
        <v>528.8134685553058</v>
      </c>
      <c r="CE18" s="1209">
        <f>'48)Zuhirse HF Biogas ex S(b)'!M24</f>
        <v>334.7382360185</v>
      </c>
      <c r="CF18" s="1209">
        <f>'48)Zuhirse HF Biogas ex S(b)'!N24</f>
        <v>378.72896451868996</v>
      </c>
      <c r="CG18" s="1209">
        <f>'48)Zuhirse HF Biogas ex S(b)'!O24</f>
        <v>422.71969301887998</v>
      </c>
      <c r="CH18" s="1209">
        <f>'54)Dw. Silphie Biogas ex S(b)'!M24</f>
        <v>164.59527224887336</v>
      </c>
      <c r="CI18" s="1209">
        <f>'54)Dw. Silphie Biogas ex S(b)'!N24</f>
        <v>208.58600074906334</v>
      </c>
      <c r="CJ18" s="1209">
        <f>'54)Dw. Silphie Biogas ex S(b)'!O24</f>
        <v>252.57672924925336</v>
      </c>
    </row>
    <row r="19" spans="1:88" s="172" customFormat="1" ht="17.100000000000001" customHeight="1" x14ac:dyDescent="0.2">
      <c r="A19" s="891"/>
      <c r="B19" s="2235" t="s">
        <v>1141</v>
      </c>
      <c r="C19" s="2553"/>
      <c r="D19" s="2206" t="s">
        <v>266</v>
      </c>
      <c r="E19" s="1210">
        <f>'1)Grünf. 3Nutz.(b)'!$M$25</f>
        <v>0</v>
      </c>
      <c r="F19" s="1212">
        <f>'2)Grünf. 4Nutz.(b)'!$M$25</f>
        <v>15.469999999999999</v>
      </c>
      <c r="G19" s="1209">
        <f>'3)Grünf. 5Nutz.(b)'!$M$25</f>
        <v>15.469999999999999</v>
      </c>
      <c r="H19" s="1211">
        <f>'4)GS 3Nutz.eig.mech.(b)'!$M$25</f>
        <v>16.243500000000001</v>
      </c>
      <c r="I19" s="1208">
        <f>'5)GS 4Nutz.eig.mech(b)'!$M$25</f>
        <v>15.469999999999999</v>
      </c>
      <c r="J19" s="1212">
        <f>'6)GS 5Nutz.eig.mech.(b)'!$M$25</f>
        <v>15.469999999999999</v>
      </c>
      <c r="K19" s="1208">
        <f>'7)GS3Nutz.Fremdmech(b)'!$M$25</f>
        <v>355.39349999999996</v>
      </c>
      <c r="L19" s="1208">
        <f>'8)GS4Nutz.Fremdmech(b)'!$M$25</f>
        <v>467.66999999999996</v>
      </c>
      <c r="M19" s="1208">
        <f>'9)GS 5Nutz.Fremd(b)'!$M$25</f>
        <v>580.72000000000014</v>
      </c>
      <c r="N19" s="1210">
        <f>'10) GS 3Nutz. Ballensil.(b)'!$M$25</f>
        <v>533.04349999999999</v>
      </c>
      <c r="O19" s="1211">
        <f>'11)Heu 2Nutz.-(b)'!$M$25</f>
        <v>151.77688953488374</v>
      </c>
      <c r="P19" s="1208">
        <f>'12)Heu 3Nutz.(b)'!$M$25</f>
        <v>215.0172601744186</v>
      </c>
      <c r="Q19" s="2247">
        <f>'13)Grascobs 5Nutz.(b)'!$M$25</f>
        <v>2429.6574999999998</v>
      </c>
      <c r="R19" s="1212">
        <f>'14)Weide_ext.(b)'!$M$25</f>
        <v>0</v>
      </c>
      <c r="S19" s="1208">
        <f>'15)Weide int. 4Nutz.(b)'!$M$25</f>
        <v>12.375999999999999</v>
      </c>
      <c r="T19" s="1211">
        <f>'17)Kleegras-GrünFu-Eig.mech(b)'!$M$25</f>
        <v>0</v>
      </c>
      <c r="U19" s="1212">
        <f>'18)Kleegrassi-Fremnernt(b)'!$M$25</f>
        <v>666.4</v>
      </c>
      <c r="V19" s="1209">
        <f>'19)LuzerneSil-Fremdernte(b)'!$M$25</f>
        <v>666.4</v>
      </c>
      <c r="W19" s="1208">
        <f>'20)Silomais int(b)'!$M25</f>
        <v>258.82500000000005</v>
      </c>
      <c r="X19" s="1212">
        <f>'20)Silomais int(b)'!$N25</f>
        <v>279.64999999999998</v>
      </c>
      <c r="Y19" s="1214">
        <f>'20)Silomais int(b)'!$O25</f>
        <v>300.47500000000002</v>
      </c>
      <c r="Z19" s="1211">
        <f>'21)Futterrüben(b)'!$M25</f>
        <v>374.85</v>
      </c>
      <c r="AA19" s="1212">
        <f>'21)Futterrüben(b)'!$N25</f>
        <v>416.5</v>
      </c>
      <c r="AB19" s="1209">
        <f>'21)Futterrüben(b)'!$O25</f>
        <v>458.15000000000003</v>
      </c>
      <c r="AC19" s="1215">
        <f>'22)ZWF-Raps-(b)'!M25</f>
        <v>0</v>
      </c>
      <c r="AD19" s="1212">
        <f>'22)ZWF-Raps-(b)'!N25</f>
        <v>0</v>
      </c>
      <c r="AE19" s="1213">
        <f>'22)ZWF-Raps-(b)'!O25</f>
        <v>0</v>
      </c>
      <c r="AF19" s="2777"/>
      <c r="AG19" s="1208">
        <f>'23)GPS-(b)'!M25</f>
        <v>166.005</v>
      </c>
      <c r="AH19" s="1212">
        <f>'23)GPS-(b)'!N25</f>
        <v>184.45</v>
      </c>
      <c r="AI19" s="1209">
        <f>'23)GPS-(b)'!O25</f>
        <v>202.89500000000001</v>
      </c>
      <c r="AJ19" s="1208">
        <f>'24)Mais LKS-(b)'!M25</f>
        <v>258.82500000000005</v>
      </c>
      <c r="AK19" s="1212">
        <f>'24)Mais LKS-(b)'!N25</f>
        <v>279.64999999999998</v>
      </c>
      <c r="AL19" s="1209">
        <f>'24)Mais LKS-(b)'!O25</f>
        <v>300.47500000000002</v>
      </c>
      <c r="AM19" s="1208">
        <f>'25)Mais CCM-(b)'!M25</f>
        <v>328.44000000000005</v>
      </c>
      <c r="AN19" s="1212">
        <f>'25)Mais CCM-(b)'!N25</f>
        <v>357</v>
      </c>
      <c r="AO19" s="1209">
        <f>'25)Mais CCM-(b)'!O25</f>
        <v>385.56000000000006</v>
      </c>
      <c r="AP19" s="1211">
        <f>'26)M(ais feucht-b)'!$M25</f>
        <v>482.42600000000004</v>
      </c>
      <c r="AQ19" s="1212">
        <f>'26)M(ais feucht-b)'!$N25</f>
        <v>555.37300000000005</v>
      </c>
      <c r="AR19" s="1209">
        <f>'26)M(ais feucht-b)'!$O25</f>
        <v>630.58100000000002</v>
      </c>
      <c r="AS19" s="1211">
        <f>'27)Silomais Biogas ab Feld-(b)'!M25</f>
        <v>135.9683181818182</v>
      </c>
      <c r="AT19" s="1212">
        <f>'27)Silomais Biogas ab Feld-(b)'!N25</f>
        <v>169.96039772727275</v>
      </c>
      <c r="AU19" s="1209">
        <f>'27)Silomais Biogas ab Feld-(b)'!O25</f>
        <v>203.95247727272729</v>
      </c>
      <c r="AV19" s="1208">
        <f>'28)Silomais Biogas ex Silo (b)'!M25</f>
        <v>323.39331818181824</v>
      </c>
      <c r="AW19" s="1212">
        <f>'28)Silomais Biogas ex Silo (b)'!N25</f>
        <v>378.21039772727272</v>
      </c>
      <c r="AX19" s="1209">
        <f>'28)Silomais Biogas ex Silo (b)'!O25</f>
        <v>433.02747727272731</v>
      </c>
      <c r="AY19" s="1208">
        <f>'29)Triticale-GPS Biogas Feld(b)'!M25</f>
        <v>115.37883000000002</v>
      </c>
      <c r="AZ19" s="1212">
        <f>'29)Triticale-GPS Biogas Feld(b)'!N25</f>
        <v>138.45459600000001</v>
      </c>
      <c r="BA19" s="1209">
        <f>'29)Triticale-GPS Biogas Feld(b)'!O25</f>
        <v>161.53036200000003</v>
      </c>
      <c r="BB19" s="1208">
        <f>'30)Tritic-GPS Biogas ex Silo(b)'!M25</f>
        <v>281.38382999999999</v>
      </c>
      <c r="BC19" s="1212">
        <f>'30)Tritic-GPS Biogas ex Silo(b)'!N25</f>
        <v>322.90459599999997</v>
      </c>
      <c r="BD19" s="1209">
        <f>'30)Tritic-GPS Biogas ex Silo(b)'!O25</f>
        <v>364.42536200000006</v>
      </c>
      <c r="BE19" s="1213">
        <f>'33)Kleegrassil 4N Biogas aF(b)'!M25</f>
        <v>105.03136350000001</v>
      </c>
      <c r="BF19" s="1209">
        <f>'33)Kleegrassil 4N Biogas aF(b)'!N25</f>
        <v>128.3716665</v>
      </c>
      <c r="BG19" s="1209">
        <f>'33)Kleegrassil 4N Biogas aF(b)'!O25</f>
        <v>151.71196950000004</v>
      </c>
      <c r="BH19" s="1209">
        <f>'34)Kleegrassil 4N Biog ex S(b)'!M25</f>
        <v>291.47767031250004</v>
      </c>
      <c r="BI19" s="1209">
        <f>'34)Kleegrassil 4N Biog ex S(b)'!N25</f>
        <v>333.58920437500001</v>
      </c>
      <c r="BJ19" s="1209">
        <f>'34)Kleegrassil 4N Biog ex S(b)'!O25</f>
        <v>375.70073843750004</v>
      </c>
      <c r="BK19" s="2247">
        <f>'36)GS 3Nutz. Biogas Feld-(b)'!$M$25</f>
        <v>90.492402499999997</v>
      </c>
      <c r="BL19" s="2247">
        <f>'37)GS 3Nutz. Biogas ex Silo (b)'!$M$25</f>
        <v>251.14240249999997</v>
      </c>
      <c r="BM19" s="1209">
        <f>'40)GrünroggenVFBiogas ex S(b)'!M25</f>
        <v>231.93950850000002</v>
      </c>
      <c r="BN19" s="1209">
        <f>'40)GrünroggenVFBiogas ex S(b)'!N25</f>
        <v>264.52341020000006</v>
      </c>
      <c r="BO19" s="1209">
        <f>'40)GrünroggenVFBiogas ex S(b)'!O25</f>
        <v>297.10731190000007</v>
      </c>
      <c r="BP19" s="1209">
        <f>'42)Grürog.+Silom. Biog ex S(b)'!M25</f>
        <v>540.64080000000013</v>
      </c>
      <c r="BQ19" s="1209">
        <f>'42)Grürog.+Silom. Biog ex S(b)'!N25</f>
        <v>604.07940250000001</v>
      </c>
      <c r="BR19" s="1209">
        <f>'42)Grürog.+Silom. Biog ex S(b)'!O25</f>
        <v>677.4140450000001</v>
      </c>
      <c r="BS19" s="1209">
        <f>'44)Sudangras HF Biogas ex S(b)'!M25</f>
        <v>523.54304999999999</v>
      </c>
      <c r="BT19" s="1209">
        <f>'44)Sudangras HF Biogas ex S(b)'!N25</f>
        <v>609.80096500000002</v>
      </c>
      <c r="BU19" s="1209">
        <f>'44)Sudangras HF Biogas ex S(b)'!O25</f>
        <v>696.05888000000004</v>
      </c>
      <c r="BV19" s="1209">
        <f>'51) GPS Weidelgras Biog aF (b)'!M25</f>
        <v>179.78341500000002</v>
      </c>
      <c r="BW19" s="1209">
        <f>'51) GPS Weidelgras Biog aF (b)'!N25</f>
        <v>215.74009800000005</v>
      </c>
      <c r="BX19" s="1209">
        <f>'51) GPS Weidelgras Biog aF (b)'!O25</f>
        <v>251.69678100000004</v>
      </c>
      <c r="BY19" s="1209">
        <f>'48)Zuhirse HF Biogas ex S(b)'!M25</f>
        <v>336.11805000000004</v>
      </c>
      <c r="BZ19" s="1209">
        <f>'48)Zuhirse HF Biogas ex S(b)'!N25</f>
        <v>401.55096500000002</v>
      </c>
      <c r="CA19" s="1209">
        <f>'48)Zuhirse HF Biogas ex S(b)'!O25</f>
        <v>466.98388</v>
      </c>
      <c r="CB19" s="1209">
        <f>'46)GPS+Sudangr Biogas ex S(b)'!M25</f>
        <v>584.18766000000005</v>
      </c>
      <c r="CC19" s="1209">
        <f>'46)GPS+Sudangr Biogas ex S(b)'!N25</f>
        <v>649.09739999999999</v>
      </c>
      <c r="CD19" s="1209">
        <f>'46)GPS+Sudangr Biogas ex S(b)'!O25</f>
        <v>714.00714000000005</v>
      </c>
      <c r="CE19" s="1209">
        <f>'48)Zuhirse HF Biogas ex S(b)'!M25</f>
        <v>336.11805000000004</v>
      </c>
      <c r="CF19" s="1209">
        <f>'48)Zuhirse HF Biogas ex S(b)'!N25</f>
        <v>401.55096500000002</v>
      </c>
      <c r="CG19" s="1209">
        <f>'48)Zuhirse HF Biogas ex S(b)'!O25</f>
        <v>466.98388</v>
      </c>
      <c r="CH19" s="1209">
        <f>'54)Dw. Silphie Biogas ex S(b)'!M25</f>
        <v>322.60050000000001</v>
      </c>
      <c r="CI19" s="1209">
        <f>'54)Dw. Silphie Biogas ex S(b)'!N25</f>
        <v>383.97815000000003</v>
      </c>
      <c r="CJ19" s="1209">
        <f>'54)Dw. Silphie Biogas ex S(b)'!O25</f>
        <v>445.35580000000004</v>
      </c>
    </row>
    <row r="20" spans="1:88" s="172" customFormat="1" ht="17.100000000000001" customHeight="1" x14ac:dyDescent="0.2">
      <c r="A20" s="891"/>
      <c r="B20" s="2235" t="s">
        <v>1130</v>
      </c>
      <c r="C20" s="2553"/>
      <c r="D20" s="2206" t="s">
        <v>266</v>
      </c>
      <c r="E20" s="1210">
        <f>'1)Grünf. 3Nutz.(b)'!M23+'1)Grünf. 3Nutz.(b)'!M22</f>
        <v>0</v>
      </c>
      <c r="F20" s="1212">
        <f>'2)Grünf. 4Nutz.(b)'!M23+'2)Grünf. 4Nutz.(b)'!M22</f>
        <v>0</v>
      </c>
      <c r="G20" s="1209">
        <f>'3)Grünf. 5Nutz.(b)'!M23+'3)Grünf. 5Nutz.(b)'!M22</f>
        <v>0</v>
      </c>
      <c r="H20" s="1211">
        <f>'4)GS 3Nutz.eig.mech.(b)'!M23+'4)GS 3Nutz.eig.mech.(b)'!M22</f>
        <v>41.65</v>
      </c>
      <c r="I20" s="1208">
        <f>'5)GS 4Nutz.eig.mech(b)'!M23+'5)GS 4Nutz.eig.mech(b)'!M22</f>
        <v>41.65</v>
      </c>
      <c r="J20" s="1212">
        <f>'6)GS 5Nutz.eig.mech.(b)'!M23+'6)GS 5Nutz.eig.mech.(b)'!M22</f>
        <v>41.650000000000006</v>
      </c>
      <c r="K20" s="1208">
        <f>'7)GS3Nutz.Fremdmech(b)'!M23+'7)GS3Nutz.Fremdmech(b)'!M22</f>
        <v>41.65</v>
      </c>
      <c r="L20" s="1208">
        <f>'8)GS4Nutz.Fremdmech(b)'!M23+'8)GS4Nutz.Fremdmech(b)'!M22</f>
        <v>41.65</v>
      </c>
      <c r="M20" s="1208">
        <f>'9)GS 5Nutz.Fremd(b)'!M23+'9)GS 5Nutz.Fremd(b)'!M22</f>
        <v>41.650000000000006</v>
      </c>
      <c r="N20" s="1210">
        <f>'10) GS 3Nutz. Ballensil.(b)'!M23+'10) GS 3Nutz. Ballensil.(b)'!M22</f>
        <v>0</v>
      </c>
      <c r="O20" s="1211">
        <f>'11)Heu 2Nutz.-(b)'!M23+'11)Heu 2Nutz.-(b)'!M22</f>
        <v>0</v>
      </c>
      <c r="P20" s="1208">
        <f>'12)Heu 3Nutz.(b)'!M23+'12)Heu 3Nutz.(b)'!M22</f>
        <v>0</v>
      </c>
      <c r="Q20" s="2247">
        <f>'13)Grascobs 5Nutz.(b)'!M23+'13)Grascobs 5Nutz.(b)'!M22</f>
        <v>0</v>
      </c>
      <c r="R20" s="1212">
        <f>'14)Weide_ext.(b)'!M23+'14)Weide_ext.(b)'!M22</f>
        <v>95.199999999999989</v>
      </c>
      <c r="S20" s="1208">
        <f>'15)Weide int. 4Nutz.(b)'!M23+'15)Weide int. 4Nutz.(b)'!M22</f>
        <v>95.199999999999989</v>
      </c>
      <c r="T20" s="1211">
        <f>'17)Kleegras-GrünFu-Eig.mech(b)'!M23+'17)Kleegras-GrünFu-Eig.mech(b)'!M22</f>
        <v>0</v>
      </c>
      <c r="U20" s="1212">
        <f>'18)Kleegrassi-Fremnernt(b)'!M23+'18)Kleegrassi-Fremnernt(b)'!M22</f>
        <v>41.65</v>
      </c>
      <c r="V20" s="1209">
        <f>'19)LuzerneSil-Fremdernte(b)'!M23+'19)LuzerneSil-Fremdernte(b)'!M22</f>
        <v>41.65</v>
      </c>
      <c r="W20" s="1208">
        <f>'20)Silomais int(b)'!$M23+'20)Silomais int(b)'!$M22</f>
        <v>84.33535599999999</v>
      </c>
      <c r="X20" s="1212">
        <f>'20)Silomais int(b)'!$N23+'20)Silomais int(b)'!$N22</f>
        <v>89.9710714</v>
      </c>
      <c r="Y20" s="1214">
        <f>'20)Silomais int(b)'!$O23+'20)Silomais int(b)'!$O22</f>
        <v>95.224704400000007</v>
      </c>
      <c r="Z20" s="1211">
        <f>'21)Futterrüben(b)'!$M23+'21)Futterrüben(b)'!$M22</f>
        <v>100.3177</v>
      </c>
      <c r="AA20" s="1212">
        <f>'21)Futterrüben(b)'!$N23+'21)Futterrüben(b)'!$N22</f>
        <v>107.73910000000001</v>
      </c>
      <c r="AB20" s="1209">
        <f>'21)Futterrüben(b)'!$O23+'21)Futterrüben(b)'!$O22</f>
        <v>115.1605</v>
      </c>
      <c r="AC20" s="1215">
        <f>'22)ZWF-Raps-(b)'!M23+'22)ZWF-Raps-(b)'!M22</f>
        <v>0</v>
      </c>
      <c r="AD20" s="1212">
        <f>'22)ZWF-Raps-(b)'!N23+'22)ZWF-Raps-(b)'!N22</f>
        <v>0</v>
      </c>
      <c r="AE20" s="1213">
        <f>'22)ZWF-Raps-(b)'!O23+'22)ZWF-Raps-(b)'!O22</f>
        <v>0</v>
      </c>
      <c r="AF20" s="2777"/>
      <c r="AG20" s="1208">
        <f>'23)GPS-(b)'!M23+'23)GPS-(b)'!M22</f>
        <v>70.191603999999998</v>
      </c>
      <c r="AH20" s="1212">
        <f>'23)GPS-(b)'!N23+'23)GPS-(b)'!N22</f>
        <v>72.188598999999996</v>
      </c>
      <c r="AI20" s="1209">
        <f>'23)GPS-(b)'!O23+'23)GPS-(b)'!O22</f>
        <v>74.001256000000012</v>
      </c>
      <c r="AJ20" s="1208">
        <f>'24)Mais LKS-(b)'!M23+'24)Mais LKS-(b)'!M22</f>
        <v>89.813360000000003</v>
      </c>
      <c r="AK20" s="1212">
        <f>'24)Mais LKS-(b)'!N23+'24)Mais LKS-(b)'!N22</f>
        <v>94.360364000000004</v>
      </c>
      <c r="AL20" s="1209">
        <f>'24)Mais LKS-(b)'!O23+'24)Mais LKS-(b)'!O22</f>
        <v>98.907368000000019</v>
      </c>
      <c r="AM20" s="1208">
        <f>'25)Mais CCM-(b)'!M23+'25)Mais CCM-(b)'!M22</f>
        <v>125.362756</v>
      </c>
      <c r="AN20" s="1212">
        <f>'25)Mais CCM-(b)'!N23+'25)Mais CCM-(b)'!N22</f>
        <v>136.33988199999999</v>
      </c>
      <c r="AO20" s="1209">
        <f>'25)Mais CCM-(b)'!O23+'25)Mais CCM-(b)'!O22</f>
        <v>147.31700800000002</v>
      </c>
      <c r="AP20" s="1211">
        <f>'26)M(ais feucht-b)'!$M23+'26)M(ais feucht-b)'!$M22</f>
        <v>28.183232000000007</v>
      </c>
      <c r="AQ20" s="1212">
        <f>'26)M(ais feucht-b)'!$N23+'26)M(ais feucht-b)'!$N22</f>
        <v>33.467587999999999</v>
      </c>
      <c r="AR20" s="1209">
        <f>'26)M(ais feucht-b)'!$O23+'26)M(ais feucht-b)'!$O22</f>
        <v>38.751944000000002</v>
      </c>
      <c r="AS20" s="1211">
        <f>'27)Silomais Biogas ab Feld-(b)'!M23+'27)Silomais Biogas ab Feld-(b)'!M22</f>
        <v>18.232703999999998</v>
      </c>
      <c r="AT20" s="1212">
        <f>'27)Silomais Biogas ab Feld-(b)'!N23+'27)Silomais Biogas ab Feld-(b)'!N22</f>
        <v>22.790880000000001</v>
      </c>
      <c r="AU20" s="1209">
        <f>'27)Silomais Biogas ab Feld-(b)'!O23+'27)Silomais Biogas ab Feld-(b)'!O22</f>
        <v>27.349056000000001</v>
      </c>
      <c r="AV20" s="1208">
        <f>'28)Silomais Biogas ex Silo (b)'!M23+'28)Silomais Biogas ex Silo (b)'!M22</f>
        <v>77.732703999999998</v>
      </c>
      <c r="AW20" s="1212">
        <f>'28)Silomais Biogas ex Silo (b)'!N23+'28)Silomais Biogas ex Silo (b)'!N22</f>
        <v>82.290880000000001</v>
      </c>
      <c r="AX20" s="1209">
        <f>'28)Silomais Biogas ex Silo (b)'!O23+'28)Silomais Biogas ex Silo (b)'!O22</f>
        <v>86.849056000000004</v>
      </c>
      <c r="AY20" s="1208">
        <f>'29)Triticale-GPS Biogas Feld(b)'!M23+'29)Triticale-GPS Biogas Feld(b)'!M22</f>
        <v>10.054799999999998</v>
      </c>
      <c r="AZ20" s="1212">
        <f>'29)Triticale-GPS Biogas Feld(b)'!N23+'29)Triticale-GPS Biogas Feld(b)'!N22</f>
        <v>12.065759999999997</v>
      </c>
      <c r="BA20" s="1209">
        <f>'29)Triticale-GPS Biogas Feld(b)'!O23+'29)Triticale-GPS Biogas Feld(b)'!O22</f>
        <v>14.076719999999998</v>
      </c>
      <c r="BB20" s="1208">
        <f>'30)Tritic-GPS Biogas ex Silo(b)'!M23+'30)Tritic-GPS Biogas ex Silo(b)'!M22</f>
        <v>69.5548</v>
      </c>
      <c r="BC20" s="1212">
        <f>'30)Tritic-GPS Biogas ex Silo(b)'!N23+'30)Tritic-GPS Biogas ex Silo(b)'!N22</f>
        <v>71.565759999999997</v>
      </c>
      <c r="BD20" s="1209">
        <f>'30)Tritic-GPS Biogas ex Silo(b)'!O23+'30)Tritic-GPS Biogas ex Silo(b)'!O22</f>
        <v>73.576719999999995</v>
      </c>
      <c r="BE20" s="1213">
        <f>'33)Kleegrassil 4N Biogas aF(b)'!M23+'33)Kleegrassil 4N Biogas aF(b)'!M22</f>
        <v>0</v>
      </c>
      <c r="BF20" s="1209">
        <f>'33)Kleegrassil 4N Biogas aF(b)'!N23+'33)Kleegrassil 4N Biogas aF(b)'!N22</f>
        <v>0</v>
      </c>
      <c r="BG20" s="1209">
        <f>'33)Kleegrassil 4N Biogas aF(b)'!O23+'33)Kleegrassil 4N Biogas aF(b)'!O22</f>
        <v>0</v>
      </c>
      <c r="BH20" s="1209">
        <f>'34)Kleegrassil 4N Biog ex S(b)'!M23+'34)Kleegrassil 4N Biog ex S(b)'!M22</f>
        <v>41.65</v>
      </c>
      <c r="BI20" s="1209">
        <f>'34)Kleegrassil 4N Biog ex S(b)'!N23+'34)Kleegrassil 4N Biog ex S(b)'!N22</f>
        <v>41.65</v>
      </c>
      <c r="BJ20" s="1209">
        <f>'34)Kleegrassil 4N Biog ex S(b)'!O23+'34)Kleegrassil 4N Biog ex S(b)'!O22</f>
        <v>41.65</v>
      </c>
      <c r="BK20" s="2247">
        <f>'36)GS 3Nutz. Biogas Feld-(b)'!M23+'36)GS 3Nutz. Biogas Feld-(b)'!M22</f>
        <v>0</v>
      </c>
      <c r="BL20" s="2247">
        <f>'37)GS 3Nutz. Biogas ex Silo (b)'!M23+'37)GS 3Nutz. Biogas ex Silo (b)'!M22</f>
        <v>41.65</v>
      </c>
      <c r="BM20" s="1209">
        <f>'40)GrünroggenVFBiogas ex S(b)'!M23+'40)GrünroggenVFBiogas ex S(b)'!M22</f>
        <v>64.496192500000006</v>
      </c>
      <c r="BN20" s="1209">
        <f>'40)GrünroggenVFBiogas ex S(b)'!N23+'40)GrünroggenVFBiogas ex S(b)'!N22</f>
        <v>65.495430999999996</v>
      </c>
      <c r="BO20" s="1209">
        <f>'40)GrünroggenVFBiogas ex S(b)'!O23+'40)GrünroggenVFBiogas ex S(b)'!O22</f>
        <v>66.494669500000001</v>
      </c>
      <c r="BP20" s="1209">
        <f>'42)Grürog.+Silom. Biog ex S(b)'!M23+'42)Grürog.+Silom. Biog ex S(b)'!M22</f>
        <v>96.909599999999998</v>
      </c>
      <c r="BQ20" s="1209">
        <f>'42)Grürog.+Silom. Biog ex S(b)'!N23+'42)Grürog.+Silom. Biog ex S(b)'!N22</f>
        <v>99.140205000000009</v>
      </c>
      <c r="BR20" s="1209">
        <f>'42)Grürog.+Silom. Biog ex S(b)'!O23+'42)Grürog.+Silom. Biog ex S(b)'!O22</f>
        <v>102.24129000000001</v>
      </c>
      <c r="BS20" s="1209">
        <f>'44)Sudangras HF Biogas ex S(b)'!M23+'44)Sudangras HF Biogas ex S(b)'!M22</f>
        <v>70.632099999999994</v>
      </c>
      <c r="BT20" s="1209">
        <f>'44)Sudangras HF Biogas ex S(b)'!N23+'44)Sudangras HF Biogas ex S(b)'!N22</f>
        <v>73.971729999999994</v>
      </c>
      <c r="BU20" s="1209">
        <f>'44)Sudangras HF Biogas ex S(b)'!O23+'44)Sudangras HF Biogas ex S(b)'!O22</f>
        <v>77.311360000000008</v>
      </c>
      <c r="BV20" s="1209">
        <f>'51) GPS Weidelgras Biog aF (b)'!M23+'51) GPS Weidelgras Biog aF (b)'!M22</f>
        <v>17.890874999999998</v>
      </c>
      <c r="BW20" s="1209">
        <f>'51) GPS Weidelgras Biog aF (b)'!N23+'51) GPS Weidelgras Biog aF (b)'!N22</f>
        <v>21.469050000000003</v>
      </c>
      <c r="BX20" s="1209">
        <f>'51) GPS Weidelgras Biog aF (b)'!O23+'51) GPS Weidelgras Biog aF (b)'!O22</f>
        <v>25.047225000000005</v>
      </c>
      <c r="BY20" s="1209">
        <f>'48)Zuhirse HF Biogas ex S(b)'!M23+'48)Zuhirse HF Biogas ex S(b)'!M22</f>
        <v>73.600660000000005</v>
      </c>
      <c r="BZ20" s="1209">
        <f>'48)Zuhirse HF Biogas ex S(b)'!N23+'48)Zuhirse HF Biogas ex S(b)'!N22</f>
        <v>77.830858000000006</v>
      </c>
      <c r="CA20" s="1209">
        <f>'48)Zuhirse HF Biogas ex S(b)'!O23+'48)Zuhirse HF Biogas ex S(b)'!O22</f>
        <v>82.061055999999994</v>
      </c>
      <c r="CB20" s="1209">
        <f>'46)GPS+Sudangr Biogas ex S(b)'!M23+'46)GPS+Sudangr Biogas ex S(b)'!M22</f>
        <v>88.002732000000009</v>
      </c>
      <c r="CC20" s="1209">
        <f>'46)GPS+Sudangr Biogas ex S(b)'!N23+'46)GPS+Sudangr Biogas ex S(b)'!N22</f>
        <v>89.847480000000004</v>
      </c>
      <c r="CD20" s="1209">
        <f>'46)GPS+Sudangr Biogas ex S(b)'!O23+'46)GPS+Sudangr Biogas ex S(b)'!O22</f>
        <v>91.692228</v>
      </c>
      <c r="CE20" s="1209">
        <f>'48)Zuhirse HF Biogas ex S(b)'!M23+'48)Zuhirse HF Biogas ex S(b)'!M22</f>
        <v>73.600660000000005</v>
      </c>
      <c r="CF20" s="1209">
        <f>'48)Zuhirse HF Biogas ex S(b)'!N23+'48)Zuhirse HF Biogas ex S(b)'!N22</f>
        <v>77.830858000000006</v>
      </c>
      <c r="CG20" s="1209">
        <f>'48)Zuhirse HF Biogas ex S(b)'!O23+'48)Zuhirse HF Biogas ex S(b)'!O22</f>
        <v>82.061055999999994</v>
      </c>
      <c r="CH20" s="1209">
        <f>'54)Dw. Silphie Biogas ex S(b)'!M23+'54)Dw. Silphie Biogas ex S(b)'!M22</f>
        <v>66.603340000000003</v>
      </c>
      <c r="CI20" s="1209">
        <f>'54)Dw. Silphie Biogas ex S(b)'!N23+'54)Dw. Silphie Biogas ex S(b)'!N22</f>
        <v>68.734341999999998</v>
      </c>
      <c r="CJ20" s="1209">
        <f>'54)Dw. Silphie Biogas ex S(b)'!O23+'54)Dw. Silphie Biogas ex S(b)'!O22</f>
        <v>70.865343999999993</v>
      </c>
    </row>
    <row r="21" spans="1:88" s="172" customFormat="1" ht="17.100000000000001" customHeight="1" x14ac:dyDescent="0.2">
      <c r="A21" s="891"/>
      <c r="B21" s="2237" t="s">
        <v>270</v>
      </c>
      <c r="C21" s="2554"/>
      <c r="D21" s="2207" t="s">
        <v>266</v>
      </c>
      <c r="E21" s="2195">
        <f>'1)Grünf. 3Nutz.(b)'!$M$26</f>
        <v>0</v>
      </c>
      <c r="F21" s="2194">
        <f>'2)Grünf. 4Nutz.(b)'!$M$26</f>
        <v>0</v>
      </c>
      <c r="G21" s="2198">
        <f>'3)Grünf. 5Nutz.(b)'!$M$26</f>
        <v>0</v>
      </c>
      <c r="H21" s="2196">
        <f>'4)GS 3Nutz.eig.mech.(b)'!$M$26</f>
        <v>0</v>
      </c>
      <c r="I21" s="2199">
        <f>'5)GS 4Nutz.eig.mech(b)'!$M$26</f>
        <v>0</v>
      </c>
      <c r="J21" s="2194">
        <f>'6)GS 5Nutz.eig.mech.(b)'!$M$26</f>
        <v>0</v>
      </c>
      <c r="K21" s="2199">
        <f>'7)GS3Nutz.Fremdmech(b)'!$M$26</f>
        <v>0</v>
      </c>
      <c r="L21" s="2199">
        <f>'8)GS4Nutz.Fremdmech(b)'!$M$26</f>
        <v>0</v>
      </c>
      <c r="M21" s="2199">
        <f>'9)GS 5Nutz.Fremd(b)'!$M$26</f>
        <v>0</v>
      </c>
      <c r="N21" s="2195">
        <f>'10) GS 3Nutz. Ballensil.(b)'!$M$26</f>
        <v>0</v>
      </c>
      <c r="O21" s="2196">
        <f>'11)Heu 2Nutz.-(b)'!$M$26</f>
        <v>0</v>
      </c>
      <c r="P21" s="2199">
        <f>'12)Heu 3Nutz.(b)'!$M$26</f>
        <v>0</v>
      </c>
      <c r="Q21" s="2249">
        <f>'13)Grascobs 5Nutz.(b)'!$M$26</f>
        <v>0</v>
      </c>
      <c r="R21" s="2194">
        <f>'14)Weide_ext.(b)'!$M$26</f>
        <v>0</v>
      </c>
      <c r="S21" s="2199">
        <f>'15)Weide int. 4Nutz.(b)'!$M$26</f>
        <v>0</v>
      </c>
      <c r="T21" s="2196">
        <f>'17)Kleegras-GrünFu-Eig.mech(b)'!$M$26</f>
        <v>0</v>
      </c>
      <c r="U21" s="2194">
        <f>'18)Kleegrassi-Fremnernt(b)'!$M$26</f>
        <v>0</v>
      </c>
      <c r="V21" s="2198">
        <f>'19)LuzerneSil-Fremdernte(b)'!$M$26</f>
        <v>0</v>
      </c>
      <c r="W21" s="2199">
        <f>'20)Silomais int(b)'!$M26</f>
        <v>0</v>
      </c>
      <c r="X21" s="2194">
        <f>'20)Silomais int(b)'!$N26</f>
        <v>0</v>
      </c>
      <c r="Y21" s="2197">
        <f>'20)Silomais int(b)'!$O26</f>
        <v>0</v>
      </c>
      <c r="Z21" s="2196">
        <f>'21)Futterrüben(b)'!$M26</f>
        <v>0</v>
      </c>
      <c r="AA21" s="2194">
        <f>'21)Futterrüben(b)'!$N26</f>
        <v>0</v>
      </c>
      <c r="AB21" s="2198">
        <f>'21)Futterrüben(b)'!$O26</f>
        <v>0</v>
      </c>
      <c r="AC21" s="2201">
        <f>'22)ZWF-Raps-(b)'!M26</f>
        <v>0</v>
      </c>
      <c r="AD21" s="2194">
        <f>'22)ZWF-Raps-(b)'!N26</f>
        <v>0</v>
      </c>
      <c r="AE21" s="2200">
        <f>'22)ZWF-Raps-(b)'!O26</f>
        <v>0</v>
      </c>
      <c r="AF21" s="2777"/>
      <c r="AG21" s="2199">
        <f>'23)GPS-(b)'!M26</f>
        <v>0</v>
      </c>
      <c r="AH21" s="2194">
        <f>'23)GPS-(b)'!N26</f>
        <v>0</v>
      </c>
      <c r="AI21" s="2198">
        <f>'23)GPS-(b)'!O26</f>
        <v>0</v>
      </c>
      <c r="AJ21" s="2199">
        <f>'24)Mais LKS-(b)'!M26</f>
        <v>0</v>
      </c>
      <c r="AK21" s="2194">
        <f>'24)Mais LKS-(b)'!N26</f>
        <v>0</v>
      </c>
      <c r="AL21" s="2198">
        <f>'24)Mais LKS-(b)'!O26</f>
        <v>0</v>
      </c>
      <c r="AM21" s="2199">
        <f>'25)Mais CCM-(b)'!M26</f>
        <v>0</v>
      </c>
      <c r="AN21" s="2194">
        <f>'25)Mais CCM-(b)'!N26</f>
        <v>0</v>
      </c>
      <c r="AO21" s="2198">
        <f>'25)Mais CCM-(b)'!O26</f>
        <v>0</v>
      </c>
      <c r="AP21" s="2196">
        <f>'26)M(ais feucht-b)'!$M26</f>
        <v>0</v>
      </c>
      <c r="AQ21" s="2194">
        <f>'26)M(ais feucht-b)'!$N26</f>
        <v>0</v>
      </c>
      <c r="AR21" s="2198">
        <f>'26)M(ais feucht-b)'!$O26</f>
        <v>0</v>
      </c>
      <c r="AS21" s="2196">
        <f>'27)Silomais Biogas ab Feld-(b)'!M26</f>
        <v>0</v>
      </c>
      <c r="AT21" s="2194">
        <f>'27)Silomais Biogas ab Feld-(b)'!N26</f>
        <v>0</v>
      </c>
      <c r="AU21" s="2198">
        <f>'27)Silomais Biogas ab Feld-(b)'!O26</f>
        <v>0</v>
      </c>
      <c r="AV21" s="2199">
        <f>'28)Silomais Biogas ex Silo (b)'!M26</f>
        <v>0</v>
      </c>
      <c r="AW21" s="2194">
        <f>'28)Silomais Biogas ex Silo (b)'!N26</f>
        <v>0</v>
      </c>
      <c r="AX21" s="2198">
        <f>'28)Silomais Biogas ex Silo (b)'!O26</f>
        <v>0</v>
      </c>
      <c r="AY21" s="2199">
        <f>'29)Triticale-GPS Biogas Feld(b)'!M26</f>
        <v>0</v>
      </c>
      <c r="AZ21" s="2194">
        <f>'29)Triticale-GPS Biogas Feld(b)'!N26</f>
        <v>0</v>
      </c>
      <c r="BA21" s="2198">
        <f>'29)Triticale-GPS Biogas Feld(b)'!O26</f>
        <v>0</v>
      </c>
      <c r="BB21" s="2199">
        <f>'30)Tritic-GPS Biogas ex Silo(b)'!M26</f>
        <v>0</v>
      </c>
      <c r="BC21" s="2194">
        <f>'30)Tritic-GPS Biogas ex Silo(b)'!N26</f>
        <v>0</v>
      </c>
      <c r="BD21" s="2198">
        <f>'30)Tritic-GPS Biogas ex Silo(b)'!O26</f>
        <v>0</v>
      </c>
      <c r="BE21" s="2200">
        <f>'33)Kleegrassil 4N Biogas aF(b)'!M26</f>
        <v>0</v>
      </c>
      <c r="BF21" s="2198">
        <f>'33)Kleegrassil 4N Biogas aF(b)'!N26</f>
        <v>0</v>
      </c>
      <c r="BG21" s="2198">
        <f>'33)Kleegrassil 4N Biogas aF(b)'!O26</f>
        <v>0</v>
      </c>
      <c r="BH21" s="2198">
        <f>'34)Kleegrassil 4N Biog ex S(b)'!M26</f>
        <v>0</v>
      </c>
      <c r="BI21" s="2198">
        <f>'34)Kleegrassil 4N Biog ex S(b)'!N26</f>
        <v>0</v>
      </c>
      <c r="BJ21" s="2198">
        <f>'34)Kleegrassil 4N Biog ex S(b)'!O26</f>
        <v>0</v>
      </c>
      <c r="BK21" s="2249">
        <f>'36)GS 3Nutz. Biogas Feld-(b)'!$M$26</f>
        <v>0</v>
      </c>
      <c r="BL21" s="2249">
        <f>'37)GS 3Nutz. Biogas ex Silo (b)'!$M$26</f>
        <v>0</v>
      </c>
      <c r="BM21" s="2198">
        <f>'40)GrünroggenVFBiogas ex S(b)'!M26</f>
        <v>0</v>
      </c>
      <c r="BN21" s="2198">
        <f>'40)GrünroggenVFBiogas ex S(b)'!N26</f>
        <v>0</v>
      </c>
      <c r="BO21" s="2198">
        <f>'40)GrünroggenVFBiogas ex S(b)'!O26</f>
        <v>0</v>
      </c>
      <c r="BP21" s="2198">
        <f>'42)Grürog.+Silom. Biog ex S(b)'!M26</f>
        <v>0</v>
      </c>
      <c r="BQ21" s="2198">
        <f>'42)Grürog.+Silom. Biog ex S(b)'!N26</f>
        <v>0</v>
      </c>
      <c r="BR21" s="2198">
        <f>'42)Grürog.+Silom. Biog ex S(b)'!O26</f>
        <v>0</v>
      </c>
      <c r="BS21" s="2198">
        <f>'44)Sudangras HF Biogas ex S(b)'!M26</f>
        <v>0</v>
      </c>
      <c r="BT21" s="2198">
        <f>'44)Sudangras HF Biogas ex S(b)'!N26</f>
        <v>0</v>
      </c>
      <c r="BU21" s="2198">
        <f>'44)Sudangras HF Biogas ex S(b)'!O26</f>
        <v>0</v>
      </c>
      <c r="BV21" s="2198">
        <f>'51) GPS Weidelgras Biog aF (b)'!M26</f>
        <v>0</v>
      </c>
      <c r="BW21" s="2198">
        <f>'51) GPS Weidelgras Biog aF (b)'!N26</f>
        <v>0</v>
      </c>
      <c r="BX21" s="2198">
        <f>'51) GPS Weidelgras Biog aF (b)'!O26</f>
        <v>0</v>
      </c>
      <c r="BY21" s="2198">
        <f>'48)Zuhirse HF Biogas ex S(b)'!M26</f>
        <v>0</v>
      </c>
      <c r="BZ21" s="2198">
        <f>'48)Zuhirse HF Biogas ex S(b)'!N26</f>
        <v>0</v>
      </c>
      <c r="CA21" s="2198">
        <f>'48)Zuhirse HF Biogas ex S(b)'!O26</f>
        <v>0</v>
      </c>
      <c r="CB21" s="2198">
        <f>'46)GPS+Sudangr Biogas ex S(b)'!M26</f>
        <v>0</v>
      </c>
      <c r="CC21" s="2198">
        <f>'46)GPS+Sudangr Biogas ex S(b)'!N26</f>
        <v>0</v>
      </c>
      <c r="CD21" s="2198">
        <f>'46)GPS+Sudangr Biogas ex S(b)'!O26</f>
        <v>0</v>
      </c>
      <c r="CE21" s="2198">
        <f>'48)Zuhirse HF Biogas ex S(b)'!M26</f>
        <v>0</v>
      </c>
      <c r="CF21" s="2198">
        <f>'48)Zuhirse HF Biogas ex S(b)'!N26</f>
        <v>0</v>
      </c>
      <c r="CG21" s="2198">
        <f>'48)Zuhirse HF Biogas ex S(b)'!O26</f>
        <v>0</v>
      </c>
      <c r="CH21" s="2198">
        <f>'54)Dw. Silphie Biogas ex S(b)'!M26</f>
        <v>18</v>
      </c>
      <c r="CI21" s="2198">
        <f>'54)Dw. Silphie Biogas ex S(b)'!N26</f>
        <v>18</v>
      </c>
      <c r="CJ21" s="2198">
        <f>'54)Dw. Silphie Biogas ex S(b)'!O26</f>
        <v>18</v>
      </c>
    </row>
    <row r="22" spans="1:88" s="172" customFormat="1" ht="17.100000000000001" customHeight="1" x14ac:dyDescent="0.2">
      <c r="A22" s="237"/>
      <c r="B22" s="2238" t="s">
        <v>1131</v>
      </c>
      <c r="C22" s="2555"/>
      <c r="D22" s="2208" t="s">
        <v>266</v>
      </c>
      <c r="E22" s="1229">
        <f>'1)Grünf. 3Nutz.(b)'!$M$27</f>
        <v>790.69769863329327</v>
      </c>
      <c r="F22" s="1231">
        <f>'2)Grünf. 4Nutz.(b)'!$M$27</f>
        <v>1003.5068569543998</v>
      </c>
      <c r="G22" s="1228">
        <f>'3)Grünf. 5Nutz.(b)'!$M$27</f>
        <v>1557.3082701385335</v>
      </c>
      <c r="H22" s="1230">
        <f>'4)GS 3Nutz.eig.mech.(b)'!$M$27</f>
        <v>881.50059178343133</v>
      </c>
      <c r="I22" s="1227">
        <f>'5)GS 4Nutz.eig.mech(b)'!$M$27</f>
        <v>1105.9157329910456</v>
      </c>
      <c r="J22" s="1231">
        <f>'6)GS 5Nutz.eig.mech.(b)'!$M$27</f>
        <v>1547.7844624216968</v>
      </c>
      <c r="K22" s="1227">
        <f>'7)GS3Nutz.Fremdmech(b)'!$M$27</f>
        <v>1076.6441054928932</v>
      </c>
      <c r="L22" s="1227">
        <f>'8)GS4Nutz.Fremdmech(b)'!$M$27</f>
        <v>1385.3079494423996</v>
      </c>
      <c r="M22" s="1227">
        <f>'9)GS 5Nutz.Fremd(b)'!$M$27</f>
        <v>1898.4769954726671</v>
      </c>
      <c r="N22" s="1229">
        <f>'10) GS 3Nutz. Ballensil.(b)'!$M$27</f>
        <v>1260.7502414812932</v>
      </c>
      <c r="O22" s="1230">
        <f>'11)Heu 2Nutz.-(b)'!$M$27</f>
        <v>633.10061693229875</v>
      </c>
      <c r="P22" s="1227">
        <f>'12)Heu 3Nutz.(b)'!$M$27</f>
        <v>1027.0027395984498</v>
      </c>
      <c r="Q22" s="2250">
        <f>'13)Grascobs 5Nutz.(b)'!$M$27</f>
        <v>3727.1912655708884</v>
      </c>
      <c r="R22" s="1231">
        <f>'14)Weide_ext.(b)'!$M$27</f>
        <v>627.65628562919994</v>
      </c>
      <c r="S22" s="1227">
        <f>'15)Weide int. 4Nutz.(b)'!$M$27</f>
        <v>957.35988561799979</v>
      </c>
      <c r="T22" s="1230">
        <f>'17)Kleegras-GrünFu-Eig.mech(b)'!$M$27</f>
        <v>1177.4191115773865</v>
      </c>
      <c r="U22" s="1231">
        <f>'18)Kleegrassi-Fremnernt(b)'!$M$27</f>
        <v>1679.8632067553865</v>
      </c>
      <c r="V22" s="1228">
        <f>'19)LuzerneSil-Fremdernte(b)'!$M$27</f>
        <v>1418.8530009220533</v>
      </c>
      <c r="W22" s="1227">
        <f>'20)Silomais int(b)'!$M27</f>
        <v>1555.4665128496872</v>
      </c>
      <c r="X22" s="1231">
        <f>'20)Silomais int(b)'!$N27</f>
        <v>1730.9240920882053</v>
      </c>
      <c r="Y22" s="1233">
        <f>'20)Silomais int(b)'!$O27</f>
        <v>1905.9995889267238</v>
      </c>
      <c r="Z22" s="1230">
        <f>'21)Futterrüben(b)'!$M27</f>
        <v>2089.3292006132242</v>
      </c>
      <c r="AA22" s="1231">
        <f>'21)Futterrüben(b)'!$N27</f>
        <v>2316.2503367453742</v>
      </c>
      <c r="AB22" s="1228">
        <f>'21)Futterrüben(b)'!$O27</f>
        <v>2543.1714728775241</v>
      </c>
      <c r="AC22" s="1234">
        <f>'22)ZWF-Raps-(b)'!M27</f>
        <v>405.67223524333338</v>
      </c>
      <c r="AD22" s="1231">
        <f>'22)ZWF-Raps-(b)'!N27</f>
        <v>476.07881542666667</v>
      </c>
      <c r="AE22" s="1232">
        <f>'22)ZWF-Raps-(b)'!O27</f>
        <v>556.54347849333328</v>
      </c>
      <c r="AF22" s="2778"/>
      <c r="AG22" s="1227">
        <f>'23)GPS-(b)'!M27</f>
        <v>1060.2041110167988</v>
      </c>
      <c r="AH22" s="1231">
        <f>'23)GPS-(b)'!N27</f>
        <v>1203.8056909918653</v>
      </c>
      <c r="AI22" s="1228">
        <f>'23)GPS-(b)'!O27</f>
        <v>1311.8204329669318</v>
      </c>
      <c r="AJ22" s="1227">
        <f>'24)Mais LKS-(b)'!M27</f>
        <v>1392.1049780489873</v>
      </c>
      <c r="AK22" s="1231">
        <f>'24)Mais LKS-(b)'!N27</f>
        <v>1492.0673464721153</v>
      </c>
      <c r="AL22" s="1228">
        <f>'24)Mais LKS-(b)'!O27</f>
        <v>1592.0297148952432</v>
      </c>
      <c r="AM22" s="1227">
        <f>'25)Mais CCM-(b)'!M27</f>
        <v>1252.73809386172</v>
      </c>
      <c r="AN22" s="1231">
        <f>'25)Mais CCM-(b)'!N27</f>
        <v>1364.7976440562065</v>
      </c>
      <c r="AO22" s="1228">
        <f>'25)Mais CCM-(b)'!O27</f>
        <v>1476.8571942506933</v>
      </c>
      <c r="AP22" s="1230">
        <f>'26)M(ais feucht-b)'!$M27</f>
        <v>1429.0609336276279</v>
      </c>
      <c r="AQ22" s="1231">
        <f>'26)M(ais feucht-b)'!$N27</f>
        <v>1577.0899483275332</v>
      </c>
      <c r="AR22" s="1228">
        <f>'26)M(ais feucht-b)'!$O27</f>
        <v>1727.3799630274384</v>
      </c>
      <c r="AS22" s="1230">
        <f>'27)Silomais Biogas ab Feld-(b)'!M27</f>
        <v>728.10881319901819</v>
      </c>
      <c r="AT22" s="1231">
        <f>'27)Silomais Biogas ab Feld-(b)'!N27</f>
        <v>787.2183417444727</v>
      </c>
      <c r="AU22" s="1228">
        <f>'27)Silomais Biogas ab Feld-(b)'!O27</f>
        <v>846.3278702899272</v>
      </c>
      <c r="AV22" s="1227">
        <f>'28)Silomais Biogas ex Silo (b)'!M27</f>
        <v>1124.3356796239054</v>
      </c>
      <c r="AW22" s="1231">
        <f>'28)Silomais Biogas ex Silo (b)'!N27</f>
        <v>1241.7298631327099</v>
      </c>
      <c r="AX22" s="1228">
        <f>'28)Silomais Biogas ex Silo (b)'!O27</f>
        <v>1358.8556699272581</v>
      </c>
      <c r="AY22" s="1227">
        <f>'29)Triticale-GPS Biogas Feld(b)'!M27</f>
        <v>522.52882585119994</v>
      </c>
      <c r="AZ22" s="1231">
        <f>'29)Triticale-GPS Biogas Feld(b)'!N27</f>
        <v>604.00009615120007</v>
      </c>
      <c r="BA22" s="1228">
        <f>'29)Triticale-GPS Biogas Feld(b)'!O27</f>
        <v>650.06886645119994</v>
      </c>
      <c r="BB22" s="1227">
        <f>'30)Tritic-GPS Biogas ex Silo(b)'!M27</f>
        <v>865.34243518504002</v>
      </c>
      <c r="BC22" s="1231">
        <f>'30)Tritic-GPS Biogas ex Silo(b)'!N27</f>
        <v>968.49042735180808</v>
      </c>
      <c r="BD22" s="1228">
        <f>'30)Tritic-GPS Biogas ex Silo(b)'!O27</f>
        <v>1066.5809195185761</v>
      </c>
      <c r="BE22" s="1232">
        <f>'33)Kleegrassil 4N Biogas aF(b)'!M27</f>
        <v>421.50254228719996</v>
      </c>
      <c r="BF22" s="1228">
        <f>'33)Kleegrassil 4N Biogas aF(b)'!N27</f>
        <v>397.21960528719995</v>
      </c>
      <c r="BG22" s="1228">
        <f>'33)Kleegrassil 4N Biogas aF(b)'!O27</f>
        <v>433.69929328720013</v>
      </c>
      <c r="BH22" s="1228">
        <f>'34)Kleegrassil 4N Biog ex S(b)'!M27</f>
        <v>951.66083219291818</v>
      </c>
      <c r="BI22" s="1228">
        <f>'34)Kleegrassil 4N Biog ex S(b)'!N27</f>
        <v>980.49681191678178</v>
      </c>
      <c r="BJ22" s="1228">
        <f>'34)Kleegrassil 4N Biog ex S(b)'!O27</f>
        <v>1070.0954166406455</v>
      </c>
      <c r="BK22" s="2250">
        <f>'36)GS 3Nutz. Biogas Feld-(b)'!$M$27</f>
        <v>201.10398830595997</v>
      </c>
      <c r="BL22" s="2250">
        <f>'37)GS 3Nutz. Biogas ex Silo (b)'!$M$27</f>
        <v>620.77992273006384</v>
      </c>
      <c r="BM22" s="1228">
        <f>'40)GrünroggenVFBiogas ex S(b)'!M27</f>
        <v>685.32786739728806</v>
      </c>
      <c r="BN22" s="1228">
        <f>'40)GrünroggenVFBiogas ex S(b)'!N27</f>
        <v>740.76773505402571</v>
      </c>
      <c r="BO22" s="1228">
        <f>'40)GrünroggenVFBiogas ex S(b)'!O27</f>
        <v>796.20760271076324</v>
      </c>
      <c r="BP22" s="1228">
        <f>'42)Grürog.+Silom. Biog ex S(b)'!M27</f>
        <v>1602.6235838758839</v>
      </c>
      <c r="BQ22" s="1228">
        <f>'42)Grürog.+Silom. Biog ex S(b)'!N27</f>
        <v>1710.4993874077277</v>
      </c>
      <c r="BR22" s="1228">
        <f>'42)Grürog.+Silom. Biog ex S(b)'!O27</f>
        <v>1845.6125776837057</v>
      </c>
      <c r="BS22" s="1228">
        <f>'44)Sudangras HF Biogas ex S(b)'!M27</f>
        <v>1103.3775880185001</v>
      </c>
      <c r="BT22" s="1228">
        <f>'44)Sudangras HF Biogas ex S(b)'!N27</f>
        <v>1252.8258721186899</v>
      </c>
      <c r="BU22" s="1228">
        <f>'44)Sudangras HF Biogas ex S(b)'!O27</f>
        <v>1402.2741562188801</v>
      </c>
      <c r="BV22" s="1228">
        <f>'51) GPS Weidelgras Biog aF (b)'!M27</f>
        <v>849.42628033919993</v>
      </c>
      <c r="BW22" s="1228">
        <f>'51) GPS Weidelgras Biog aF (b)'!N27</f>
        <v>913.92596983920021</v>
      </c>
      <c r="BX22" s="1228">
        <f>'51) GPS Weidelgras Biog aF (b)'!O27</f>
        <v>978.42565933920014</v>
      </c>
      <c r="BY22" s="1228">
        <f>'48)Zuhirse HF Biogas ex S(b)'!M27</f>
        <v>1018.7859795185002</v>
      </c>
      <c r="BZ22" s="1228">
        <f>'48)Zuhirse HF Biogas ex S(b)'!N27</f>
        <v>1155.7892810686899</v>
      </c>
      <c r="CA22" s="1228">
        <f>'48)Zuhirse HF Biogas ex S(b)'!O27</f>
        <v>1292.79258261888</v>
      </c>
      <c r="CB22" s="1228">
        <f>'46)GPS+Sudangr Biogas ex S(b)'!M27</f>
        <v>1503.0130659206684</v>
      </c>
      <c r="CC22" s="1228">
        <f>'46)GPS+Sudangr Biogas ex S(b)'!N27</f>
        <v>1652.5432377379871</v>
      </c>
      <c r="CD22" s="1228">
        <f>'46)GPS+Sudangr Biogas ex S(b)'!O27</f>
        <v>1766.670909555306</v>
      </c>
      <c r="CE22" s="1228">
        <f>'48)Zuhirse HF Biogas ex S(b)'!M27</f>
        <v>1018.7859795185002</v>
      </c>
      <c r="CF22" s="1228">
        <f>'48)Zuhirse HF Biogas ex S(b)'!N27</f>
        <v>1155.7892810686899</v>
      </c>
      <c r="CG22" s="1228">
        <f>'48)Zuhirse HF Biogas ex S(b)'!O27</f>
        <v>1292.79258261888</v>
      </c>
      <c r="CH22" s="1228">
        <f>'54)Dw. Silphie Biogas ex S(b)'!M27</f>
        <v>744.31122224887338</v>
      </c>
      <c r="CI22" s="1228">
        <f>'54)Dw. Silphie Biogas ex S(b)'!N27</f>
        <v>863.55875874906337</v>
      </c>
      <c r="CJ22" s="1228">
        <f>'54)Dw. Silphie Biogas ex S(b)'!O27</f>
        <v>982.80629524925348</v>
      </c>
    </row>
    <row r="23" spans="1:88" s="172" customFormat="1" ht="21.75" customHeight="1" x14ac:dyDescent="0.2">
      <c r="A23" s="2189"/>
      <c r="B23" s="3429" t="s">
        <v>1347</v>
      </c>
      <c r="C23" s="2556"/>
      <c r="D23" s="2209" t="s">
        <v>266</v>
      </c>
      <c r="E23" s="2191">
        <f>'1)Grünf. 3Nutz.(b)'!$M$28</f>
        <v>-790.69769863329327</v>
      </c>
      <c r="F23" s="2190">
        <f>'2)Grünf. 4Nutz.(b)'!$M$28</f>
        <v>-1003.5068569543998</v>
      </c>
      <c r="G23" s="2322">
        <f>'3)Grünf. 5Nutz.(b)'!$M$28</f>
        <v>-1557.3082701385335</v>
      </c>
      <c r="H23" s="2192">
        <f>'4)GS 3Nutz.eig.mech.(b)'!$M$28</f>
        <v>-881.50059178343133</v>
      </c>
      <c r="I23" s="2319">
        <f>'5)GS 4Nutz.eig.mech(b)'!$M$28</f>
        <v>-1105.9157329910456</v>
      </c>
      <c r="J23" s="2190">
        <f>'6)GS 5Nutz.eig.mech.(b)'!$M$28</f>
        <v>-1547.7844624216968</v>
      </c>
      <c r="K23" s="2319">
        <f>'7)GS3Nutz.Fremdmech(b)'!$M$28</f>
        <v>-1076.6441054928932</v>
      </c>
      <c r="L23" s="2319">
        <f>'8)GS4Nutz.Fremdmech(b)'!$M$28</f>
        <v>-1385.3079494423996</v>
      </c>
      <c r="M23" s="2319">
        <f>'9)GS 5Nutz.Fremd(b)'!$M$28</f>
        <v>-1898.4769954726671</v>
      </c>
      <c r="N23" s="2191">
        <f>'10) GS 3Nutz. Ballensil.(b)'!$M$28</f>
        <v>-1260.7502414812932</v>
      </c>
      <c r="O23" s="2192">
        <f>'11)Heu 2Nutz.-(b)'!$M$28</f>
        <v>-633.10061693229875</v>
      </c>
      <c r="P23" s="2319">
        <f>'12)Heu 3Nutz.(b)'!$M$28</f>
        <v>-1027.0027395984498</v>
      </c>
      <c r="Q23" s="2251">
        <f>'13)Grascobs 5Nutz.(b)'!$M$28</f>
        <v>-3727.1912655708884</v>
      </c>
      <c r="R23" s="2190">
        <f>'14)Weide_ext.(b)'!$M$28</f>
        <v>-627.65628562919994</v>
      </c>
      <c r="S23" s="2319">
        <f>'15)Weide int. 4Nutz.(b)'!$M$28</f>
        <v>-957.35988561799979</v>
      </c>
      <c r="T23" s="1230">
        <f>'17)Kleegras-GrünFu-Eig.mech(b)'!$M$28</f>
        <v>-1177.4191115773865</v>
      </c>
      <c r="U23" s="1231">
        <f>'18)Kleegrassi-Fremnernt(b)'!$M$28</f>
        <v>-1679.8632067553865</v>
      </c>
      <c r="V23" s="1228">
        <f>'19)LuzerneSil-Fremdernte(b)'!$M$28</f>
        <v>-1418.8530009220533</v>
      </c>
      <c r="W23" s="1227">
        <f>'20)Silomais int(b)'!$M28</f>
        <v>-1555.4665128496872</v>
      </c>
      <c r="X23" s="1231">
        <f>'20)Silomais int(b)'!$N28</f>
        <v>-1730.9240920882053</v>
      </c>
      <c r="Y23" s="1233">
        <f>'20)Silomais int(b)'!$O28</f>
        <v>-1905.9995889267238</v>
      </c>
      <c r="Z23" s="1230">
        <f>'21)Futterrüben(b)'!$M28</f>
        <v>-2089.3292006132242</v>
      </c>
      <c r="AA23" s="1231">
        <f>'21)Futterrüben(b)'!$N28</f>
        <v>-2316.2503367453742</v>
      </c>
      <c r="AB23" s="1228">
        <f>'21)Futterrüben(b)'!$O28</f>
        <v>-2543.1714728775241</v>
      </c>
      <c r="AC23" s="1234">
        <f>'22)ZWF-Raps-(b)'!M28</f>
        <v>-405.67223524333338</v>
      </c>
      <c r="AD23" s="1231">
        <f>'22)ZWF-Raps-(b)'!N28</f>
        <v>-476.07881542666667</v>
      </c>
      <c r="AE23" s="1232">
        <f>'22)ZWF-Raps-(b)'!O28</f>
        <v>-556.54347849333328</v>
      </c>
      <c r="AF23" s="2778"/>
      <c r="AG23" s="1227">
        <f>'23)GPS-(b)'!M28</f>
        <v>-1060.2041110167988</v>
      </c>
      <c r="AH23" s="1231">
        <f>'23)GPS-(b)'!N28</f>
        <v>-1203.8056909918653</v>
      </c>
      <c r="AI23" s="1228">
        <f>'23)GPS-(b)'!O28</f>
        <v>-1311.8204329669318</v>
      </c>
      <c r="AJ23" s="1227">
        <f>'24)Mais LKS-(b)'!M28</f>
        <v>-1392.1049780489873</v>
      </c>
      <c r="AK23" s="1231">
        <f>'24)Mais LKS-(b)'!N28</f>
        <v>-1492.0673464721153</v>
      </c>
      <c r="AL23" s="1228">
        <f>'24)Mais LKS-(b)'!O28</f>
        <v>-1592.0297148952432</v>
      </c>
      <c r="AM23" s="1227">
        <f>'25)Mais CCM-(b)'!M28</f>
        <v>-1252.73809386172</v>
      </c>
      <c r="AN23" s="1231">
        <f>'25)Mais CCM-(b)'!N28</f>
        <v>-1364.7976440562065</v>
      </c>
      <c r="AO23" s="1228">
        <f>'25)Mais CCM-(b)'!O28</f>
        <v>-1476.8571942506933</v>
      </c>
      <c r="AP23" s="1230">
        <f>'26)M(ais feucht-b)'!$M28</f>
        <v>-1429.0609336276279</v>
      </c>
      <c r="AQ23" s="1231">
        <f>'26)M(ais feucht-b)'!$N28</f>
        <v>-1577.0899483275332</v>
      </c>
      <c r="AR23" s="1228">
        <f>'26)M(ais feucht-b)'!$O28</f>
        <v>-1727.3799630274384</v>
      </c>
      <c r="AS23" s="1230">
        <f>'27)Silomais Biogas ab Feld-(b)'!M28</f>
        <v>-728.10881319901819</v>
      </c>
      <c r="AT23" s="1231">
        <f>'27)Silomais Biogas ab Feld-(b)'!N28</f>
        <v>-787.2183417444727</v>
      </c>
      <c r="AU23" s="1228">
        <f>'27)Silomais Biogas ab Feld-(b)'!O28</f>
        <v>-846.3278702899272</v>
      </c>
      <c r="AV23" s="1227">
        <f>'28)Silomais Biogas ex Silo (b)'!M28</f>
        <v>-1124.3356796239054</v>
      </c>
      <c r="AW23" s="1231">
        <f>'28)Silomais Biogas ex Silo (b)'!N28</f>
        <v>-1241.7298631327099</v>
      </c>
      <c r="AX23" s="1228">
        <f>'28)Silomais Biogas ex Silo (b)'!O28</f>
        <v>-1358.8556699272581</v>
      </c>
      <c r="AY23" s="1227">
        <f>'29)Triticale-GPS Biogas Feld(b)'!M28</f>
        <v>-522.52882585119994</v>
      </c>
      <c r="AZ23" s="1231">
        <f>'29)Triticale-GPS Biogas Feld(b)'!N28</f>
        <v>-604.00009615120007</v>
      </c>
      <c r="BA23" s="1228">
        <f>'29)Triticale-GPS Biogas Feld(b)'!O28</f>
        <v>-650.06886645119994</v>
      </c>
      <c r="BB23" s="1227">
        <f>'30)Tritic-GPS Biogas ex Silo(b)'!M28</f>
        <v>-865.34243518504002</v>
      </c>
      <c r="BC23" s="1231">
        <f>'30)Tritic-GPS Biogas ex Silo(b)'!N28</f>
        <v>-968.49042735180808</v>
      </c>
      <c r="BD23" s="1228">
        <f>'30)Tritic-GPS Biogas ex Silo(b)'!O28</f>
        <v>-1066.5809195185761</v>
      </c>
      <c r="BE23" s="1232">
        <f>'33)Kleegrassil 4N Biogas aF(b)'!M28</f>
        <v>-421.50254228719996</v>
      </c>
      <c r="BF23" s="1228">
        <f>'33)Kleegrassil 4N Biogas aF(b)'!N28</f>
        <v>-397.21960528719995</v>
      </c>
      <c r="BG23" s="1228">
        <f>'33)Kleegrassil 4N Biogas aF(b)'!O28</f>
        <v>-433.69929328720013</v>
      </c>
      <c r="BH23" s="1228">
        <f>'34)Kleegrassil 4N Biog ex S(b)'!M28</f>
        <v>-951.66083219291818</v>
      </c>
      <c r="BI23" s="1228">
        <f>'34)Kleegrassil 4N Biog ex S(b)'!N28</f>
        <v>-980.49681191678178</v>
      </c>
      <c r="BJ23" s="1228">
        <f>'34)Kleegrassil 4N Biog ex S(b)'!O28</f>
        <v>-1070.0954166406455</v>
      </c>
      <c r="BK23" s="2251">
        <f>'36)GS 3Nutz. Biogas Feld-(b)'!$M$28</f>
        <v>-201.10398830595997</v>
      </c>
      <c r="BL23" s="2251">
        <f>'37)GS 3Nutz. Biogas ex Silo (b)'!$M$28</f>
        <v>-620.77992273006384</v>
      </c>
      <c r="BM23" s="1228">
        <f>'40)GrünroggenVFBiogas ex S(b)'!M28</f>
        <v>-685.32786739728806</v>
      </c>
      <c r="BN23" s="1228">
        <f>'40)GrünroggenVFBiogas ex S(b)'!N28</f>
        <v>-740.76773505402571</v>
      </c>
      <c r="BO23" s="1228">
        <f>'40)GrünroggenVFBiogas ex S(b)'!O28</f>
        <v>-796.20760271076324</v>
      </c>
      <c r="BP23" s="1228">
        <f>'42)Grürog.+Silom. Biog ex S(b)'!M28</f>
        <v>-1602.6235838758839</v>
      </c>
      <c r="BQ23" s="1228">
        <f>'42)Grürog.+Silom. Biog ex S(b)'!N28</f>
        <v>-1710.4993874077277</v>
      </c>
      <c r="BR23" s="1228">
        <f>'42)Grürog.+Silom. Biog ex S(b)'!O28</f>
        <v>-1845.6125776837057</v>
      </c>
      <c r="BS23" s="1228">
        <f>'44)Sudangras HF Biogas ex S(b)'!M28</f>
        <v>-1103.3775880185001</v>
      </c>
      <c r="BT23" s="1228">
        <f>'44)Sudangras HF Biogas ex S(b)'!N28</f>
        <v>-1252.8258721186899</v>
      </c>
      <c r="BU23" s="1228">
        <f>'44)Sudangras HF Biogas ex S(b)'!O28</f>
        <v>-1402.2741562188801</v>
      </c>
      <c r="BV23" s="1228">
        <f>'51) GPS Weidelgras Biog aF (b)'!M28</f>
        <v>-849.42628033919993</v>
      </c>
      <c r="BW23" s="1228">
        <f>'51) GPS Weidelgras Biog aF (b)'!N28</f>
        <v>-913.92596983920021</v>
      </c>
      <c r="BX23" s="1228">
        <f>'51) GPS Weidelgras Biog aF (b)'!O28</f>
        <v>-978.42565933920014</v>
      </c>
      <c r="BY23" s="1228">
        <f>'48)Zuhirse HF Biogas ex S(b)'!M28</f>
        <v>-1018.7859795185002</v>
      </c>
      <c r="BZ23" s="1228">
        <f>'48)Zuhirse HF Biogas ex S(b)'!N28</f>
        <v>-1155.7892810686899</v>
      </c>
      <c r="CA23" s="1228">
        <f>'48)Zuhirse HF Biogas ex S(b)'!O28</f>
        <v>-1292.79258261888</v>
      </c>
      <c r="CB23" s="1228">
        <f>'46)GPS+Sudangr Biogas ex S(b)'!M28</f>
        <v>-1503.0130659206684</v>
      </c>
      <c r="CC23" s="1228">
        <f>'46)GPS+Sudangr Biogas ex S(b)'!N28</f>
        <v>-1652.5432377379871</v>
      </c>
      <c r="CD23" s="1228">
        <f>'46)GPS+Sudangr Biogas ex S(b)'!O28</f>
        <v>-1766.670909555306</v>
      </c>
      <c r="CE23" s="1228">
        <f>'48)Zuhirse HF Biogas ex S(b)'!M28</f>
        <v>-1018.7859795185002</v>
      </c>
      <c r="CF23" s="1228">
        <f>'48)Zuhirse HF Biogas ex S(b)'!N28</f>
        <v>-1155.7892810686899</v>
      </c>
      <c r="CG23" s="1228">
        <f>'48)Zuhirse HF Biogas ex S(b)'!O28</f>
        <v>-1292.79258261888</v>
      </c>
      <c r="CH23" s="1228">
        <f>'54)Dw. Silphie Biogas ex S(b)'!M28</f>
        <v>-744.31122224887338</v>
      </c>
      <c r="CI23" s="1228">
        <f>'54)Dw. Silphie Biogas ex S(b)'!N28</f>
        <v>-863.55875874906337</v>
      </c>
      <c r="CJ23" s="1228">
        <f>'54)Dw. Silphie Biogas ex S(b)'!O28</f>
        <v>-982.80629524925348</v>
      </c>
    </row>
    <row r="24" spans="1:88" s="172" customFormat="1" ht="18.2" customHeight="1" x14ac:dyDescent="0.2">
      <c r="A24" s="237"/>
      <c r="B24" s="2239" t="s">
        <v>1348</v>
      </c>
      <c r="C24" s="2557"/>
      <c r="D24" s="2208" t="s">
        <v>266</v>
      </c>
      <c r="E24" s="1231">
        <f>'1)Grünf. 3Nutz.(b)'!M30</f>
        <v>270</v>
      </c>
      <c r="F24" s="1231">
        <f>'2)Grünf. 4Nutz.(b)'!$M30</f>
        <v>270</v>
      </c>
      <c r="G24" s="1228">
        <f>'3)Grünf. 5Nutz.(b)'!M30</f>
        <v>270</v>
      </c>
      <c r="H24" s="1224">
        <f>'4)GS 3Nutz.eig.mech.(b)'!M30</f>
        <v>270</v>
      </c>
      <c r="I24" s="1225">
        <f>'5)GS 4Nutz.eig.mech(b)'!M30</f>
        <v>270</v>
      </c>
      <c r="J24" s="2310">
        <f>'6)GS 5Nutz.eig.mech.(b)'!M30</f>
        <v>270</v>
      </c>
      <c r="K24" s="1225">
        <f>'7)GS3Nutz.Fremdmech(b)'!M30</f>
        <v>270</v>
      </c>
      <c r="L24" s="1225">
        <f>'8)GS4Nutz.Fremdmech(b)'!M30</f>
        <v>270</v>
      </c>
      <c r="M24" s="1225">
        <f>'9)GS 5Nutz.Fremd(b)'!M30</f>
        <v>270</v>
      </c>
      <c r="N24" s="2306">
        <f>'10) GS 3Nutz. Ballensil.(b)'!M30</f>
        <v>270</v>
      </c>
      <c r="O24" s="1224">
        <f>'11)Heu 2Nutz.-(b)'!M30</f>
        <v>270</v>
      </c>
      <c r="P24" s="1225">
        <f>'12)Heu 3Nutz.(b)'!M30</f>
        <v>270</v>
      </c>
      <c r="Q24" s="2252">
        <f>'13)Grascobs 5Nutz.(b)'!M30</f>
        <v>270</v>
      </c>
      <c r="R24" s="2310">
        <f>'14)Weide_ext.(b)'!M30</f>
        <v>270</v>
      </c>
      <c r="S24" s="1227">
        <f>'15)Weide int. 4Nutz.(b)'!M30</f>
        <v>270</v>
      </c>
      <c r="T24" s="1230">
        <f>'17)Kleegras-GrünFu-Eig.mech(b)'!M30</f>
        <v>270</v>
      </c>
      <c r="U24" s="1231">
        <f>'18)Kleegrassi-Fremnernt(b)'!M30</f>
        <v>270</v>
      </c>
      <c r="V24" s="1228">
        <f>'19)LuzerneSil-Fremdernte(b)'!M30</f>
        <v>270</v>
      </c>
      <c r="W24" s="1225">
        <f>'20)Silomais int(b)'!$M29</f>
        <v>270</v>
      </c>
      <c r="X24" s="1225">
        <f>'20)Silomais int(b)'!$N29</f>
        <v>270</v>
      </c>
      <c r="Y24" s="1225">
        <f>'20)Silomais int(b)'!$O29</f>
        <v>270</v>
      </c>
      <c r="Z24" s="1224">
        <f>'21)Futterrüben(b)'!$M29</f>
        <v>270</v>
      </c>
      <c r="AA24" s="2310">
        <f>'21)Futterrüben(b)'!$N29</f>
        <v>270</v>
      </c>
      <c r="AB24" s="2315">
        <f>'21)Futterrüben(b)'!$O29</f>
        <v>270</v>
      </c>
      <c r="AC24" s="1236">
        <f>'22)ZWF-Raps-(b)'!M29</f>
        <v>270</v>
      </c>
      <c r="AD24" s="1237">
        <f>'22)ZWF-Raps-(b)'!N29</f>
        <v>270</v>
      </c>
      <c r="AE24" s="1235">
        <f>'22)ZWF-Raps-(b)'!O29</f>
        <v>270</v>
      </c>
      <c r="AF24" s="2458"/>
      <c r="AG24" s="1225">
        <f>'23)GPS-(b)'!M29</f>
        <v>270</v>
      </c>
      <c r="AH24" s="1225">
        <f>'23)GPS-(b)'!N29</f>
        <v>270</v>
      </c>
      <c r="AI24" s="1226">
        <f>'23)GPS-(b)'!O29</f>
        <v>270</v>
      </c>
      <c r="AJ24" s="1225">
        <f>'24)Mais LKS-(b)'!M29</f>
        <v>270</v>
      </c>
      <c r="AK24" s="1225">
        <f>'24)Mais LKS-(b)'!N29</f>
        <v>270</v>
      </c>
      <c r="AL24" s="1226">
        <f>'24)Mais LKS-(b)'!O29</f>
        <v>270</v>
      </c>
      <c r="AM24" s="1225">
        <f>'25)Mais CCM-(b)'!M29</f>
        <v>270</v>
      </c>
      <c r="AN24" s="1225">
        <f>'25)Mais CCM-(b)'!N29</f>
        <v>270</v>
      </c>
      <c r="AO24" s="1226">
        <f>'25)Mais CCM-(b)'!O29</f>
        <v>270</v>
      </c>
      <c r="AP24" s="1224">
        <f>'26)M(ais feucht-b)'!$M29</f>
        <v>270</v>
      </c>
      <c r="AQ24" s="2310">
        <f>'26)M(ais feucht-b)'!$N29</f>
        <v>270</v>
      </c>
      <c r="AR24" s="2315">
        <f>'26)M(ais feucht-b)'!$O29</f>
        <v>270</v>
      </c>
      <c r="AS24" s="1224">
        <f>'27)Silomais Biogas ab Feld-(b)'!M29</f>
        <v>270</v>
      </c>
      <c r="AT24" s="1225">
        <f>'27)Silomais Biogas ab Feld-(b)'!N29</f>
        <v>270</v>
      </c>
      <c r="AU24" s="1226">
        <f>'27)Silomais Biogas ab Feld-(b)'!O29</f>
        <v>270</v>
      </c>
      <c r="AV24" s="1225">
        <f>'28)Silomais Biogas ex Silo (b)'!M29</f>
        <v>270</v>
      </c>
      <c r="AW24" s="1225">
        <f>'28)Silomais Biogas ex Silo (b)'!N29</f>
        <v>270</v>
      </c>
      <c r="AX24" s="1226">
        <f>'28)Silomais Biogas ex Silo (b)'!O29</f>
        <v>270</v>
      </c>
      <c r="AY24" s="1225">
        <f>'29)Triticale-GPS Biogas Feld(b)'!M29</f>
        <v>270</v>
      </c>
      <c r="AZ24" s="1225">
        <f>'29)Triticale-GPS Biogas Feld(b)'!N29</f>
        <v>270</v>
      </c>
      <c r="BA24" s="1226">
        <f>'29)Triticale-GPS Biogas Feld(b)'!O29</f>
        <v>270</v>
      </c>
      <c r="BB24" s="1225">
        <f>'30)Tritic-GPS Biogas ex Silo(b)'!M29</f>
        <v>270</v>
      </c>
      <c r="BC24" s="1225">
        <f>'30)Tritic-GPS Biogas ex Silo(b)'!N29</f>
        <v>270</v>
      </c>
      <c r="BD24" s="1226">
        <f>'30)Tritic-GPS Biogas ex Silo(b)'!O29</f>
        <v>270</v>
      </c>
      <c r="BE24" s="1226">
        <f>'33)Kleegrassil 4N Biogas aF(b)'!M29</f>
        <v>270</v>
      </c>
      <c r="BF24" s="1226">
        <f>'33)Kleegrassil 4N Biogas aF(b)'!N29</f>
        <v>270</v>
      </c>
      <c r="BG24" s="1226">
        <f>'33)Kleegrassil 4N Biogas aF(b)'!O29</f>
        <v>270</v>
      </c>
      <c r="BH24" s="1226">
        <f>'34)Kleegrassil 4N Biog ex S(b)'!M29</f>
        <v>270</v>
      </c>
      <c r="BI24" s="1226">
        <f>'34)Kleegrassil 4N Biog ex S(b)'!N29</f>
        <v>270</v>
      </c>
      <c r="BJ24" s="1226">
        <f>'34)Kleegrassil 4N Biog ex S(b)'!O29</f>
        <v>270</v>
      </c>
      <c r="BK24" s="2252">
        <f>'36)GS 3Nutz. Biogas Feld-(b)'!M30</f>
        <v>270</v>
      </c>
      <c r="BL24" s="2252">
        <f>'37)GS 3Nutz. Biogas ex Silo (b)'!M30</f>
        <v>270</v>
      </c>
      <c r="BM24" s="1226">
        <f>'40)GrünroggenVFBiogas ex S(b)'!M29</f>
        <v>270</v>
      </c>
      <c r="BN24" s="1226">
        <f>'40)GrünroggenVFBiogas ex S(b)'!N29</f>
        <v>270</v>
      </c>
      <c r="BO24" s="1226">
        <f>'40)GrünroggenVFBiogas ex S(b)'!O29</f>
        <v>270</v>
      </c>
      <c r="BP24" s="1226">
        <f>'42)Grürog.+Silom. Biog ex S(b)'!M29</f>
        <v>270</v>
      </c>
      <c r="BQ24" s="1226">
        <f>'42)Grürog.+Silom. Biog ex S(b)'!N29</f>
        <v>270</v>
      </c>
      <c r="BR24" s="1226">
        <f>'42)Grürog.+Silom. Biog ex S(b)'!O29</f>
        <v>270</v>
      </c>
      <c r="BS24" s="1226">
        <f>'44)Sudangras HF Biogas ex S(b)'!M29</f>
        <v>270</v>
      </c>
      <c r="BT24" s="1226">
        <f>'44)Sudangras HF Biogas ex S(b)'!N29</f>
        <v>270</v>
      </c>
      <c r="BU24" s="1226">
        <f>'44)Sudangras HF Biogas ex S(b)'!O29</f>
        <v>270</v>
      </c>
      <c r="BV24" s="1226">
        <f>'51) GPS Weidelgras Biog aF (b)'!M29</f>
        <v>270</v>
      </c>
      <c r="BW24" s="1226">
        <f>'51) GPS Weidelgras Biog aF (b)'!N29</f>
        <v>270</v>
      </c>
      <c r="BX24" s="1226">
        <f>'51) GPS Weidelgras Biog aF (b)'!O29</f>
        <v>270</v>
      </c>
      <c r="BY24" s="1226">
        <f>'48)Zuhirse HF Biogas ex S(b)'!M29</f>
        <v>270</v>
      </c>
      <c r="BZ24" s="1226">
        <f>'48)Zuhirse HF Biogas ex S(b)'!N29</f>
        <v>270</v>
      </c>
      <c r="CA24" s="1226">
        <f>'48)Zuhirse HF Biogas ex S(b)'!O29</f>
        <v>270</v>
      </c>
      <c r="CB24" s="1226">
        <f>'46)GPS+Sudangr Biogas ex S(b)'!M29</f>
        <v>270</v>
      </c>
      <c r="CC24" s="1226">
        <f>'46)GPS+Sudangr Biogas ex S(b)'!N29</f>
        <v>270</v>
      </c>
      <c r="CD24" s="1226">
        <f>'46)GPS+Sudangr Biogas ex S(b)'!O29</f>
        <v>270</v>
      </c>
      <c r="CE24" s="1226">
        <f>'48)Zuhirse HF Biogas ex S(b)'!M29</f>
        <v>270</v>
      </c>
      <c r="CF24" s="1226">
        <f>'48)Zuhirse HF Biogas ex S(b)'!N29</f>
        <v>270</v>
      </c>
      <c r="CG24" s="1226">
        <f>'48)Zuhirse HF Biogas ex S(b)'!O29</f>
        <v>270</v>
      </c>
      <c r="CH24" s="1226">
        <f>'54)Dw. Silphie Biogas ex S(b)'!M29</f>
        <v>270</v>
      </c>
      <c r="CI24" s="1226">
        <f>'54)Dw. Silphie Biogas ex S(b)'!N29</f>
        <v>270</v>
      </c>
      <c r="CJ24" s="1226">
        <f>'54)Dw. Silphie Biogas ex S(b)'!O29</f>
        <v>270</v>
      </c>
    </row>
    <row r="25" spans="1:88" s="172" customFormat="1" ht="18.2" customHeight="1" x14ac:dyDescent="0.2">
      <c r="A25" s="891"/>
      <c r="B25" s="2461" t="s">
        <v>159</v>
      </c>
      <c r="C25" s="2558"/>
      <c r="D25" s="2462" t="s">
        <v>266</v>
      </c>
      <c r="E25" s="2463">
        <f>'1)Grünf. 3Nutz.(b)'!$M$31</f>
        <v>4.9418606164580829</v>
      </c>
      <c r="F25" s="2464">
        <f>'2)Grünf. 4Nutz.(b)'!$M$31</f>
        <v>6.2719178559649977</v>
      </c>
      <c r="G25" s="2465">
        <f>'3)Grünf. 5Nutz.(b)'!$M$31</f>
        <v>9.7331766883658339</v>
      </c>
      <c r="H25" s="2466">
        <f>'4)GS 3Nutz.eig.mech.(b)'!$M$31</f>
        <v>5.5093786986464455</v>
      </c>
      <c r="I25" s="2467">
        <f>'5)GS 4Nutz.eig.mech(b)'!$M$31</f>
        <v>6.9119733311940346</v>
      </c>
      <c r="J25" s="2464">
        <f>'6)GS 5Nutz.eig.mech.(b)'!$M$31</f>
        <v>9.6736528901356049</v>
      </c>
      <c r="K25" s="2467">
        <f>'7)GS3Nutz.Fremdmech(b)'!$M$31</f>
        <v>6.7290256593305831</v>
      </c>
      <c r="L25" s="2467">
        <f>'8)GS4Nutz.Fremdmech(b)'!$M$31</f>
        <v>8.6581746840149965</v>
      </c>
      <c r="M25" s="2467">
        <f>'9)GS 5Nutz.Fremd(b)'!$M$31</f>
        <v>11.865481221704169</v>
      </c>
      <c r="N25" s="2463">
        <f>'10) GS 3Nutz. Ballensil.(b)'!$M$31</f>
        <v>7.8796890092580814</v>
      </c>
      <c r="O25" s="2466">
        <f>'11)Heu 2Nutz.-(b)'!$M$31</f>
        <v>3.9568788558268668</v>
      </c>
      <c r="P25" s="2467">
        <f>'12)Heu 3Nutz.(b)'!$M$31</f>
        <v>6.4187671224903111</v>
      </c>
      <c r="Q25" s="2468">
        <f>'13)Grascobs 5Nutz.(b)'!$M$31</f>
        <v>23.294945409818052</v>
      </c>
      <c r="R25" s="2464">
        <f>'14)Weide_ext.(b)'!$M$31</f>
        <v>3.9228517851825</v>
      </c>
      <c r="S25" s="2467">
        <f>'15)Weide int. 4Nutz.(b)'!$M$31</f>
        <v>5.9834992851124991</v>
      </c>
      <c r="T25" s="2466">
        <f>'17)Kleegras-GrünFu-Eig.mech(b)'!$M$31</f>
        <v>7.358869447358666</v>
      </c>
      <c r="U25" s="2464">
        <f>'18)Kleegrassi-Fremnernt(b)'!$M$31</f>
        <v>10.499145042221166</v>
      </c>
      <c r="V25" s="2465">
        <f>'19)LuzerneSil-Fremdernte(b)'!$M$31</f>
        <v>8.8678312557628338</v>
      </c>
      <c r="W25" s="2467">
        <f>'20)Silomais int(b)'!$M30</f>
        <v>9.7216657053105457</v>
      </c>
      <c r="X25" s="2464">
        <f>'20)Silomais int(b)'!$N30</f>
        <v>10.818275575551281</v>
      </c>
      <c r="Y25" s="2469">
        <f>'20)Silomais int(b)'!$O30</f>
        <v>11.912497430792024</v>
      </c>
      <c r="Z25" s="2466">
        <f>'21)Futterrüben(b)'!$M30</f>
        <v>13.058307503832649</v>
      </c>
      <c r="AA25" s="2464">
        <f>'21)Futterrüben(b)'!$N30</f>
        <v>14.47656460465859</v>
      </c>
      <c r="AB25" s="2465">
        <f>'21)Futterrüben(b)'!$O30</f>
        <v>15.894821705484526</v>
      </c>
      <c r="AC25" s="2470">
        <f>'22)ZWF-Raps-(b)'!M30</f>
        <v>2.5354514702708335</v>
      </c>
      <c r="AD25" s="2464">
        <f>'22)ZWF-Raps-(b)'!N30</f>
        <v>2.9754925964166663</v>
      </c>
      <c r="AE25" s="2471">
        <f>'22)ZWF-Raps-(b)'!O30</f>
        <v>3.4783967405833329</v>
      </c>
      <c r="AF25" s="2777"/>
      <c r="AG25" s="2467">
        <f>'23)GPS-(b)'!M30</f>
        <v>6.6262756938549918</v>
      </c>
      <c r="AH25" s="2464">
        <f>'23)GPS-(b)'!N30</f>
        <v>7.523785568699159</v>
      </c>
      <c r="AI25" s="2465">
        <f>'23)GPS-(b)'!O30</f>
        <v>8.1988777060433229</v>
      </c>
      <c r="AJ25" s="2467">
        <f>'24)Mais LKS-(b)'!M30</f>
        <v>8.7006561128061701</v>
      </c>
      <c r="AK25" s="2464">
        <f>'24)Mais LKS-(b)'!N30</f>
        <v>9.3254209154507226</v>
      </c>
      <c r="AL25" s="2465">
        <f>'24)Mais LKS-(b)'!O30</f>
        <v>9.950185718095268</v>
      </c>
      <c r="AM25" s="2467">
        <f>'25)Mais CCM-(b)'!M30</f>
        <v>7.8296130866357512</v>
      </c>
      <c r="AN25" s="2464">
        <f>'25)Mais CCM-(b)'!N30</f>
        <v>8.5299852753512919</v>
      </c>
      <c r="AO25" s="2465">
        <f>'25)Mais CCM-(b)'!O30</f>
        <v>9.2303574640668327</v>
      </c>
      <c r="AP25" s="2466">
        <f>'26)M(ais feucht-b)'!$M30</f>
        <v>8.9316308351726725</v>
      </c>
      <c r="AQ25" s="2464">
        <f>'26)M(ais feucht-b)'!$N30</f>
        <v>9.8568121770470825</v>
      </c>
      <c r="AR25" s="2465">
        <f>'26)M(ais feucht-b)'!$O30</f>
        <v>10.796124768921489</v>
      </c>
      <c r="AS25" s="2466">
        <f>'27)Silomais Biogas ab Feld-(b)'!M30</f>
        <v>4.550680082493864</v>
      </c>
      <c r="AT25" s="2464">
        <f>'27)Silomais Biogas ab Feld-(b)'!N30</f>
        <v>4.9201146359029551</v>
      </c>
      <c r="AU25" s="2465">
        <f>'27)Silomais Biogas ab Feld-(b)'!O30</f>
        <v>5.2895491893120461</v>
      </c>
      <c r="AV25" s="2467">
        <f>'28)Silomais Biogas ex Silo (b)'!M30</f>
        <v>7.0270979976494088</v>
      </c>
      <c r="AW25" s="2464">
        <f>'28)Silomais Biogas ex Silo (b)'!N30</f>
        <v>7.7608116445794364</v>
      </c>
      <c r="AX25" s="2465">
        <f>'28)Silomais Biogas ex Silo (b)'!O30</f>
        <v>8.4928479370453616</v>
      </c>
      <c r="AY25" s="2467">
        <f>'29)Triticale-GPS Biogas Feld(b)'!M30</f>
        <v>3.265805161569999</v>
      </c>
      <c r="AZ25" s="2464">
        <f>'29)Triticale-GPS Biogas Feld(b)'!N30</f>
        <v>3.7750006009450003</v>
      </c>
      <c r="BA25" s="2465">
        <f>'29)Triticale-GPS Biogas Feld(b)'!O30</f>
        <v>4.0629304153199994</v>
      </c>
      <c r="BB25" s="2467">
        <f>'30)Tritic-GPS Biogas ex Silo(b)'!M30</f>
        <v>5.4083902199065008</v>
      </c>
      <c r="BC25" s="2464">
        <f>'30)Tritic-GPS Biogas ex Silo(b)'!N30</f>
        <v>6.0530651709487993</v>
      </c>
      <c r="BD25" s="2465">
        <f>'30)Tritic-GPS Biogas ex Silo(b)'!O30</f>
        <v>6.6661307469911018</v>
      </c>
      <c r="BE25" s="2471">
        <f>'33)Kleegrassil 4N Biogas aF(b)'!M30</f>
        <v>2.6343908892949996</v>
      </c>
      <c r="BF25" s="2465">
        <f>'33)Kleegrassil 4N Biogas aF(b)'!N30</f>
        <v>2.4826225330449994</v>
      </c>
      <c r="BG25" s="2465">
        <f>'33)Kleegrassil 4N Biogas aF(b)'!O30</f>
        <v>2.7106205830450012</v>
      </c>
      <c r="BH25" s="2465">
        <f>'34)Kleegrassil 4N Biog ex S(b)'!M30</f>
        <v>5.9478802012057397</v>
      </c>
      <c r="BI25" s="2465">
        <f>'34)Kleegrassil 4N Biog ex S(b)'!N30</f>
        <v>6.1281050744798868</v>
      </c>
      <c r="BJ25" s="2465">
        <f>'34)Kleegrassil 4N Biog ex S(b)'!O30</f>
        <v>6.6880963540040339</v>
      </c>
      <c r="BK25" s="2468">
        <f>'36)GS 3Nutz. Biogas Feld-(b)'!$M$31</f>
        <v>1.2568999269122498</v>
      </c>
      <c r="BL25" s="2468">
        <f>'37)GS 3Nutz. Biogas ex Silo (b)'!$M$31</f>
        <v>3.8798745170628992</v>
      </c>
      <c r="BM25" s="2465">
        <f>'40)GrünroggenVFBiogas ex S(b)'!M30</f>
        <v>4.2832991712330504</v>
      </c>
      <c r="BN25" s="2465">
        <f>'40)GrünroggenVFBiogas ex S(b)'!N30</f>
        <v>4.6297983440876607</v>
      </c>
      <c r="BO25" s="2465">
        <f>'40)GrünroggenVFBiogas ex S(b)'!O30</f>
        <v>4.9762975169422701</v>
      </c>
      <c r="BP25" s="2465">
        <f>'42)Grürog.+Silom. Biog ex S(b)'!M30</f>
        <v>10.016397399224275</v>
      </c>
      <c r="BQ25" s="2465">
        <f>'42)Grürog.+Silom. Biog ex S(b)'!N30</f>
        <v>10.690621171298297</v>
      </c>
      <c r="BR25" s="2465">
        <f>'42)Grürog.+Silom. Biog ex S(b)'!O30</f>
        <v>11.535078610523163</v>
      </c>
      <c r="BS25" s="2465">
        <f>'44)Sudangras HF Biogas ex S(b)'!M30</f>
        <v>6.896109925115625</v>
      </c>
      <c r="BT25" s="2465">
        <f>'44)Sudangras HF Biogas ex S(b)'!N30</f>
        <v>7.8301617007418107</v>
      </c>
      <c r="BU25" s="2465">
        <f>'44)Sudangras HF Biogas ex S(b)'!O30</f>
        <v>8.7642134763679991</v>
      </c>
      <c r="BV25" s="2465">
        <f>'51) GPS Weidelgras Biog aF (b)'!M30</f>
        <v>5.3089142521199992</v>
      </c>
      <c r="BW25" s="2465">
        <f>'51) GPS Weidelgras Biog aF (b)'!N30</f>
        <v>5.7120373114950018</v>
      </c>
      <c r="BX25" s="2465">
        <f>'51) GPS Weidelgras Biog aF (b)'!O30</f>
        <v>6.1151603708700009</v>
      </c>
      <c r="BY25" s="2465">
        <f>'48)Zuhirse HF Biogas ex S(b)'!M30</f>
        <v>6.3674123719906257</v>
      </c>
      <c r="BZ25" s="2465">
        <f>'48)Zuhirse HF Biogas ex S(b)'!N30</f>
        <v>7.2236830066793116</v>
      </c>
      <c r="CA25" s="2465">
        <f>'48)Zuhirse HF Biogas ex S(b)'!O30</f>
        <v>8.0799536413680002</v>
      </c>
      <c r="CB25" s="2465">
        <f>'46)GPS+Sudangr Biogas ex S(b)'!M30</f>
        <v>9.3938316620041782</v>
      </c>
      <c r="CC25" s="2465">
        <f>'46)GPS+Sudangr Biogas ex S(b)'!N30</f>
        <v>10.328395235862418</v>
      </c>
      <c r="CD25" s="2465">
        <f>'46)GPS+Sudangr Biogas ex S(b)'!O30</f>
        <v>11.041693184720664</v>
      </c>
      <c r="CE25" s="2465">
        <f>'48)Zuhirse HF Biogas ex S(b)'!M30</f>
        <v>6.3674123719906257</v>
      </c>
      <c r="CF25" s="2465">
        <f>'48)Zuhirse HF Biogas ex S(b)'!N30</f>
        <v>7.2236830066793116</v>
      </c>
      <c r="CG25" s="2465">
        <f>'48)Zuhirse HF Biogas ex S(b)'!O30</f>
        <v>8.0799536413680002</v>
      </c>
      <c r="CH25" s="2465">
        <f>'54)Dw. Silphie Biogas ex S(b)'!M30</f>
        <v>4.6519451390554583</v>
      </c>
      <c r="CI25" s="2465">
        <f>'54)Dw. Silphie Biogas ex S(b)'!N30</f>
        <v>5.3972422421816448</v>
      </c>
      <c r="CJ25" s="2465">
        <f>'54)Dw. Silphie Biogas ex S(b)'!O30</f>
        <v>6.1425393453078332</v>
      </c>
    </row>
    <row r="26" spans="1:88" s="172" customFormat="1" ht="21.75" customHeight="1" x14ac:dyDescent="0.2">
      <c r="A26" s="1282"/>
      <c r="B26" s="3430" t="s">
        <v>1349</v>
      </c>
      <c r="C26" s="2559"/>
      <c r="D26" s="2460" t="s">
        <v>266</v>
      </c>
      <c r="E26" s="1803">
        <f>'1)Grünf. 3Nutz.(b)'!$M$32</f>
        <v>-525.6395592497513</v>
      </c>
      <c r="F26" s="1797">
        <f>'2)Grünf. 4Nutz.(b)'!$M$32</f>
        <v>-739.77877481036478</v>
      </c>
      <c r="G26" s="1798">
        <f>'3)Grünf. 5Nutz.(b)'!$M$32</f>
        <v>-1297.0414468268993</v>
      </c>
      <c r="H26" s="1804">
        <f>'4)GS 3Nutz.eig.mech.(b)'!$M$32</f>
        <v>-617.00997048207773</v>
      </c>
      <c r="I26" s="1799">
        <f>'5)GS 4Nutz.eig.mech(b)'!$M$32</f>
        <v>-842.82770632223969</v>
      </c>
      <c r="J26" s="1797">
        <f>'6)GS 5Nutz.eig.mech.(b)'!$M$32</f>
        <v>-1287.4581153118324</v>
      </c>
      <c r="K26" s="1799">
        <f>'7)GS3Nutz.Fremdmech(b)'!$M$32</f>
        <v>-813.37313115222378</v>
      </c>
      <c r="L26" s="1799">
        <f>'8)GS4Nutz.Fremdmech(b)'!$M$32</f>
        <v>-1123.9661241264146</v>
      </c>
      <c r="M26" s="1799">
        <f>'9)GS 5Nutz.Fremd(b)'!$M$32</f>
        <v>-1640.3424766943713</v>
      </c>
      <c r="N26" s="1803">
        <f>'10) GS 3Nutz. Ballensil.(b)'!$M$32</f>
        <v>-998.62993049055126</v>
      </c>
      <c r="O26" s="1804">
        <f>'11)Heu 2Nutz.-(b)'!$M$32</f>
        <v>-367.05749578812561</v>
      </c>
      <c r="P26" s="1799">
        <f>'12)Heu 3Nutz.(b)'!$M$32</f>
        <v>-763.4215067209401</v>
      </c>
      <c r="Q26" s="2327">
        <f>'13)Grascobs 5Nutz.(b)'!$M$32</f>
        <v>-3480.4862109807063</v>
      </c>
      <c r="R26" s="1797">
        <f>'14)Weide_ext.(b)'!$M$32</f>
        <v>-361.57913741438244</v>
      </c>
      <c r="S26" s="1799">
        <f>'15)Weide int. 4Nutz.(b)'!$M$32</f>
        <v>-693.34338490311234</v>
      </c>
      <c r="T26" s="1804">
        <f>'17)Kleegras-GrünFu-Eig.mech(b)'!$M$32</f>
        <v>-914.77798102474515</v>
      </c>
      <c r="U26" s="1797">
        <f>'18)Kleegrassi-Fremnernt(b)'!$M$32</f>
        <v>-1420.3623517976077</v>
      </c>
      <c r="V26" s="1798">
        <f>'19)LuzerneSil-Fremdernte(b)'!$M$32</f>
        <v>-1157.7208321778162</v>
      </c>
      <c r="W26" s="1799">
        <f>'20)Silomais int(b)'!$M31</f>
        <v>-1295.1881785549976</v>
      </c>
      <c r="X26" s="1797">
        <f>'20)Silomais int(b)'!$N31</f>
        <v>-1471.7423676637566</v>
      </c>
      <c r="Y26" s="1801">
        <f>'20)Silomais int(b)'!$O31</f>
        <v>-1647.9120863575158</v>
      </c>
      <c r="Z26" s="1804">
        <f>'21)Futterrüben(b)'!$M31</f>
        <v>-1832.3875081170568</v>
      </c>
      <c r="AA26" s="1797">
        <f>'21)Futterrüben(b)'!$N31</f>
        <v>-2060.7269013500327</v>
      </c>
      <c r="AB26" s="1798">
        <f>'21)Futterrüben(b)'!$O31</f>
        <v>-2289.0662945830086</v>
      </c>
      <c r="AC26" s="1802">
        <f>'22)ZWF-Raps-(b)'!M31</f>
        <v>-138.2076867136042</v>
      </c>
      <c r="AD26" s="1797">
        <f>'22)ZWF-Raps-(b)'!N31</f>
        <v>-209.05430802308334</v>
      </c>
      <c r="AE26" s="1800">
        <f>'22)ZWF-Raps-(b)'!O31</f>
        <v>-290.0218752339166</v>
      </c>
      <c r="AF26" s="2780"/>
      <c r="AG26" s="1799">
        <f>'23)GPS-(b)'!M31</f>
        <v>-796.83038671065378</v>
      </c>
      <c r="AH26" s="1797">
        <f>'23)GPS-(b)'!N31</f>
        <v>-941.32947656056444</v>
      </c>
      <c r="AI26" s="1798">
        <f>'23)GPS-(b)'!O31</f>
        <v>-1050.0193106729751</v>
      </c>
      <c r="AJ26" s="1799">
        <f>'24)Mais LKS-(b)'!M31</f>
        <v>-1130.8056341617935</v>
      </c>
      <c r="AK26" s="1797">
        <f>'24)Mais LKS-(b)'!N31</f>
        <v>-1231.392767387566</v>
      </c>
      <c r="AL26" s="1798">
        <f>'24)Mais LKS-(b)'!O31</f>
        <v>-1331.9799006133385</v>
      </c>
      <c r="AM26" s="1799">
        <f>'25)Mais CCM-(b)'!M31</f>
        <v>-990.56770694835575</v>
      </c>
      <c r="AN26" s="1797">
        <f>'25)Mais CCM-(b)'!N31</f>
        <v>-1103.3276293315578</v>
      </c>
      <c r="AO26" s="1798">
        <f>'25)Mais CCM-(b)'!O31</f>
        <v>-1216.0875517147601</v>
      </c>
      <c r="AP26" s="1804">
        <f>'26)M(ais feucht-b)'!$M31</f>
        <v>-1167.9925644628006</v>
      </c>
      <c r="AQ26" s="1797">
        <f>'26)M(ais feucht-b)'!$N31</f>
        <v>-1316.9467605045802</v>
      </c>
      <c r="AR26" s="1798">
        <f>'26)M(ais feucht-b)'!$O31</f>
        <v>-1468.17608779636</v>
      </c>
      <c r="AS26" s="1804">
        <f>'27)Silomais Biogas ab Feld-(b)'!M31</f>
        <v>-462.65949328151203</v>
      </c>
      <c r="AT26" s="1797">
        <f>'27)Silomais Biogas ab Feld-(b)'!N31</f>
        <v>-522.1384563803756</v>
      </c>
      <c r="AU26" s="1798">
        <f>'27)Silomais Biogas ab Feld-(b)'!O31</f>
        <v>-581.61741947923929</v>
      </c>
      <c r="AV26" s="1799">
        <f>'28)Silomais Biogas ex Silo (b)'!M31</f>
        <v>-861.36277762155487</v>
      </c>
      <c r="AW26" s="1797">
        <f>'28)Silomais Biogas ex Silo (b)'!N31</f>
        <v>-979.49067477728931</v>
      </c>
      <c r="AX26" s="1798">
        <f>'28)Silomais Biogas ex Silo (b)'!O31</f>
        <v>-1097.3485178643034</v>
      </c>
      <c r="AY26" s="1799">
        <f>'29)Triticale-GPS Biogas Feld(b)'!M31</f>
        <v>-255.79463101276994</v>
      </c>
      <c r="AZ26" s="1797">
        <f>'29)Triticale-GPS Biogas Feld(b)'!N31</f>
        <v>-337.77509675214509</v>
      </c>
      <c r="BA26" s="1798">
        <f>'29)Triticale-GPS Biogas Feld(b)'!O31</f>
        <v>-384.13179686651995</v>
      </c>
      <c r="BB26" s="1799">
        <f>'30)Tritic-GPS Biogas ex Silo(b)'!M31</f>
        <v>-600.75082540494657</v>
      </c>
      <c r="BC26" s="1797">
        <f>'30)Tritic-GPS Biogas ex Silo(b)'!N31</f>
        <v>-704.54349252275688</v>
      </c>
      <c r="BD26" s="1798">
        <f>'30)Tritic-GPS Biogas ex Silo(b)'!O31</f>
        <v>-803.24705026556728</v>
      </c>
      <c r="BE26" s="1800">
        <f>'33)Kleegrassil 4N Biogas aF(b)'!M31</f>
        <v>-154.13693317649495</v>
      </c>
      <c r="BF26" s="1798">
        <f>'33)Kleegrassil 4N Biogas aF(b)'!N31</f>
        <v>-129.70222782024496</v>
      </c>
      <c r="BG26" s="1798">
        <f>'33)Kleegrassil 4N Biogas aF(b)'!O31</f>
        <v>-166.40991387024513</v>
      </c>
      <c r="BH26" s="1798">
        <f>'34)Kleegrassil 4N Biog ex S(b)'!M31</f>
        <v>-687.60871239412393</v>
      </c>
      <c r="BI26" s="1798">
        <f>'34)Kleegrassil 4N Biog ex S(b)'!N31</f>
        <v>-716.62491699126167</v>
      </c>
      <c r="BJ26" s="1798">
        <f>'34)Kleegrassil 4N Biog ex S(b)'!O31</f>
        <v>-806.78351299464953</v>
      </c>
      <c r="BK26" s="2327">
        <f>'36)GS 3Nutz. Biogas Feld-(b)'!$M$32</f>
        <v>67.639111767127773</v>
      </c>
      <c r="BL26" s="2327">
        <f>'37)GS 3Nutz. Biogas ex Silo (b)'!$M$32</f>
        <v>-354.65979724712673</v>
      </c>
      <c r="BM26" s="1798">
        <f>'40)GrünroggenVFBiogas ex S(b)'!M31</f>
        <v>-419.61116656852113</v>
      </c>
      <c r="BN26" s="1798">
        <f>'40)GrünroggenVFBiogas ex S(b)'!N31</f>
        <v>-475.39753339811335</v>
      </c>
      <c r="BO26" s="1798">
        <f>'40)GrünroggenVFBiogas ex S(b)'!O31</f>
        <v>-531.18390022770552</v>
      </c>
      <c r="BP26" s="1798">
        <f>'42)Grürog.+Silom. Biog ex S(b)'!M31</f>
        <v>-1342.6399812751083</v>
      </c>
      <c r="BQ26" s="1798">
        <f>'42)Grürog.+Silom. Biog ex S(b)'!N31</f>
        <v>-1451.190008579026</v>
      </c>
      <c r="BR26" s="1798">
        <f>'42)Grürog.+Silom. Biog ex S(b)'!O31</f>
        <v>-1587.1476562942289</v>
      </c>
      <c r="BS26" s="1798">
        <f>'44)Sudangras HF Biogas ex S(b)'!M31</f>
        <v>-840.27369794361573</v>
      </c>
      <c r="BT26" s="1798">
        <f>'44)Sudangras HF Biogas ex S(b)'!N31</f>
        <v>-990.65603381943163</v>
      </c>
      <c r="BU26" s="1798">
        <f>'44)Sudangras HF Biogas ex S(b)'!O31</f>
        <v>-1141.0383696952481</v>
      </c>
      <c r="BV26" s="1798">
        <f>'51) GPS Weidelgras Biog aF (b)'!M31</f>
        <v>-584.7351945913199</v>
      </c>
      <c r="BW26" s="1798">
        <f>'51) GPS Weidelgras Biog aF (b)'!N31</f>
        <v>-649.63800715069522</v>
      </c>
      <c r="BX26" s="1798">
        <f>'51) GPS Weidelgras Biog aF (b)'!O31</f>
        <v>-714.54081971007008</v>
      </c>
      <c r="BY26" s="1798">
        <f>'48)Zuhirse HF Biogas ex S(b)'!M31</f>
        <v>-755.15339189049087</v>
      </c>
      <c r="BZ26" s="1798">
        <f>'48)Zuhirse HF Biogas ex S(b)'!N31</f>
        <v>-893.01296407536915</v>
      </c>
      <c r="CA26" s="1798">
        <f>'48)Zuhirse HF Biogas ex S(b)'!O31</f>
        <v>-1030.8725362602481</v>
      </c>
      <c r="CB26" s="1798">
        <f>'46)GPS+Sudangr Biogas ex S(b)'!M31</f>
        <v>-1242.4068975826726</v>
      </c>
      <c r="CC26" s="1798">
        <f>'46)GPS+Sudangr Biogas ex S(b)'!N31</f>
        <v>-1392.8716329738495</v>
      </c>
      <c r="CD26" s="1798">
        <f>'46)GPS+Sudangr Biogas ex S(b)'!O31</f>
        <v>-1507.7126027400268</v>
      </c>
      <c r="CE26" s="1798">
        <f>'48)Zuhirse HF Biogas ex S(b)'!M31</f>
        <v>-755.15339189049087</v>
      </c>
      <c r="CF26" s="1798">
        <f>'48)Zuhirse HF Biogas ex S(b)'!N31</f>
        <v>-893.01296407536915</v>
      </c>
      <c r="CG26" s="1798">
        <f>'48)Zuhirse HF Biogas ex S(b)'!O31</f>
        <v>-1030.8725362602481</v>
      </c>
      <c r="CH26" s="1798">
        <f>'54)Dw. Silphie Biogas ex S(b)'!M31</f>
        <v>-478.96316738792882</v>
      </c>
      <c r="CI26" s="1798">
        <f>'54)Dw. Silphie Biogas ex S(b)'!N31</f>
        <v>-598.95600099124499</v>
      </c>
      <c r="CJ26" s="1798">
        <f>'54)Dw. Silphie Biogas ex S(b)'!O31</f>
        <v>-718.94883459456128</v>
      </c>
    </row>
    <row r="27" spans="1:88" s="172" customFormat="1" ht="17.100000000000001" customHeight="1" x14ac:dyDescent="0.2">
      <c r="A27" s="1291"/>
      <c r="B27" s="2240"/>
      <c r="C27" s="2560"/>
      <c r="D27" s="2204" t="s">
        <v>584</v>
      </c>
      <c r="E27" s="1285">
        <f>'1)Grünf. 3Nutz.(b)'!$M$33</f>
        <v>-0.12194045161658722</v>
      </c>
      <c r="F27" s="1284">
        <f>'2)Grünf. 4Nutz.(b)'!$M$33</f>
        <v>-0.14149441261022694</v>
      </c>
      <c r="G27" s="1289">
        <f>'3)Grünf. 5Nutz.(b)'!$M$33</f>
        <v>-0.17645321953261109</v>
      </c>
      <c r="H27" s="1286">
        <f>'4)GS 3Nutz.eig.mech.(b)'!$M$33</f>
        <v>-0.16480709980773778</v>
      </c>
      <c r="I27" s="1283">
        <f>'5)GS 4Nutz.eig.mech(b)'!$M$33</f>
        <v>-0.17333779955992193</v>
      </c>
      <c r="J27" s="1284">
        <f>'6)GS 5Nutz.eig.mech.(b)'!$M$33</f>
        <v>-0.19365113689126531</v>
      </c>
      <c r="K27" s="1283">
        <f>'7)GS3Nutz.Fremdmech(b)'!$M$33</f>
        <v>-0.21725688922336545</v>
      </c>
      <c r="L27" s="1283">
        <f>'8)GS4Nutz.Fremdmech(b)'!$M$33</f>
        <v>-0.23115734482212039</v>
      </c>
      <c r="M27" s="1283">
        <f>'9)GS 5Nutz.Fremd(b)'!$M$33</f>
        <v>-0.24672972403918594</v>
      </c>
      <c r="N27" s="1285">
        <f>'10) GS 3Nutz. Ballensil.(b)'!$M$33</f>
        <v>-0.25762078253012771</v>
      </c>
      <c r="O27" s="1286">
        <f>'11)Heu 2Nutz.-(b)'!$M$33</f>
        <v>-0.14310233753923027</v>
      </c>
      <c r="P27" s="1283">
        <f>'12)Heu 3Nutz.(b)'!$M$33</f>
        <v>-0.19012843250159223</v>
      </c>
      <c r="Q27" s="2253">
        <f>'13)Grascobs 5Nutz.(b)'!$M$33</f>
        <v>-0.44953002402075637</v>
      </c>
      <c r="R27" s="1284">
        <f>'14)Weide_ext.(b)'!$M$33</f>
        <v>-0.13898337077736103</v>
      </c>
      <c r="S27" s="1283">
        <f>'15)Weide int. 4Nutz.(b)'!$M$33</f>
        <v>-0.15556977762141275</v>
      </c>
      <c r="T27" s="1286">
        <f>'17)Kleegras-GrünFu-Eig.mech(b)'!$M$33</f>
        <v>-0.14119123028627029</v>
      </c>
      <c r="U27" s="1284">
        <f>'18)Kleegrassi-Fremnernt(b)'!$M$33</f>
        <v>-0.23572640006466014</v>
      </c>
      <c r="V27" s="1289">
        <f>'19)LuzerneSil-Fremdernte(b)'!$M$33</f>
        <v>-0.20538873286068629</v>
      </c>
      <c r="W27" s="1283">
        <f>'20)Silomais int(b)'!$M32</f>
        <v>-0.17835635497466162</v>
      </c>
      <c r="X27" s="1284">
        <f>'20)Silomais int(b)'!$N32</f>
        <v>-0.16518483486635943</v>
      </c>
      <c r="Y27" s="1287">
        <f>'20)Silomais int(b)'!$O32</f>
        <v>-0.15775803970942592</v>
      </c>
      <c r="Z27" s="1286">
        <f>'21)Futterrüben(b)'!$M32</f>
        <v>-0.26935190000177228</v>
      </c>
      <c r="AA27" s="1284">
        <f>'21)Futterrüben(b)'!$N32</f>
        <v>-0.25631409806775407</v>
      </c>
      <c r="AB27" s="1289">
        <f>'21)Futterrüben(b)'!$O32</f>
        <v>-0.24675304331614073</v>
      </c>
      <c r="AC27" s="1290">
        <f>'22)ZWF-Raps-(b)'!M32</f>
        <v>-9.2369381262225034E-2</v>
      </c>
      <c r="AD27" s="1284">
        <f>'22)ZWF-Raps-(b)'!N32</f>
        <v>-0.1091553404464721</v>
      </c>
      <c r="AE27" s="1288">
        <f>'22)ZWF-Raps-(b)'!O32</f>
        <v>-0.12114531129236282</v>
      </c>
      <c r="AF27" s="2459"/>
      <c r="AG27" s="1283">
        <f>'23)GPS-(b)'!M32</f>
        <v>-0.16396294239512033</v>
      </c>
      <c r="AH27" s="1284">
        <f>'23)GPS-(b)'!N32</f>
        <v>-0.16321146632762543</v>
      </c>
      <c r="AI27" s="1289">
        <f>'23)GPS-(b)'!O32</f>
        <v>-0.15929947609231537</v>
      </c>
      <c r="AJ27" s="1283">
        <f>'24)Mais LKS-(b)'!M32</f>
        <v>-0.16413702705051145</v>
      </c>
      <c r="AK27" s="1284">
        <f>'24)Mais LKS-(b)'!N32</f>
        <v>-0.15542374074192944</v>
      </c>
      <c r="AL27" s="1289">
        <f>'24)Mais LKS-(b)'!O32</f>
        <v>-0.14872121281225095</v>
      </c>
      <c r="AM27" s="1283">
        <f>'25)Mais CCM-(b)'!M32</f>
        <v>-0.14595096013819905</v>
      </c>
      <c r="AN27" s="1284">
        <f>'25)Mais CCM-(b)'!N32</f>
        <v>-0.13934150434432743</v>
      </c>
      <c r="AO27" s="1289">
        <f>'25)Mais CCM-(b)'!O32</f>
        <v>-0.13438441249892369</v>
      </c>
      <c r="AP27" s="1286">
        <f>'26)M(ais feucht-b)'!$M32</f>
        <v>-0.18234840076668007</v>
      </c>
      <c r="AQ27" s="1284">
        <f>'26)M(ais feucht-b)'!$N32</f>
        <v>-0.17313962829410215</v>
      </c>
      <c r="AR27" s="1289">
        <f>'26)M(ais feucht-b)'!$O32</f>
        <v>-0.1667006637474493</v>
      </c>
      <c r="AS27" s="1286">
        <f>'27)Silomais Biogas ab Feld-(b)'!M32</f>
        <v>-0.12941379488943117</v>
      </c>
      <c r="AT27" s="1284">
        <f>'27)Silomais Biogas ab Feld-(b)'!N32</f>
        <v>-0.11684086474677219</v>
      </c>
      <c r="AU27" s="1289">
        <f>'27)Silomais Biogas ab Feld-(b)'!O32</f>
        <v>-0.10845891131833289</v>
      </c>
      <c r="AV27" s="1283">
        <f>'28)Silomais Biogas ex Silo (b)'!M32</f>
        <v>-0.24093794128780513</v>
      </c>
      <c r="AW27" s="1284">
        <f>'28)Silomais Biogas ex Silo (b)'!N32</f>
        <v>-0.21918427201425197</v>
      </c>
      <c r="AX27" s="1289">
        <f>'28)Silomais Biogas ex Silo (b)'!O32</f>
        <v>-0.20463146666224777</v>
      </c>
      <c r="AY27" s="1283">
        <f>'29)Triticale-GPS Biogas Feld(b)'!M32</f>
        <v>-9.1584185826269218E-2</v>
      </c>
      <c r="AZ27" s="1284">
        <f>'29)Triticale-GPS Biogas Feld(b)'!N32</f>
        <v>-0.10078025323789984</v>
      </c>
      <c r="BA27" s="1289">
        <f>'29)Triticale-GPS Biogas Feld(b)'!O32</f>
        <v>-9.8238401326407834E-2</v>
      </c>
      <c r="BB27" s="1283">
        <f>'30)Tritic-GPS Biogas ex Silo(b)'!M32</f>
        <v>-0.21509159520406251</v>
      </c>
      <c r="BC27" s="1284">
        <f>'30)Tritic-GPS Biogas ex Silo(b)'!N32</f>
        <v>-0.21021109097826618</v>
      </c>
      <c r="BD27" s="1289">
        <f>'30)Tritic-GPS Biogas ex Silo(b)'!O32</f>
        <v>-0.2054235206039505</v>
      </c>
      <c r="BE27" s="1288">
        <f>'33)Kleegrassil 4N Biogas aF(b)'!M32</f>
        <v>-6.6843572423548339E-2</v>
      </c>
      <c r="BF27" s="1289">
        <f>'33)Kleegrassil 4N Biogas aF(b)'!N32</f>
        <v>-4.6020379837332974E-2</v>
      </c>
      <c r="BG27" s="1289">
        <f>'33)Kleegrassil 4N Biogas aF(b)'!O32</f>
        <v>-4.9961019477405583E-2</v>
      </c>
      <c r="BH27" s="1289">
        <f>'34)Kleegrassil 4N Biog ex S(b)'!M32</f>
        <v>-0.26837176293118048</v>
      </c>
      <c r="BI27" s="1289">
        <f>'34)Kleegrassil 4N Biog ex S(b)'!N32</f>
        <v>-0.23308058889060024</v>
      </c>
      <c r="BJ27" s="1289">
        <f>'34)Kleegrassil 4N Biog ex S(b)'!O32</f>
        <v>-0.22491811090424882</v>
      </c>
      <c r="BK27" s="2253">
        <f>'36)GS 3Nutz. Biogas Feld-(b)'!$M$33</f>
        <v>3.5199142265741806E-2</v>
      </c>
      <c r="BL27" s="2253">
        <f>'37)GS 3Nutz. Biogas ex Silo (b)'!$M$33</f>
        <v>-0.18456363978019852</v>
      </c>
      <c r="BM27" s="1289">
        <f>'40)GrünroggenVFBiogas ex S(b)'!M32</f>
        <v>-0.32754613630624374</v>
      </c>
      <c r="BN27" s="1289">
        <f>'40)GrünroggenVFBiogas ex S(b)'!N32</f>
        <v>-0.3092438859279078</v>
      </c>
      <c r="BO27" s="1289">
        <f>'40)GrünroggenVFBiogas ex S(b)'!O32</f>
        <v>-0.29617084994338211</v>
      </c>
      <c r="BP27" s="1289">
        <f>'42)Grürog.+Silom. Biog ex S(b)'!M32</f>
        <v>-0.30077060512435222</v>
      </c>
      <c r="BQ27" s="1289">
        <f>'42)Grürog.+Silom. Biog ex S(b)'!N32</f>
        <v>-0.28816608754634693</v>
      </c>
      <c r="BR27" s="1289">
        <f>'42)Grürog.+Silom. Biog ex S(b)'!O32</f>
        <v>-0.27218666397321756</v>
      </c>
      <c r="BS27" s="1289">
        <f>'44)Sudangras HF Biogas ex S(b)'!M32</f>
        <v>-0.33966921252470522</v>
      </c>
      <c r="BT27" s="1289">
        <f>'44)Sudangras HF Biogas ex S(b)'!N32</f>
        <v>-0.30804555862964844</v>
      </c>
      <c r="BU27" s="1289">
        <f>'44)Sudangras HF Biogas ex S(b)'!O32</f>
        <v>-0.28828077494523807</v>
      </c>
      <c r="BV27" s="1289">
        <f>'51) GPS Weidelgras Biog aF (b)'!M32</f>
        <v>-0.19610059136559388</v>
      </c>
      <c r="BW27" s="1289">
        <f>'51) GPS Weidelgras Biog aF (b)'!N32</f>
        <v>-0.18155568331640995</v>
      </c>
      <c r="BX27" s="1289">
        <f>'51) GPS Weidelgras Biog aF (b)'!O32</f>
        <v>-0.17116646328127846</v>
      </c>
      <c r="BY27" s="1289">
        <f>'48)Zuhirse HF Biogas ex S(b)'!M32</f>
        <v>-0.30526048665635497</v>
      </c>
      <c r="BZ27" s="1289">
        <f>'48)Zuhirse HF Biogas ex S(b)'!N32</f>
        <v>-0.27768334113054632</v>
      </c>
      <c r="CA27" s="1289">
        <f>'48)Zuhirse HF Biogas ex S(b)'!O32</f>
        <v>-0.26044762517691611</v>
      </c>
      <c r="CB27" s="1289">
        <f>'46)GPS+Sudangr Biogas ex S(b)'!M32</f>
        <v>-0.26939330414401808</v>
      </c>
      <c r="CC27" s="1289">
        <f>'46)GPS+Sudangr Biogas ex S(b)'!N32</f>
        <v>-0.27181695704268871</v>
      </c>
      <c r="CD27" s="1289">
        <f>'46)GPS+Sudangr Biogas ex S(b)'!O32</f>
        <v>-0.26748001105960845</v>
      </c>
      <c r="CE27" s="1289">
        <f>'48)Zuhirse HF Biogas ex S(b)'!M32</f>
        <v>-0.30526048665635497</v>
      </c>
      <c r="CF27" s="1289">
        <f>'48)Zuhirse HF Biogas ex S(b)'!N32</f>
        <v>-0.27768334113054632</v>
      </c>
      <c r="CG27" s="1289">
        <f>'48)Zuhirse HF Biogas ex S(b)'!O32</f>
        <v>-0.26044762517691611</v>
      </c>
      <c r="CH27" s="1289">
        <f>'54)Dw. Silphie Biogas ex S(b)'!M32</f>
        <v>-0.2427403732042312</v>
      </c>
      <c r="CI27" s="1289">
        <f>'54)Dw. Silphie Biogas ex S(b)'!N32</f>
        <v>-0.23350246325818144</v>
      </c>
      <c r="CJ27" s="1289">
        <f>'54)Dw. Silphie Biogas ex S(b)'!O32</f>
        <v>-0.22772876954190038</v>
      </c>
    </row>
    <row r="28" spans="1:88" s="172" customFormat="1" ht="17.100000000000001" customHeight="1" thickBot="1" x14ac:dyDescent="0.25">
      <c r="A28" s="894"/>
      <c r="B28" s="2289"/>
      <c r="C28" s="2151"/>
      <c r="D28" s="2890" t="s">
        <v>711</v>
      </c>
      <c r="E28" s="2291">
        <f>'1)Grünf. 3Nutz.(b)'!$M$34</f>
        <v>-7.316427096995233E-2</v>
      </c>
      <c r="F28" s="2290">
        <f>'2)Grünf. 4Nutz.(b)'!$M$34</f>
        <v>-8.4896647566136171E-2</v>
      </c>
      <c r="G28" s="2295">
        <f>'3)Grünf. 5Nutz.(b)'!$M$34</f>
        <v>-0.10587193171956664</v>
      </c>
      <c r="H28" s="2292">
        <f>'4)GS 3Nutz.eig.mech.(b)'!$M$34</f>
        <v>-9.8884259884642681E-2</v>
      </c>
      <c r="I28" s="2296">
        <f>'5)GS 4Nutz.eig.mech(b)'!$M$34</f>
        <v>-0.10400267973595313</v>
      </c>
      <c r="J28" s="2290">
        <f>'6)GS 5Nutz.eig.mech.(b)'!$M$34</f>
        <v>-0.11619068213475918</v>
      </c>
      <c r="K28" s="2296">
        <f>'7)GS3Nutz.Fremdmech(b)'!$M$34</f>
        <v>-0.13035413353401926</v>
      </c>
      <c r="L28" s="2296">
        <f>'8)GS4Nutz.Fremdmech(b)'!$M$34</f>
        <v>-0.1386944068932722</v>
      </c>
      <c r="M28" s="2296">
        <f>'9)GS 5Nutz.Fremd(b)'!$M$34</f>
        <v>-0.14803783442351157</v>
      </c>
      <c r="N28" s="2291">
        <f>'10) GS 3Nutz. Ballensil.(b)'!$M$34</f>
        <v>-0.1545724695180766</v>
      </c>
      <c r="O28" s="2292">
        <f>'11)Heu 2Nutz.-(b)'!$M$34</f>
        <v>-8.5861402523538147E-2</v>
      </c>
      <c r="P28" s="2296">
        <f>'12)Heu 3Nutz.(b)'!$M$34</f>
        <v>-0.11407705950095531</v>
      </c>
      <c r="Q28" s="2294">
        <f>'13)Grascobs 5Nutz.(b)'!$M$34</f>
        <v>-0.2697180144124538</v>
      </c>
      <c r="R28" s="2290">
        <f>'14)Weide_ext.(b)'!$M$34</f>
        <v>-8.3390022466416622E-2</v>
      </c>
      <c r="S28" s="2296">
        <f>'15)Weide int. 4Nutz.(b)'!$M$34</f>
        <v>-9.3341866572847654E-2</v>
      </c>
      <c r="T28" s="2292">
        <f>'17)Kleegras-GrünFu-Eig.mech(b)'!$M$34</f>
        <v>-8.4714738171762158E-2</v>
      </c>
      <c r="U28" s="2290">
        <f>'18)Kleegrassi-Fremnernt(b)'!$M$34</f>
        <v>-0.14143584003879608</v>
      </c>
      <c r="V28" s="2295">
        <f>'19)LuzerneSil-Fremdernte(b)'!$M$34</f>
        <v>-0.12323323971641179</v>
      </c>
      <c r="W28" s="2296">
        <f>'20)Silomais int(b)'!$M33</f>
        <v>-0.10701381298479697</v>
      </c>
      <c r="X28" s="2290">
        <f>'20)Silomais int(b)'!$N33</f>
        <v>-9.9110900919815656E-2</v>
      </c>
      <c r="Y28" s="2293">
        <f>'20)Silomais int(b)'!$O33</f>
        <v>-9.4654823825655571E-2</v>
      </c>
      <c r="Z28" s="2292">
        <f>'21)Futterrüben(b)'!$M33</f>
        <v>-0.16161114000106336</v>
      </c>
      <c r="AA28" s="2290">
        <f>'21)Futterrüben(b)'!$N33</f>
        <v>-0.15378845884065243</v>
      </c>
      <c r="AB28" s="2295">
        <f>'21)Futterrüben(b)'!$O33</f>
        <v>-0.14805182598968442</v>
      </c>
      <c r="AC28" s="2298">
        <f>'22)ZWF-Raps-(b)'!M33</f>
        <v>-5.5421628757335022E-2</v>
      </c>
      <c r="AD28" s="2290">
        <f>'22)ZWF-Raps-(b)'!N33</f>
        <v>-6.5493204267883257E-2</v>
      </c>
      <c r="AE28" s="2297">
        <f>'22)ZWF-Raps-(b)'!O33</f>
        <v>-7.2687186775417689E-2</v>
      </c>
      <c r="AF28" s="2459"/>
      <c r="AG28" s="2296">
        <f>'23)GPS-(b)'!M33</f>
        <v>-9.8377765437072204E-2</v>
      </c>
      <c r="AH28" s="2290">
        <f>'23)GPS-(b)'!N33</f>
        <v>-9.7926879796575259E-2</v>
      </c>
      <c r="AI28" s="2295">
        <f>'23)GPS-(b)'!O33</f>
        <v>-9.5579685655389227E-2</v>
      </c>
      <c r="AJ28" s="2296">
        <f>'24)Mais LKS-(b)'!M33</f>
        <v>-9.8482216230306854E-2</v>
      </c>
      <c r="AK28" s="2290">
        <f>'24)Mais LKS-(b)'!N33</f>
        <v>-9.3254244445157661E-2</v>
      </c>
      <c r="AL28" s="2295">
        <f>'24)Mais LKS-(b)'!O33</f>
        <v>-8.9232727687350591E-2</v>
      </c>
      <c r="AM28" s="2296">
        <f>'25)Mais CCM-(b)'!M33</f>
        <v>-8.7570576082919432E-2</v>
      </c>
      <c r="AN28" s="2290">
        <f>'25)Mais CCM-(b)'!N33</f>
        <v>-8.3604902606596448E-2</v>
      </c>
      <c r="AO28" s="2295">
        <f>'25)Mais CCM-(b)'!O33</f>
        <v>-8.063064749935421E-2</v>
      </c>
      <c r="AP28" s="2292">
        <f>'26)M(ais feucht-b)'!$M33</f>
        <v>-0.10940904046000803</v>
      </c>
      <c r="AQ28" s="2290">
        <f>'26)M(ais feucht-b)'!$N33</f>
        <v>-0.1038837769764613</v>
      </c>
      <c r="AR28" s="2295">
        <f>'26)M(ais feucht-b)'!$O33</f>
        <v>-0.10002039824846955</v>
      </c>
      <c r="AS28" s="2292">
        <f>'27)Silomais Biogas ab Feld-(b)'!M33</f>
        <v>-3.5948276358175328</v>
      </c>
      <c r="AT28" s="2290">
        <f>'27)Silomais Biogas ab Feld-(b)'!N33</f>
        <v>-3.2455795762992277</v>
      </c>
      <c r="AU28" s="2295">
        <f>'27)Silomais Biogas ab Feld-(b)'!O33</f>
        <v>-3.0127475366203584</v>
      </c>
      <c r="AV28" s="2296">
        <f>'28)Silomais Biogas ex Silo (b)'!M33</f>
        <v>-6.6927205913279213</v>
      </c>
      <c r="AW28" s="2290">
        <f>'28)Silomais Biogas ex Silo (b)'!N33</f>
        <v>-6.0884520003958889</v>
      </c>
      <c r="AX28" s="2295">
        <f>'28)Silomais Biogas ex Silo (b)'!O33</f>
        <v>-5.6842074072846609</v>
      </c>
      <c r="AY28" s="2296">
        <f>'29)Triticale-GPS Biogas Feld(b)'!M33</f>
        <v>-2.5440051618408126</v>
      </c>
      <c r="AZ28" s="2290">
        <f>'29)Triticale-GPS Biogas Feld(b)'!N33</f>
        <v>-2.7994514788305511</v>
      </c>
      <c r="BA28" s="2295">
        <f>'29)Triticale-GPS Biogas Feld(b)'!O33</f>
        <v>-2.7288444812891073</v>
      </c>
      <c r="BB28" s="2296">
        <f>'30)Tritic-GPS Biogas ex Silo(b)'!M33</f>
        <v>-5.9747665334461821</v>
      </c>
      <c r="BC28" s="2290">
        <f>'30)Tritic-GPS Biogas ex Silo(b)'!N33</f>
        <v>-5.839196971618505</v>
      </c>
      <c r="BD28" s="2295">
        <f>'30)Tritic-GPS Biogas ex Silo(b)'!O33</f>
        <v>-5.7062089056652932</v>
      </c>
      <c r="BE28" s="2297">
        <f>'33)Kleegrassil 4N Biogas aF(b)'!M33</f>
        <v>-1.8567659006541208</v>
      </c>
      <c r="BF28" s="2295">
        <f>'33)Kleegrassil 4N Biogas aF(b)'!N33</f>
        <v>-1.2783438843703607</v>
      </c>
      <c r="BG28" s="2295">
        <f>'33)Kleegrassil 4N Biogas aF(b)'!O33</f>
        <v>-1.3878060965945997</v>
      </c>
      <c r="BH28" s="2295">
        <f>'34)Kleegrassil 4N Biog ex S(b)'!M33</f>
        <v>-7.4547711925327915</v>
      </c>
      <c r="BI28" s="2295">
        <f>'34)Kleegrassil 4N Biog ex S(b)'!N33</f>
        <v>-6.4744608025166741</v>
      </c>
      <c r="BJ28" s="2295">
        <f>'34)Kleegrassil 4N Biog ex S(b)'!O33</f>
        <v>-6.2477253028958017</v>
      </c>
      <c r="BK28" s="2294">
        <f>'36)GS 3Nutz. Biogas Feld-(b)'!$M$34</f>
        <v>0.97775395182616143</v>
      </c>
      <c r="BL28" s="2294">
        <f>'37)GS 3Nutz. Biogas ex Silo (b)'!$M$34</f>
        <v>-5.1267677716721822</v>
      </c>
      <c r="BM28" s="2295">
        <f>'40)GrünroggenVFBiogas ex S(b)'!M33</f>
        <v>-9.0985037862845495</v>
      </c>
      <c r="BN28" s="2295">
        <f>'40)GrünroggenVFBiogas ex S(b)'!N33</f>
        <v>-8.5901079424418842</v>
      </c>
      <c r="BO28" s="2295">
        <f>'40)GrünroggenVFBiogas ex S(b)'!O33</f>
        <v>-8.2269680539828371</v>
      </c>
      <c r="BP28" s="2295">
        <f>'42)Grürog.+Silom. Biog ex S(b)'!M33</f>
        <v>-8.3547390312320076</v>
      </c>
      <c r="BQ28" s="2295">
        <f>'42)Grürog.+Silom. Biog ex S(b)'!N33</f>
        <v>-8.0046135429540826</v>
      </c>
      <c r="BR28" s="2295">
        <f>'42)Grürog.+Silom. Biog ex S(b)'!O33</f>
        <v>-7.5607406659227108</v>
      </c>
      <c r="BS28" s="2295">
        <f>'44)Sudangras HF Biogas ex S(b)'!M33</f>
        <v>-9.435255903464034</v>
      </c>
      <c r="BT28" s="2295">
        <f>'44)Sudangras HF Biogas ex S(b)'!N33</f>
        <v>-8.5568210730457892</v>
      </c>
      <c r="BU28" s="2295">
        <f>'44)Sudangras HF Biogas ex S(b)'!O33</f>
        <v>-8.0077993040343927</v>
      </c>
      <c r="BV28" s="2295">
        <f>'51) GPS Weidelgras Biog aF (b)'!M33</f>
        <v>-5.4472386490442748</v>
      </c>
      <c r="BW28" s="2295">
        <f>'51) GPS Weidelgras Biog aF (b)'!N33</f>
        <v>-5.0432134254558321</v>
      </c>
      <c r="BX28" s="2295">
        <f>'51) GPS Weidelgras Biog aF (b)'!O33</f>
        <v>-4.7546239800355128</v>
      </c>
      <c r="BY28" s="2295">
        <f>'48)Zuhirse HF Biogas ex S(b)'!M33</f>
        <v>-8.479457962676527</v>
      </c>
      <c r="BZ28" s="2295">
        <f>'48)Zuhirse HF Biogas ex S(b)'!N33</f>
        <v>-7.7134261425151749</v>
      </c>
      <c r="CA28" s="2295">
        <f>'48)Zuhirse HF Biogas ex S(b)'!O33</f>
        <v>-7.2346562549143361</v>
      </c>
      <c r="CB28" s="2295">
        <f>'46)GPS+Sudangr Biogas ex S(b)'!M33</f>
        <v>-7.4831473373338362</v>
      </c>
      <c r="CC28" s="2295">
        <f>'46)GPS+Sudangr Biogas ex S(b)'!N33</f>
        <v>-7.5504710289635755</v>
      </c>
      <c r="CD28" s="2295">
        <f>'46)GPS+Sudangr Biogas ex S(b)'!O33</f>
        <v>-7.4300003072113467</v>
      </c>
      <c r="CE28" s="2295">
        <f>'48)Zuhirse HF Biogas ex S(b)'!M33</f>
        <v>-8.479457962676527</v>
      </c>
      <c r="CF28" s="2295">
        <f>'48)Zuhirse HF Biogas ex S(b)'!N33</f>
        <v>-7.7134261425151749</v>
      </c>
      <c r="CG28" s="2295">
        <f>'48)Zuhirse HF Biogas ex S(b)'!O33</f>
        <v>-7.2346562549143361</v>
      </c>
      <c r="CH28" s="2295">
        <f>'54)Dw. Silphie Biogas ex S(b)'!M33</f>
        <v>-6.7427881445619784</v>
      </c>
      <c r="CI28" s="2295">
        <f>'54)Dw. Silphie Biogas ex S(b)'!N33</f>
        <v>-6.4861795349494846</v>
      </c>
      <c r="CJ28" s="2295">
        <f>'54)Dw. Silphie Biogas ex S(b)'!O33</f>
        <v>-6.3257991539416771</v>
      </c>
    </row>
    <row r="29" spans="1:88" s="172" customFormat="1" ht="17.100000000000001" customHeight="1" thickBot="1" x14ac:dyDescent="0.25">
      <c r="A29" s="2263"/>
      <c r="B29" s="2329"/>
      <c r="C29" s="2562"/>
      <c r="D29" s="2299"/>
      <c r="E29" s="2300"/>
      <c r="F29" s="2300"/>
      <c r="G29" s="2326"/>
      <c r="H29" s="2316"/>
      <c r="I29" s="2300"/>
      <c r="J29" s="2311"/>
      <c r="K29" s="2300"/>
      <c r="L29" s="2300"/>
      <c r="M29" s="2300"/>
      <c r="N29" s="2300"/>
      <c r="O29" s="2316"/>
      <c r="P29" s="2311"/>
      <c r="Q29" s="2300"/>
      <c r="R29" s="2311"/>
      <c r="S29" s="2300"/>
      <c r="T29" s="2757"/>
      <c r="U29" s="2300"/>
      <c r="V29" s="2300"/>
      <c r="W29" s="2300"/>
      <c r="X29" s="2300"/>
      <c r="Y29" s="2300"/>
      <c r="Z29" s="2316"/>
      <c r="AA29" s="2317"/>
      <c r="AB29" s="2318"/>
      <c r="AC29" s="2300"/>
      <c r="AD29" s="2300"/>
      <c r="AE29" s="2300"/>
      <c r="AF29" s="2459"/>
      <c r="AG29" s="2300"/>
      <c r="AH29" s="2300"/>
      <c r="AI29" s="2326"/>
      <c r="AJ29" s="2300"/>
      <c r="AK29" s="2300"/>
      <c r="AL29" s="2326"/>
      <c r="AM29" s="2300"/>
      <c r="AN29" s="2300"/>
      <c r="AO29" s="2326"/>
      <c r="AP29" s="2316"/>
      <c r="AQ29" s="2317"/>
      <c r="AR29" s="2318"/>
      <c r="AS29" s="2757"/>
      <c r="AT29" s="2300"/>
      <c r="AU29" s="2326"/>
      <c r="AV29" s="2300"/>
      <c r="AW29" s="2300"/>
      <c r="AX29" s="2326"/>
      <c r="AY29" s="2300"/>
      <c r="AZ29" s="2300"/>
      <c r="BA29" s="2326"/>
      <c r="BB29" s="2300"/>
      <c r="BC29" s="2300"/>
      <c r="BD29" s="2326"/>
      <c r="BE29" s="2326"/>
      <c r="BF29" s="2326"/>
      <c r="BG29" s="2326"/>
      <c r="BH29" s="2326"/>
      <c r="BI29" s="2326"/>
      <c r="BJ29" s="2326"/>
      <c r="BK29" s="2459"/>
      <c r="BL29" s="2459"/>
      <c r="BM29" s="2326"/>
      <c r="BN29" s="2326"/>
      <c r="BO29" s="2326"/>
      <c r="BP29" s="2326"/>
      <c r="BQ29" s="2326"/>
      <c r="BR29" s="2326"/>
      <c r="BS29" s="2326"/>
      <c r="BT29" s="2326"/>
      <c r="BU29" s="2326"/>
      <c r="BV29" s="2326"/>
      <c r="BW29" s="2326"/>
      <c r="BX29" s="2326"/>
      <c r="BY29" s="2326"/>
      <c r="BZ29" s="2326"/>
      <c r="CA29" s="2326"/>
      <c r="CB29" s="2326"/>
      <c r="CC29" s="2326"/>
      <c r="CD29" s="2326"/>
      <c r="CE29" s="2326"/>
      <c r="CF29" s="2326"/>
      <c r="CG29" s="2326"/>
      <c r="CH29" s="2326"/>
      <c r="CI29" s="2326"/>
      <c r="CJ29" s="2326"/>
    </row>
    <row r="30" spans="1:88" s="172" customFormat="1" ht="17.100000000000001" customHeight="1" x14ac:dyDescent="0.2">
      <c r="A30" s="323"/>
      <c r="B30" s="2301" t="s">
        <v>273</v>
      </c>
      <c r="C30" s="2563"/>
      <c r="D30" s="2302" t="s">
        <v>274</v>
      </c>
      <c r="E30" s="2805">
        <f>'1)Grünf. 3Nutz.(b)'!$M$36</f>
        <v>12.58235</v>
      </c>
      <c r="F30" s="2806">
        <f>'2)Grünf. 4Nutz.(b)'!$M$36</f>
        <v>14.266500000000001</v>
      </c>
      <c r="G30" s="2807">
        <f>'3)Grünf. 5Nutz.(b)'!$M$36</f>
        <v>23.358583333333332</v>
      </c>
      <c r="H30" s="2808">
        <f>'4)GS 3Nutz.eig.mech.(b)'!$M$36</f>
        <v>15.415056400742117</v>
      </c>
      <c r="I30" s="2809">
        <f>'5)GS 4Nutz.eig.mech(b)'!$M$36</f>
        <v>18.925747680890538</v>
      </c>
      <c r="J30" s="2806">
        <f>'6)GS 5Nutz.eig.mech.(b)'!$M$36</f>
        <v>21.578760667903524</v>
      </c>
      <c r="K30" s="2809">
        <f>'7)GS3Nutz.Fremdmech(b)'!$M$36</f>
        <v>9.2286000000000001</v>
      </c>
      <c r="L30" s="2809">
        <f>'8)GS4Nutz.Fremdmech(b)'!$M$36</f>
        <v>11.501999999999999</v>
      </c>
      <c r="M30" s="2809">
        <f>'9)GS 5Nutz.Fremd(b)'!$M$36</f>
        <v>13.784399999999998</v>
      </c>
      <c r="N30" s="2805">
        <f>'10) GS 3Nutz. Ballensil.(b)'!$M$36</f>
        <v>12.3066</v>
      </c>
      <c r="O30" s="2808">
        <f>'11)Heu 2Nutz.-(b)'!$M$36</f>
        <v>11.503066257130319</v>
      </c>
      <c r="P30" s="2809">
        <f>'12)Heu 3Nutz.(b)'!$M$36</f>
        <v>17.74861053093462</v>
      </c>
      <c r="Q30" s="2810">
        <f>'13)Grascobs 5Nutz.(b)'!$M$36</f>
        <v>13.084999999999997</v>
      </c>
      <c r="R30" s="2806">
        <f>'14)Weide_ext.(b)'!$M$36</f>
        <v>15.036999999999999</v>
      </c>
      <c r="S30" s="2809">
        <f>'15)Weide int. 4Nutz.(b)'!$M$36</f>
        <v>16.753</v>
      </c>
      <c r="T30" s="2808">
        <f>'17)Kleegras-GrünFu-Eig.mech(b)'!$M$36</f>
        <v>17.227297499999999</v>
      </c>
      <c r="U30" s="2806">
        <f>'18)Kleegrassi-Fremnernt(b)'!$M$36</f>
        <v>11.04336</v>
      </c>
      <c r="V30" s="2807">
        <f>'19)LuzerneSil-Fremdernte(b)'!$M$36</f>
        <v>11.04336</v>
      </c>
      <c r="W30" s="2809">
        <f>'20)Silomais int(b)'!$M35</f>
        <v>21.322800000000001</v>
      </c>
      <c r="X30" s="2806">
        <f>'20)Silomais int(b)'!$N35</f>
        <v>23.286833333333334</v>
      </c>
      <c r="Y30" s="2811">
        <f>'20)Silomais int(b)'!$O35</f>
        <v>24.727666666666664</v>
      </c>
      <c r="Z30" s="2808">
        <f>'21)Futterrüben(b)'!$M35</f>
        <v>20.688177514792898</v>
      </c>
      <c r="AA30" s="2806">
        <f>'21)Futterrüben(b)'!$N35</f>
        <v>22.617692307692309</v>
      </c>
      <c r="AB30" s="2807">
        <f>'21)Futterrüben(b)'!$O35</f>
        <v>23.741952662721893</v>
      </c>
      <c r="AC30" s="2812">
        <f>'22)ZWF-Raps-(b)'!M35</f>
        <v>5.9653750000000008</v>
      </c>
      <c r="AD30" s="2806">
        <f>'22)ZWF-Raps-(b)'!N35</f>
        <v>7.0460000000000003</v>
      </c>
      <c r="AE30" s="2813">
        <f>'22)ZWF-Raps-(b)'!O35</f>
        <v>8.2809999999999988</v>
      </c>
      <c r="AF30" s="2782"/>
      <c r="AG30" s="2809">
        <f>'23)GPS-(b)'!M35</f>
        <v>16.324694999999998</v>
      </c>
      <c r="AH30" s="2806">
        <f>'23)GPS-(b)'!N35</f>
        <v>17.608477499999999</v>
      </c>
      <c r="AI30" s="2807">
        <f>'23)GPS-(b)'!O35</f>
        <v>18.89226</v>
      </c>
      <c r="AJ30" s="2809">
        <f>'24)Mais LKS-(b)'!M35</f>
        <v>16.357500000000002</v>
      </c>
      <c r="AK30" s="2806">
        <f>'24)Mais LKS-(b)'!N35</f>
        <v>17.345025</v>
      </c>
      <c r="AL30" s="2807">
        <f>'24)Mais LKS-(b)'!O35</f>
        <v>18.332549999999998</v>
      </c>
      <c r="AM30" s="2809">
        <f>'25)Mais CCM-(b)'!M35</f>
        <v>9.4446000000000012</v>
      </c>
      <c r="AN30" s="2806">
        <f>'25)Mais CCM-(b)'!N35</f>
        <v>10.259700000000002</v>
      </c>
      <c r="AO30" s="2807">
        <f>'25)Mais CCM-(b)'!O35</f>
        <v>11.0748</v>
      </c>
      <c r="AP30" s="2808">
        <f>'26)M(ais feucht-b)'!$M35</f>
        <v>13.090873846153846</v>
      </c>
      <c r="AQ30" s="2806">
        <f>'26)M(ais feucht-b)'!$N35</f>
        <v>13.712787692307691</v>
      </c>
      <c r="AR30" s="2807">
        <f>'26)M(ais feucht-b)'!$O35</f>
        <v>14.334701538461537</v>
      </c>
      <c r="AS30" s="2808">
        <f>'27)Silomais Biogas ab Feld-(b)'!M35</f>
        <v>8.2079999999999984</v>
      </c>
      <c r="AT30" s="2806">
        <f>'27)Silomais Biogas ab Feld-(b)'!N35</f>
        <v>8.2079999999999984</v>
      </c>
      <c r="AU30" s="2807">
        <f>'27)Silomais Biogas ab Feld-(b)'!O35</f>
        <v>8.2079999999999984</v>
      </c>
      <c r="AV30" s="2809">
        <f>'28)Silomais Biogas ex Silo (b)'!M35</f>
        <v>20.656799999999997</v>
      </c>
      <c r="AW30" s="2806">
        <f>'28)Silomais Biogas ex Silo (b)'!N35</f>
        <v>23.211600000000001</v>
      </c>
      <c r="AX30" s="2807">
        <f>'28)Silomais Biogas ex Silo (b)'!O35</f>
        <v>24.933999999999997</v>
      </c>
      <c r="AY30" s="2809">
        <f>'29)Triticale-GPS Biogas Feld(b)'!M35</f>
        <v>7.29</v>
      </c>
      <c r="AZ30" s="2806">
        <f>'29)Triticale-GPS Biogas Feld(b)'!N35</f>
        <v>7.29</v>
      </c>
      <c r="BA30" s="2807">
        <f>'29)Triticale-GPS Biogas Feld(b)'!O35</f>
        <v>7.29</v>
      </c>
      <c r="BB30" s="2809">
        <f>'30)Tritic-GPS Biogas ex Silo(b)'!M35</f>
        <v>17.071200000000001</v>
      </c>
      <c r="BC30" s="2806">
        <f>'30)Tritic-GPS Biogas ex Silo(b)'!N35</f>
        <v>19.027440000000006</v>
      </c>
      <c r="BD30" s="2807">
        <f>'30)Tritic-GPS Biogas ex Silo(b)'!O35</f>
        <v>20.98368</v>
      </c>
      <c r="BE30" s="2813">
        <f>'33)Kleegrassil 4N Biogas aF(b)'!M35</f>
        <v>8.370000000000001</v>
      </c>
      <c r="BF30" s="2807">
        <f>'33)Kleegrassil 4N Biogas aF(b)'!N35</f>
        <v>8.370000000000001</v>
      </c>
      <c r="BG30" s="2807">
        <f>'33)Kleegrassil 4N Biogas aF(b)'!O35</f>
        <v>8.370000000000001</v>
      </c>
      <c r="BH30" s="2807">
        <f>'34)Kleegrassil 4N Biog ex S(b)'!M35</f>
        <v>22.749058441558439</v>
      </c>
      <c r="BI30" s="2807">
        <f>'34)Kleegrassil 4N Biog ex S(b)'!N35</f>
        <v>23.874870129870128</v>
      </c>
      <c r="BJ30" s="2807">
        <f>'34)Kleegrassil 4N Biog ex S(b)'!O35</f>
        <v>25.000681818181818</v>
      </c>
      <c r="BK30" s="2810">
        <f>'36)GS 3Nutz. Biogas Feld-(b)'!$M$36</f>
        <v>3.6486000000000005</v>
      </c>
      <c r="BL30" s="2810">
        <f>'37)GS 3Nutz. Biogas ex Silo (b)'!$M$36</f>
        <v>14.880466419294992</v>
      </c>
      <c r="BM30" s="2807">
        <f>'40)GrünroggenVFBiogas ex S(b)'!M35</f>
        <v>13.740840000000002</v>
      </c>
      <c r="BN30" s="2807">
        <f>'40)GrünroggenVFBiogas ex S(b)'!N35</f>
        <v>15.110208</v>
      </c>
      <c r="BO30" s="2807">
        <f>'40)GrünroggenVFBiogas ex S(b)'!O35</f>
        <v>16.479576000000002</v>
      </c>
      <c r="BP30" s="2807">
        <f>'42)Grürog.+Silom. Biog ex S(b)'!M35</f>
        <v>25.952903225806452</v>
      </c>
      <c r="BQ30" s="2807">
        <f>'42)Grürog.+Silom. Biog ex S(b)'!N35</f>
        <v>27.276806451612902</v>
      </c>
      <c r="BR30" s="2807">
        <f>'42)Grürog.+Silom. Biog ex S(b)'!O35</f>
        <v>29.117354838709677</v>
      </c>
      <c r="BS30" s="2807">
        <f>'44)Sudangras HF Biogas ex S(b)'!M35</f>
        <v>19.516500000000001</v>
      </c>
      <c r="BT30" s="2807">
        <f>'44)Sudangras HF Biogas ex S(b)'!N35</f>
        <v>22.88025</v>
      </c>
      <c r="BU30" s="2807">
        <f>'44)Sudangras HF Biogas ex S(b)'!O35</f>
        <v>24.917999999999999</v>
      </c>
      <c r="BV30" s="2807">
        <f>'51) GPS Weidelgras Biog aF (b)'!M35</f>
        <v>8.5500000000000007</v>
      </c>
      <c r="BW30" s="2807">
        <f>'51) GPS Weidelgras Biog aF (b)'!N35</f>
        <v>8.5500000000000007</v>
      </c>
      <c r="BX30" s="2807">
        <f>'51) GPS Weidelgras Biog aF (b)'!O35</f>
        <v>8.5500000000000007</v>
      </c>
      <c r="BY30" s="2807">
        <f>'48)Zuhirse HF Biogas ex S(b)'!M35</f>
        <v>19.516500000000001</v>
      </c>
      <c r="BZ30" s="2807">
        <f>'48)Zuhirse HF Biogas ex S(b)'!N35</f>
        <v>22.88025</v>
      </c>
      <c r="CA30" s="2807">
        <f>'48)Zuhirse HF Biogas ex S(b)'!O35</f>
        <v>24.917999999999999</v>
      </c>
      <c r="CB30" s="2807">
        <f>'46)GPS+Sudangr Biogas ex S(b)'!M35</f>
        <v>26.373290322580644</v>
      </c>
      <c r="CC30" s="2807">
        <f>'46)GPS+Sudangr Biogas ex S(b)'!N35</f>
        <v>27.600322580645162</v>
      </c>
      <c r="CD30" s="2807">
        <f>'46)GPS+Sudangr Biogas ex S(b)'!O35</f>
        <v>28.827354838709677</v>
      </c>
      <c r="CE30" s="2807">
        <f>'48)Zuhirse HF Biogas ex S(b)'!M35</f>
        <v>19.516500000000001</v>
      </c>
      <c r="CF30" s="2807">
        <f>'48)Zuhirse HF Biogas ex S(b)'!N35</f>
        <v>22.88025</v>
      </c>
      <c r="CG30" s="2807">
        <f>'48)Zuhirse HF Biogas ex S(b)'!O35</f>
        <v>24.917999999999999</v>
      </c>
      <c r="CH30" s="2807">
        <f>'54)Dw. Silphie Biogas ex S(b)'!M35</f>
        <v>13.395300000000001</v>
      </c>
      <c r="CI30" s="2807">
        <f>'54)Dw. Silphie Biogas ex S(b)'!N35</f>
        <v>17.063249999999996</v>
      </c>
      <c r="CJ30" s="2807">
        <f>'54)Dw. Silphie Biogas ex S(b)'!O35</f>
        <v>20.731200000000001</v>
      </c>
    </row>
    <row r="31" spans="1:88" s="172" customFormat="1" ht="17.100000000000001" customHeight="1" x14ac:dyDescent="0.2">
      <c r="A31" s="323"/>
      <c r="B31" s="2241" t="s">
        <v>275</v>
      </c>
      <c r="C31" s="2564"/>
      <c r="D31" s="2210" t="s">
        <v>832</v>
      </c>
      <c r="E31" s="2814">
        <f>'1)Grünf. 3Nutz.(b)'!$M$37</f>
        <v>0</v>
      </c>
      <c r="F31" s="1237">
        <f>'2)Grünf. 4Nutz.(b)'!$M$37</f>
        <v>0</v>
      </c>
      <c r="G31" s="1235">
        <f>'3)Grünf. 5Nutz.(b)'!$M$37</f>
        <v>0</v>
      </c>
      <c r="H31" s="1236">
        <f>'4)GS 3Nutz.eig.mech.(b)'!$M$37</f>
        <v>33.928571428571423</v>
      </c>
      <c r="I31" s="2815">
        <f>'5)GS 4Nutz.eig.mech(b)'!$M$37</f>
        <v>40.714285714285722</v>
      </c>
      <c r="J31" s="1237">
        <f>'6)GS 5Nutz.eig.mech.(b)'!$M$37</f>
        <v>56.547619047619037</v>
      </c>
      <c r="K31" s="2815">
        <f>'7)GS3Nutz.Fremdmech(b)'!$M$37</f>
        <v>33.928571428571423</v>
      </c>
      <c r="L31" s="2815">
        <f>'8)GS4Nutz.Fremdmech(b)'!$M$37</f>
        <v>40.714285714285722</v>
      </c>
      <c r="M31" s="2815">
        <f>'9)GS 5Nutz.Fremd(b)'!$M$37</f>
        <v>56.547619047619037</v>
      </c>
      <c r="N31" s="2814" t="str">
        <f>'10) GS 3Nutz. Ballensil.(b)'!$M$37</f>
        <v>-</v>
      </c>
      <c r="O31" s="1236">
        <f>'11)Heu 2Nutz.-(b)'!$M$37</f>
        <v>34.883720930232556</v>
      </c>
      <c r="P31" s="2815">
        <f>'12)Heu 3Nutz.(b)'!$M$37</f>
        <v>49.418604651162781</v>
      </c>
      <c r="Q31" s="2816">
        <f>'13)Grascobs 5Nutz.(b)'!$M$37</f>
        <v>29.320987654320987</v>
      </c>
      <c r="R31" s="1237">
        <f>'14)Weide_ext.(b)'!$M$37</f>
        <v>0</v>
      </c>
      <c r="S31" s="2815">
        <f>'15)Weide int. 4Nutz.(b)'!$M$37</f>
        <v>0</v>
      </c>
      <c r="T31" s="1236" t="str">
        <f>'17)Kleegras-GrünFu-Eig.mech(b)'!$M$37</f>
        <v>-</v>
      </c>
      <c r="U31" s="1237">
        <f>'18)Kleegrassi-Fremnernt(b)'!$M$37</f>
        <v>47.979797979797979</v>
      </c>
      <c r="V31" s="1235">
        <f>'19)LuzerneSil-Fremdernte(b)'!$M$37</f>
        <v>46.568627450980387</v>
      </c>
      <c r="W31" s="2815">
        <f>'20)Silomais int(b)'!$M36</f>
        <v>49.350649350649348</v>
      </c>
      <c r="X31" s="1237">
        <f>'20)Silomais int(b)'!$N36</f>
        <v>59.632034632034625</v>
      </c>
      <c r="Y31" s="2817">
        <f>'20)Silomais int(b)'!$O36</f>
        <v>69.913419913419901</v>
      </c>
      <c r="Z31" s="1236">
        <f>'21)Futterrüben(b)'!$M36</f>
        <v>114.83516483516482</v>
      </c>
      <c r="AA31" s="1237">
        <f>'21)Futterrüben(b)'!$N36</f>
        <v>135.71428571428569</v>
      </c>
      <c r="AB31" s="1235">
        <f>'21)Futterrüben(b)'!$O36</f>
        <v>156.5934065934066</v>
      </c>
      <c r="AC31" s="2818">
        <f>'22)ZWF-Raps-(b)'!M36</f>
        <v>0</v>
      </c>
      <c r="AD31" s="1237">
        <f>'22)ZWF-Raps-(b)'!N36</f>
        <v>0</v>
      </c>
      <c r="AE31" s="2819">
        <f>'22)ZWF-Raps-(b)'!O36</f>
        <v>0</v>
      </c>
      <c r="AF31" s="2458"/>
      <c r="AG31" s="2815">
        <f>'23)GPS-(b)'!M36</f>
        <v>32.884615384615394</v>
      </c>
      <c r="AH31" s="1237">
        <f>'23)GPS-(b)'!N36</f>
        <v>38.36538461538462</v>
      </c>
      <c r="AI31" s="1235">
        <f>'23)GPS-(b)'!O36</f>
        <v>43.846153846153847</v>
      </c>
      <c r="AJ31" s="2815">
        <f>'24)Mais LKS-(b)'!M36</f>
        <v>20.299145299145298</v>
      </c>
      <c r="AK31" s="1237">
        <f>'24)Mais LKS-(b)'!N36</f>
        <v>23.344017094017094</v>
      </c>
      <c r="AL31" s="1235">
        <f>'24)Mais LKS-(b)'!O36</f>
        <v>26.388888888888886</v>
      </c>
      <c r="AM31" s="2815">
        <f>'25)Mais CCM-(b)'!M36</f>
        <v>14.285714285714286</v>
      </c>
      <c r="AN31" s="1237">
        <f>'25)Mais CCM-(b)'!N36</f>
        <v>16.666666666666664</v>
      </c>
      <c r="AO31" s="1235">
        <f>'25)Mais CCM-(b)'!O36</f>
        <v>19.047619047619047</v>
      </c>
      <c r="AP31" s="1236">
        <f>'26)M(ais feucht-b)'!$M36</f>
        <v>12.307692307692308</v>
      </c>
      <c r="AQ31" s="1237">
        <f>'26)M(ais feucht-b)'!$N36</f>
        <v>14.615384615384613</v>
      </c>
      <c r="AR31" s="1235">
        <f>'26)M(ais feucht-b)'!$O36</f>
        <v>16.923076923076923</v>
      </c>
      <c r="AS31" s="1236">
        <f>'27)Silomais Biogas ab Feld-(b)'!M36</f>
        <v>0</v>
      </c>
      <c r="AT31" s="1237">
        <f>'27)Silomais Biogas ab Feld-(b)'!N36</f>
        <v>0</v>
      </c>
      <c r="AU31" s="1235">
        <f>'27)Silomais Biogas ab Feld-(b)'!O36</f>
        <v>0</v>
      </c>
      <c r="AV31" s="2815">
        <f>'28)Silomais Biogas ex Silo (b)'!M36</f>
        <v>49.350649350649348</v>
      </c>
      <c r="AW31" s="1237">
        <f>'28)Silomais Biogas ex Silo (b)'!N36</f>
        <v>61.688311688311686</v>
      </c>
      <c r="AX31" s="1235">
        <f>'28)Silomais Biogas ex Silo (b)'!O36</f>
        <v>74.025974025974008</v>
      </c>
      <c r="AY31" s="2815">
        <f>'29)Triticale-GPS Biogas Feld(b)'!M36</f>
        <v>0</v>
      </c>
      <c r="AZ31" s="1237">
        <f>'29)Triticale-GPS Biogas Feld(b)'!N36</f>
        <v>0</v>
      </c>
      <c r="BA31" s="1235">
        <f>'29)Triticale-GPS Biogas Feld(b)'!O36</f>
        <v>0</v>
      </c>
      <c r="BB31" s="2815">
        <f>'30)Tritic-GPS Biogas ex Silo(b)'!M36</f>
        <v>41.758241758241766</v>
      </c>
      <c r="BC31" s="1237">
        <f>'30)Tritic-GPS Biogas ex Silo(b)'!N36</f>
        <v>50.109890109890117</v>
      </c>
      <c r="BD31" s="1235">
        <f>'30)Tritic-GPS Biogas ex Silo(b)'!O36</f>
        <v>58.461538461538467</v>
      </c>
      <c r="BE31" s="2819">
        <f>'33)Kleegrassil 4N Biogas aF(b)'!M36</f>
        <v>0</v>
      </c>
      <c r="BF31" s="1235">
        <f>'33)Kleegrassil 4N Biogas aF(b)'!N36</f>
        <v>0</v>
      </c>
      <c r="BG31" s="1235">
        <f>'33)Kleegrassil 4N Biogas aF(b)'!O36</f>
        <v>0</v>
      </c>
      <c r="BH31" s="1235">
        <f>'34)Kleegrassil 4N Biog ex S(b)'!M36</f>
        <v>43.658088235294116</v>
      </c>
      <c r="BI31" s="1235">
        <f>'34)Kleegrassil 4N Biog ex S(b)'!N36</f>
        <v>52.389705882352942</v>
      </c>
      <c r="BJ31" s="1235">
        <f>'34)Kleegrassil 4N Biog ex S(b)'!O36</f>
        <v>61.121323529411768</v>
      </c>
      <c r="BK31" s="2816">
        <f>'36)GS 3Nutz. Biogas Feld-(b)'!$M$37</f>
        <v>0</v>
      </c>
      <c r="BL31" s="2816">
        <f>'37)GS 3Nutz. Biogas ex Silo (b)'!$M$37</f>
        <v>33.928571428571431</v>
      </c>
      <c r="BM31" s="1235">
        <f>'40)GrünroggenVFBiogas ex S(b)'!M36</f>
        <v>29.230769230769234</v>
      </c>
      <c r="BN31" s="1235">
        <f>'40)GrünroggenVFBiogas ex S(b)'!N36</f>
        <v>35.076923076923073</v>
      </c>
      <c r="BO31" s="1235">
        <f>'40)GrünroggenVFBiogas ex S(b)'!O36</f>
        <v>40.923076923076927</v>
      </c>
      <c r="BP31" s="1235">
        <f>'42)Grürog.+Silom. Biog ex S(b)'!M36</f>
        <v>75.901328273244786</v>
      </c>
      <c r="BQ31" s="1235">
        <f>'42)Grürog.+Silom. Biog ex S(b)'!N36</f>
        <v>85.626185958254268</v>
      </c>
      <c r="BR31" s="1235">
        <f>'42)Grürog.+Silom. Biog ex S(b)'!O36</f>
        <v>99.146110056926005</v>
      </c>
      <c r="BS31" s="2729">
        <f>'44)Sudangras HF Biogas ex S(b)'!M36</f>
        <v>49.894957983193279</v>
      </c>
      <c r="BT31" s="2729">
        <f>'44)Sudangras HF Biogas ex S(b)'!N36</f>
        <v>64.863445378151255</v>
      </c>
      <c r="BU31" s="2729">
        <f>'44)Sudangras HF Biogas ex S(b)'!O36</f>
        <v>79.831932773109244</v>
      </c>
      <c r="BV31" s="2729">
        <f>'51) GPS Weidelgras Biog aF (b)'!M36</f>
        <v>67.857142857142847</v>
      </c>
      <c r="BW31" s="2729">
        <f>'51) GPS Weidelgras Biog aF (b)'!N36</f>
        <v>81.428571428571431</v>
      </c>
      <c r="BX31" s="2729">
        <f>'51) GPS Weidelgras Biog aF (b)'!O36</f>
        <v>95</v>
      </c>
      <c r="BY31" s="2729">
        <f>'48)Zuhirse HF Biogas ex S(b)'!M36</f>
        <v>49.894957983193279</v>
      </c>
      <c r="BZ31" s="2729">
        <f>'48)Zuhirse HF Biogas ex S(b)'!N36</f>
        <v>64.863445378151255</v>
      </c>
      <c r="CA31" s="2729">
        <f>'48)Zuhirse HF Biogas ex S(b)'!O36</f>
        <v>79.831932773109244</v>
      </c>
      <c r="CB31" s="1235">
        <f>'46)GPS+Sudangr Biogas ex S(b)'!M36</f>
        <v>81.119544592030365</v>
      </c>
      <c r="CC31" s="1235">
        <f>'46)GPS+Sudangr Biogas ex S(b)'!N36</f>
        <v>90.132827324478171</v>
      </c>
      <c r="CD31" s="1235">
        <f>'46)GPS+Sudangr Biogas ex S(b)'!O36</f>
        <v>99.146110056926005</v>
      </c>
      <c r="CE31" s="1235">
        <f>'48)Zuhirse HF Biogas ex S(b)'!M36</f>
        <v>49.894957983193279</v>
      </c>
      <c r="CF31" s="1235">
        <f>'48)Zuhirse HF Biogas ex S(b)'!N36</f>
        <v>64.863445378151255</v>
      </c>
      <c r="CG31" s="1235">
        <f>'48)Zuhirse HF Biogas ex S(b)'!O36</f>
        <v>79.831932773109244</v>
      </c>
      <c r="CH31" s="1235">
        <f>'54)Dw. Silphie Biogas ex S(b)'!M36</f>
        <v>48.469387755102034</v>
      </c>
      <c r="CI31" s="1235">
        <f>'54)Dw. Silphie Biogas ex S(b)'!N36</f>
        <v>63.010204081632651</v>
      </c>
      <c r="CJ31" s="1235">
        <f>'54)Dw. Silphie Biogas ex S(b)'!O36</f>
        <v>77.551020408163268</v>
      </c>
    </row>
    <row r="32" spans="1:88" s="172" customFormat="1" ht="17.100000000000001" customHeight="1" x14ac:dyDescent="0.2">
      <c r="A32" s="892"/>
      <c r="B32" s="2235" t="s">
        <v>188</v>
      </c>
      <c r="C32" s="2573">
        <f>'Preise-Stammdaten'!N35</f>
        <v>17.5</v>
      </c>
      <c r="D32" s="2212" t="s">
        <v>266</v>
      </c>
      <c r="E32" s="1210">
        <f>'1)Grünf. 3Nutz.(b)'!$M$39</f>
        <v>220.191125</v>
      </c>
      <c r="F32" s="1212">
        <f>'2)Grünf. 4Nutz.(b)'!$M$39</f>
        <v>249.66375000000002</v>
      </c>
      <c r="G32" s="1209">
        <f>'3)Grünf. 5Nutz.(b)'!$M$39</f>
        <v>408.7752083333333</v>
      </c>
      <c r="H32" s="1211">
        <f>'4)GS 3Nutz.eig.mech.(b)'!$M$39</f>
        <v>269.76348701298707</v>
      </c>
      <c r="I32" s="1208">
        <f>'5)GS 4Nutz.eig.mech(b)'!$M$39</f>
        <v>331.20058441558444</v>
      </c>
      <c r="J32" s="1212">
        <f>'6)GS 5Nutz.eig.mech.(b)'!$M$39</f>
        <v>377.62831168831167</v>
      </c>
      <c r="K32" s="1208">
        <f>'7)GS3Nutz.Fremdmech(b)'!$M$39</f>
        <v>161.50049999999999</v>
      </c>
      <c r="L32" s="1208">
        <f>'8)GS4Nutz.Fremdmech(b)'!$M$39</f>
        <v>201.28499999999997</v>
      </c>
      <c r="M32" s="1208">
        <f>'9)GS 5Nutz.Fremd(b)'!$M$39</f>
        <v>241.22699999999998</v>
      </c>
      <c r="N32" s="1210">
        <f>'10) GS 3Nutz. Ballensil.(b)'!$M$39</f>
        <v>215.3655</v>
      </c>
      <c r="O32" s="1211">
        <f>'11)Heu 2Nutz.-(b)'!$M$39</f>
        <v>201.30365949978059</v>
      </c>
      <c r="P32" s="1208">
        <f>'12)Heu 3Nutz.(b)'!$M$39</f>
        <v>310.60068429135583</v>
      </c>
      <c r="Q32" s="2247">
        <f>'13)Grascobs 5Nutz.(b)'!$M$39</f>
        <v>228.98749999999995</v>
      </c>
      <c r="R32" s="1212">
        <f>'14)Weide_ext.(b)'!$M$39</f>
        <v>263.14749999999998</v>
      </c>
      <c r="S32" s="1208">
        <f>'15)Weide int. 4Nutz.(b)'!$M$39</f>
        <v>293.17750000000001</v>
      </c>
      <c r="T32" s="1211">
        <f>'17)Kleegras-GrünFu-Eig.mech(b)'!$M$39</f>
        <v>301.47770624999998</v>
      </c>
      <c r="U32" s="1212">
        <f>'18)Kleegrassi-Fremnernt(b)'!$M$39</f>
        <v>193.25880000000001</v>
      </c>
      <c r="V32" s="1209">
        <f>'19)LuzerneSil-Fremdernte(b)'!$M$39</f>
        <v>193.25880000000001</v>
      </c>
      <c r="W32" s="1208">
        <f>'20)Silomais int(b)'!$M37</f>
        <v>373.149</v>
      </c>
      <c r="X32" s="1212">
        <f>'20)Silomais int(b)'!$N37</f>
        <v>407.51958333333334</v>
      </c>
      <c r="Y32" s="1214">
        <f>'20)Silomais int(b)'!$O37</f>
        <v>432.73416666666662</v>
      </c>
      <c r="Z32" s="1211">
        <f>'21)Futterrüben(b)'!$M37</f>
        <v>362.04310650887572</v>
      </c>
      <c r="AA32" s="1212">
        <f>'21)Futterrüben(b)'!$N37</f>
        <v>395.80961538461543</v>
      </c>
      <c r="AB32" s="1209">
        <f>'21)Futterrüben(b)'!$O37</f>
        <v>415.48417159763312</v>
      </c>
      <c r="AC32" s="1215">
        <f>'22)ZWF-Raps-(b)'!M37</f>
        <v>104.39406250000002</v>
      </c>
      <c r="AD32" s="1212">
        <f>'22)ZWF-Raps-(b)'!N37</f>
        <v>123.30500000000001</v>
      </c>
      <c r="AE32" s="1213">
        <f>'22)ZWF-Raps-(b)'!O37</f>
        <v>144.91749999999999</v>
      </c>
      <c r="AF32" s="2777"/>
      <c r="AG32" s="1208">
        <f>'23)GPS-(b)'!M37</f>
        <v>285.68216249999995</v>
      </c>
      <c r="AH32" s="1212">
        <f>'23)GPS-(b)'!N37</f>
        <v>308.14835625000001</v>
      </c>
      <c r="AI32" s="1209">
        <f>'23)GPS-(b)'!O37</f>
        <v>330.61455000000001</v>
      </c>
      <c r="AJ32" s="1208">
        <f>'24)Mais LKS-(b)'!M37</f>
        <v>286.25625000000002</v>
      </c>
      <c r="AK32" s="1212">
        <f>'24)Mais LKS-(b)'!N37</f>
        <v>303.5379375</v>
      </c>
      <c r="AL32" s="1209">
        <f>'24)Mais LKS-(b)'!O37</f>
        <v>320.81962499999997</v>
      </c>
      <c r="AM32" s="1208">
        <f>'25)Mais CCM-(b)'!M37</f>
        <v>165.28050000000002</v>
      </c>
      <c r="AN32" s="1212">
        <f>'25)Mais CCM-(b)'!N37</f>
        <v>179.54475000000005</v>
      </c>
      <c r="AO32" s="1209">
        <f>'25)Mais CCM-(b)'!O37</f>
        <v>193.809</v>
      </c>
      <c r="AP32" s="1211">
        <f>'26)M(ais feucht-b)'!$M37</f>
        <v>229.09029230769229</v>
      </c>
      <c r="AQ32" s="1212">
        <f>'26)M(ais feucht-b)'!$N37</f>
        <v>239.9737846153846</v>
      </c>
      <c r="AR32" s="1209">
        <f>'26)M(ais feucht-b)'!$O37</f>
        <v>250.85727692307691</v>
      </c>
      <c r="AS32" s="1211">
        <f>'27)Silomais Biogas ab Feld-(b)'!M37</f>
        <v>143.63999999999999</v>
      </c>
      <c r="AT32" s="1212">
        <f>'27)Silomais Biogas ab Feld-(b)'!N37</f>
        <v>143.63999999999999</v>
      </c>
      <c r="AU32" s="1209">
        <f>'27)Silomais Biogas ab Feld-(b)'!O37</f>
        <v>143.63999999999999</v>
      </c>
      <c r="AV32" s="1208">
        <f>'28)Silomais Biogas ex Silo (b)'!M37</f>
        <v>361.49399999999997</v>
      </c>
      <c r="AW32" s="1212">
        <f>'28)Silomais Biogas ex Silo (b)'!N37</f>
        <v>406.20300000000003</v>
      </c>
      <c r="AX32" s="1209">
        <f>'28)Silomais Biogas ex Silo (b)'!O37</f>
        <v>436.34499999999997</v>
      </c>
      <c r="AY32" s="1208">
        <f>'29)Triticale-GPS Biogas Feld(b)'!M37</f>
        <v>127.575</v>
      </c>
      <c r="AZ32" s="1212">
        <f>'29)Triticale-GPS Biogas Feld(b)'!N37</f>
        <v>127.575</v>
      </c>
      <c r="BA32" s="1209">
        <f>'29)Triticale-GPS Biogas Feld(b)'!O37</f>
        <v>127.575</v>
      </c>
      <c r="BB32" s="1208">
        <f>'30)Tritic-GPS Biogas ex Silo(b)'!M37</f>
        <v>298.74600000000004</v>
      </c>
      <c r="BC32" s="1212">
        <f>'30)Tritic-GPS Biogas ex Silo(b)'!N37</f>
        <v>332.98020000000008</v>
      </c>
      <c r="BD32" s="1209">
        <f>'30)Tritic-GPS Biogas ex Silo(b)'!O37</f>
        <v>367.21440000000001</v>
      </c>
      <c r="BE32" s="1213">
        <f>'33)Kleegrassil 4N Biogas aF(b)'!M37</f>
        <v>146.47500000000002</v>
      </c>
      <c r="BF32" s="1209">
        <f>'33)Kleegrassil 4N Biogas aF(b)'!N37</f>
        <v>146.47500000000002</v>
      </c>
      <c r="BG32" s="1209">
        <f>'33)Kleegrassil 4N Biogas aF(b)'!O37</f>
        <v>146.47500000000002</v>
      </c>
      <c r="BH32" s="1209">
        <f>'34)Kleegrassil 4N Biog ex S(b)'!M37</f>
        <v>398.10852272727271</v>
      </c>
      <c r="BI32" s="1209">
        <f>'34)Kleegrassil 4N Biog ex S(b)'!N37</f>
        <v>417.81022727272727</v>
      </c>
      <c r="BJ32" s="1209">
        <f>'34)Kleegrassil 4N Biog ex S(b)'!O37</f>
        <v>437.51193181818178</v>
      </c>
      <c r="BK32" s="2247">
        <f>'36)GS 3Nutz. Biogas Feld-(b)'!$M$39</f>
        <v>63.850500000000011</v>
      </c>
      <c r="BL32" s="2247">
        <f>'37)GS 3Nutz. Biogas ex Silo (b)'!$M$39</f>
        <v>260.40816233766236</v>
      </c>
      <c r="BM32" s="1209">
        <f>'40)GrünroggenVFBiogas ex S(b)'!M37</f>
        <v>240.46470000000005</v>
      </c>
      <c r="BN32" s="1209">
        <f>'40)GrünroggenVFBiogas ex S(b)'!N37</f>
        <v>264.42863999999997</v>
      </c>
      <c r="BO32" s="1209">
        <f>'40)GrünroggenVFBiogas ex S(b)'!O37</f>
        <v>288.39258000000001</v>
      </c>
      <c r="BP32" s="1209">
        <f>'42)Grürog.+Silom. Biog ex S(b)'!M37</f>
        <v>454.17580645161291</v>
      </c>
      <c r="BQ32" s="1209">
        <f>'42)Grürog.+Silom. Biog ex S(b)'!N37</f>
        <v>477.34411290322578</v>
      </c>
      <c r="BR32" s="1209">
        <f>'42)Grürog.+Silom. Biog ex S(b)'!O37</f>
        <v>509.55370967741936</v>
      </c>
      <c r="BS32" s="1209">
        <f>'44)Sudangras HF Biogas ex S(b)'!M37</f>
        <v>341.53874999999999</v>
      </c>
      <c r="BT32" s="1209">
        <f>'44)Sudangras HF Biogas ex S(b)'!N37</f>
        <v>400.40437500000002</v>
      </c>
      <c r="BU32" s="1209">
        <f>'44)Sudangras HF Biogas ex S(b)'!O37</f>
        <v>436.065</v>
      </c>
      <c r="BV32" s="1209">
        <f>'51) GPS Weidelgras Biog aF (b)'!M37</f>
        <v>149.625</v>
      </c>
      <c r="BW32" s="1209">
        <f>'51) GPS Weidelgras Biog aF (b)'!N37</f>
        <v>149.625</v>
      </c>
      <c r="BX32" s="1209">
        <f>'51) GPS Weidelgras Biog aF (b)'!O37</f>
        <v>149.625</v>
      </c>
      <c r="BY32" s="1209">
        <f>'48)Zuhirse HF Biogas ex S(b)'!M37</f>
        <v>341.53874999999999</v>
      </c>
      <c r="BZ32" s="1209">
        <f>'48)Zuhirse HF Biogas ex S(b)'!N37</f>
        <v>400.40437500000002</v>
      </c>
      <c r="CA32" s="1209">
        <f>'48)Zuhirse HF Biogas ex S(b)'!O37</f>
        <v>436.065</v>
      </c>
      <c r="CB32" s="1209">
        <f>'46)GPS+Sudangr Biogas ex S(b)'!M37</f>
        <v>461.53258064516126</v>
      </c>
      <c r="CC32" s="1209">
        <f>'46)GPS+Sudangr Biogas ex S(b)'!N37</f>
        <v>483.00564516129032</v>
      </c>
      <c r="CD32" s="1209">
        <f>'46)GPS+Sudangr Biogas ex S(b)'!O37</f>
        <v>504.47870967741937</v>
      </c>
      <c r="CE32" s="1209">
        <f>'48)Zuhirse HF Biogas ex S(b)'!M37</f>
        <v>341.53874999999999</v>
      </c>
      <c r="CF32" s="1209">
        <f>'48)Zuhirse HF Biogas ex S(b)'!N37</f>
        <v>400.40437500000002</v>
      </c>
      <c r="CG32" s="1209">
        <f>'48)Zuhirse HF Biogas ex S(b)'!O37</f>
        <v>436.065</v>
      </c>
      <c r="CH32" s="1209">
        <f>'54)Dw. Silphie Biogas ex S(b)'!M37</f>
        <v>234.41775000000001</v>
      </c>
      <c r="CI32" s="1209">
        <f>'54)Dw. Silphie Biogas ex S(b)'!N37</f>
        <v>298.60687499999995</v>
      </c>
      <c r="CJ32" s="1209">
        <f>'54)Dw. Silphie Biogas ex S(b)'!O37</f>
        <v>362.79600000000005</v>
      </c>
    </row>
    <row r="33" spans="1:88" s="172" customFormat="1" ht="17.100000000000001" customHeight="1" x14ac:dyDescent="0.2">
      <c r="A33" s="892"/>
      <c r="B33" s="2235" t="s">
        <v>276</v>
      </c>
      <c r="C33" s="2553"/>
      <c r="D33" s="2211" t="s">
        <v>266</v>
      </c>
      <c r="E33" s="1210">
        <f>'1)Grünf. 3Nutz.(b)'!$M$40</f>
        <v>0</v>
      </c>
      <c r="F33" s="1212">
        <f>'2)Grünf. 4Nutz.(b)'!$M$40</f>
        <v>0</v>
      </c>
      <c r="G33" s="1209">
        <f>'3)Grünf. 5Nutz.(b)'!$M$40</f>
        <v>0</v>
      </c>
      <c r="H33" s="1211">
        <f>'4)GS 3Nutz.eig.mech.(b)'!$M$40</f>
        <v>164.86458333333331</v>
      </c>
      <c r="I33" s="1208">
        <f>'5)GS 4Nutz.eig.mech(b)'!$M$40</f>
        <v>197.83750000000003</v>
      </c>
      <c r="J33" s="1212">
        <f>'6)GS 5Nutz.eig.mech.(b)'!$M$40</f>
        <v>274.77430555555554</v>
      </c>
      <c r="K33" s="1208">
        <f>'7)GS3Nutz.Fremdmech(b)'!$M$40</f>
        <v>164.86458333333331</v>
      </c>
      <c r="L33" s="1208">
        <f>'8)GS4Nutz.Fremdmech(b)'!$M$40</f>
        <v>197.83750000000003</v>
      </c>
      <c r="M33" s="1208">
        <f>'9)GS 5Nutz.Fremd(b)'!$M$40</f>
        <v>274.77430555555554</v>
      </c>
      <c r="N33" s="1210">
        <f>'10) GS 3Nutz. Ballensil.(b)'!$M$40</f>
        <v>0</v>
      </c>
      <c r="O33" s="1211">
        <f>'11)Heu 2Nutz.-(b)'!$M$40</f>
        <v>105.19738372093023</v>
      </c>
      <c r="P33" s="1208">
        <f>'12)Heu 3Nutz.(b)'!$M$40</f>
        <v>149.02962693798452</v>
      </c>
      <c r="Q33" s="2247">
        <f>'13)Grascobs 5Nutz.(b)'!$M$40</f>
        <v>272.73894032921817</v>
      </c>
      <c r="R33" s="1212">
        <f>'14)Weide_ext.(b)'!$M$40</f>
        <v>0</v>
      </c>
      <c r="S33" s="1208">
        <f>'15)Weide int. 4Nutz.(b)'!$M$40</f>
        <v>0</v>
      </c>
      <c r="T33" s="1211">
        <f>'17)Kleegras-GrünFu-Eig.mech(b)'!$M$40</f>
        <v>0</v>
      </c>
      <c r="U33" s="1212">
        <f>'18)Kleegrassi-Fremnernt(b)'!$M$40</f>
        <v>233.14183501683502</v>
      </c>
      <c r="V33" s="1209">
        <f>'19)LuzerneSil-Fremdernte(b)'!$M$40</f>
        <v>226.28472222222223</v>
      </c>
      <c r="W33" s="1208">
        <f>'20)Silomais int(b)'!$M38</f>
        <v>239.80303030303031</v>
      </c>
      <c r="X33" s="1212">
        <f>'20)Silomais int(b)'!$N38</f>
        <v>289.76199494949492</v>
      </c>
      <c r="Y33" s="1214">
        <f>'20)Silomais int(b)'!$O38</f>
        <v>339.72095959595953</v>
      </c>
      <c r="Z33" s="1211">
        <f>'21)Futterrüben(b)'!$M38</f>
        <v>558.00320512820508</v>
      </c>
      <c r="AA33" s="1212">
        <f>'21)Futterrüben(b)'!$N38</f>
        <v>659.45833333333326</v>
      </c>
      <c r="AB33" s="1209">
        <f>'21)Futterrüben(b)'!$O38</f>
        <v>760.91346153846155</v>
      </c>
      <c r="AC33" s="1215">
        <f>'22)ZWF-Raps-(b)'!M38</f>
        <v>0</v>
      </c>
      <c r="AD33" s="1212">
        <f>'22)ZWF-Raps-(b)'!N38</f>
        <v>0</v>
      </c>
      <c r="AE33" s="1213">
        <f>'22)ZWF-Raps-(b)'!O38</f>
        <v>0</v>
      </c>
      <c r="AF33" s="2777"/>
      <c r="AG33" s="1208">
        <f>'23)GPS-(b)'!M38</f>
        <v>159.79182692307697</v>
      </c>
      <c r="AH33" s="1212">
        <f>'23)GPS-(b)'!N38</f>
        <v>186.42379807692311</v>
      </c>
      <c r="AI33" s="1209">
        <f>'23)GPS-(b)'!O38</f>
        <v>213.05576923076924</v>
      </c>
      <c r="AJ33" s="1208">
        <f>'24)Mais LKS-(b)'!M38</f>
        <v>98.636930199430196</v>
      </c>
      <c r="AK33" s="1212">
        <f>'24)Mais LKS-(b)'!N38</f>
        <v>113.43246972934473</v>
      </c>
      <c r="AL33" s="1209">
        <f>'24)Mais LKS-(b)'!O38</f>
        <v>128.22800925925924</v>
      </c>
      <c r="AM33" s="1208">
        <f>'25)Mais CCM-(b)'!M38</f>
        <v>69.416666666666671</v>
      </c>
      <c r="AN33" s="1212">
        <f>'25)Mais CCM-(b)'!N38</f>
        <v>80.9861111111111</v>
      </c>
      <c r="AO33" s="1209">
        <f>'25)Mais CCM-(b)'!O38</f>
        <v>92.555555555555557</v>
      </c>
      <c r="AP33" s="1211">
        <f>'26)M(ais feucht-b)'!$M38</f>
        <v>59.805128205128213</v>
      </c>
      <c r="AQ33" s="1212">
        <f>'26)M(ais feucht-b)'!$N38</f>
        <v>71.018589743589729</v>
      </c>
      <c r="AR33" s="1209">
        <f>'26)M(ais feucht-b)'!$O38</f>
        <v>82.232051282051287</v>
      </c>
      <c r="AS33" s="1211">
        <f>'27)Silomais Biogas ab Feld-(b)'!M38</f>
        <v>0</v>
      </c>
      <c r="AT33" s="1212">
        <f>'27)Silomais Biogas ab Feld-(b)'!N38</f>
        <v>0</v>
      </c>
      <c r="AU33" s="1209">
        <f>'27)Silomais Biogas ab Feld-(b)'!O38</f>
        <v>0</v>
      </c>
      <c r="AV33" s="1208">
        <f>'28)Silomais Biogas ex Silo (b)'!M38</f>
        <v>239.80303030303031</v>
      </c>
      <c r="AW33" s="1212">
        <f>'28)Silomais Biogas ex Silo (b)'!N38</f>
        <v>299.75378787878788</v>
      </c>
      <c r="AX33" s="1209">
        <f>'28)Silomais Biogas ex Silo (b)'!O38</f>
        <v>359.70454545454538</v>
      </c>
      <c r="AY33" s="1208">
        <f>'29)Triticale-GPS Biogas Feld(b)'!M38</f>
        <v>0</v>
      </c>
      <c r="AZ33" s="1212">
        <f>'29)Triticale-GPS Biogas Feld(b)'!N38</f>
        <v>0</v>
      </c>
      <c r="BA33" s="1209">
        <f>'29)Triticale-GPS Biogas Feld(b)'!O38</f>
        <v>0</v>
      </c>
      <c r="BB33" s="1208">
        <f>'30)Tritic-GPS Biogas ex Silo(b)'!M38</f>
        <v>202.91025641025647</v>
      </c>
      <c r="BC33" s="1212">
        <f>'30)Tritic-GPS Biogas ex Silo(b)'!N38</f>
        <v>243.49230769230775</v>
      </c>
      <c r="BD33" s="1209">
        <f>'30)Tritic-GPS Biogas ex Silo(b)'!O38</f>
        <v>284.07435897435903</v>
      </c>
      <c r="BE33" s="1213">
        <f>'33)Kleegrassil 4N Biogas aF(b)'!M38</f>
        <v>0</v>
      </c>
      <c r="BF33" s="1209">
        <f>'33)Kleegrassil 4N Biogas aF(b)'!N38</f>
        <v>0</v>
      </c>
      <c r="BG33" s="1209">
        <f>'33)Kleegrassil 4N Biogas aF(b)'!O38</f>
        <v>0</v>
      </c>
      <c r="BH33" s="1209">
        <f>'34)Kleegrassil 4N Biog ex S(b)'!M38</f>
        <v>212.14192708333334</v>
      </c>
      <c r="BI33" s="1209">
        <f>'34)Kleegrassil 4N Biog ex S(b)'!N38</f>
        <v>254.5703125</v>
      </c>
      <c r="BJ33" s="1209">
        <f>'34)Kleegrassil 4N Biog ex S(b)'!O38</f>
        <v>296.99869791666669</v>
      </c>
      <c r="BK33" s="2247">
        <f>'36)GS 3Nutz. Biogas Feld-(b)'!$M$40</f>
        <v>0</v>
      </c>
      <c r="BL33" s="2247">
        <f>'37)GS 3Nutz. Biogas ex Silo (b)'!$M$40</f>
        <v>164.86458333333337</v>
      </c>
      <c r="BM33" s="1209">
        <f>'40)GrünroggenVFBiogas ex S(b)'!M38</f>
        <v>0</v>
      </c>
      <c r="BN33" s="1209">
        <f>'40)GrünroggenVFBiogas ex S(b)'!N38</f>
        <v>0</v>
      </c>
      <c r="BO33" s="1209">
        <f>'40)GrünroggenVFBiogas ex S(b)'!O38</f>
        <v>0</v>
      </c>
      <c r="BP33" s="1209">
        <f>'42)Grürog.+Silom. Biog ex S(b)'!M38</f>
        <v>368.81720430107532</v>
      </c>
      <c r="BQ33" s="1209">
        <f>'42)Grürog.+Silom. Biog ex S(b)'!N38</f>
        <v>416.07190860215053</v>
      </c>
      <c r="BR33" s="1209">
        <f>'42)Grürog.+Silom. Biog ex S(b)'!O38</f>
        <v>481.76747311827961</v>
      </c>
      <c r="BS33" s="1209">
        <f>'44)Sudangras HF Biogas ex S(b)'!M38</f>
        <v>242.44791666666669</v>
      </c>
      <c r="BT33" s="1209">
        <f>'44)Sudangras HF Biogas ex S(b)'!N38</f>
        <v>315.18229166666663</v>
      </c>
      <c r="BU33" s="1209">
        <f>'44)Sudangras HF Biogas ex S(b)'!O38</f>
        <v>387.91666666666669</v>
      </c>
      <c r="BV33" s="1209">
        <f>'51) GPS Weidelgras Biog aF (b)'!M38</f>
        <v>329.72916666666663</v>
      </c>
      <c r="BW33" s="1209">
        <f>'51) GPS Weidelgras Biog aF (b)'!N38</f>
        <v>395.67500000000001</v>
      </c>
      <c r="BX33" s="1209">
        <f>'51) GPS Weidelgras Biog aF (b)'!O38</f>
        <v>461.62083333333334</v>
      </c>
      <c r="BY33" s="1209">
        <f>'48)Zuhirse HF Biogas ex S(b)'!M38</f>
        <v>242.44791666666669</v>
      </c>
      <c r="BZ33" s="1209">
        <f>'48)Zuhirse HF Biogas ex S(b)'!N38</f>
        <v>315.18229166666663</v>
      </c>
      <c r="CA33" s="1209">
        <f>'48)Zuhirse HF Biogas ex S(b)'!O38</f>
        <v>387.91666666666669</v>
      </c>
      <c r="CB33" s="1209">
        <f>'46)GPS+Sudangr Biogas ex S(b)'!M38</f>
        <v>394.17338709677421</v>
      </c>
      <c r="CC33" s="1209">
        <f>'46)GPS+Sudangr Biogas ex S(b)'!N38</f>
        <v>437.97043010752685</v>
      </c>
      <c r="CD33" s="1209">
        <f>'46)GPS+Sudangr Biogas ex S(b)'!O38</f>
        <v>481.76747311827961</v>
      </c>
      <c r="CE33" s="1209">
        <f>'48)Zuhirse HF Biogas ex S(b)'!M38</f>
        <v>242.44791666666669</v>
      </c>
      <c r="CF33" s="1209">
        <f>'48)Zuhirse HF Biogas ex S(b)'!N38</f>
        <v>315.18229166666663</v>
      </c>
      <c r="CG33" s="1209">
        <f>'48)Zuhirse HF Biogas ex S(b)'!O38</f>
        <v>387.91666666666669</v>
      </c>
      <c r="CH33" s="1209">
        <f>'54)Dw. Silphie Biogas ex S(b)'!M38</f>
        <v>235.52083333333331</v>
      </c>
      <c r="CI33" s="1209">
        <f>'54)Dw. Silphie Biogas ex S(b)'!N38</f>
        <v>306.17708333333331</v>
      </c>
      <c r="CJ33" s="1209">
        <f>'54)Dw. Silphie Biogas ex S(b)'!O38</f>
        <v>376.83333333333337</v>
      </c>
    </row>
    <row r="34" spans="1:88" s="172" customFormat="1" ht="17.100000000000001" customHeight="1" x14ac:dyDescent="0.2">
      <c r="A34" s="892"/>
      <c r="B34" s="2235" t="s">
        <v>945</v>
      </c>
      <c r="C34" s="2553"/>
      <c r="D34" s="2211" t="s">
        <v>266</v>
      </c>
      <c r="E34" s="1210">
        <f>'1)Grünf. 3Nutz.(b)'!$M$41</f>
        <v>363.47481170033677</v>
      </c>
      <c r="F34" s="1212">
        <f>'2)Grünf. 4Nutz.(b)'!$M$41</f>
        <v>363.47481170033677</v>
      </c>
      <c r="G34" s="1209">
        <f>'3)Grünf. 5Nutz.(b)'!$M$41</f>
        <v>363.47481170033677</v>
      </c>
      <c r="H34" s="1211">
        <f>'4)GS 3Nutz.eig.mech.(b)'!$M$41</f>
        <v>595.46639351851854</v>
      </c>
      <c r="I34" s="1208">
        <f>'5)GS 4Nutz.eig.mech(b)'!$M$41</f>
        <v>595.46639351851854</v>
      </c>
      <c r="J34" s="1212">
        <f>'6)GS 5Nutz.eig.mech.(b)'!$M$41</f>
        <v>595.46639351851854</v>
      </c>
      <c r="K34" s="1208">
        <f>'7)GS3Nutz.Fremdmech(b)'!$M$41</f>
        <v>250</v>
      </c>
      <c r="L34" s="1208">
        <f>'8)GS4Nutz.Fremdmech(b)'!$M$41</f>
        <v>250</v>
      </c>
      <c r="M34" s="1208">
        <f>'9)GS 5Nutz.Fremd(b)'!$M$41</f>
        <v>250</v>
      </c>
      <c r="N34" s="1210">
        <f>'10) GS 3Nutz. Ballensil.(b)'!$M$41</f>
        <v>250</v>
      </c>
      <c r="O34" s="1211">
        <f>'11)Heu 2Nutz.-(b)'!$M$41</f>
        <v>367.23451346801352</v>
      </c>
      <c r="P34" s="1208">
        <f>'12)Heu 3Nutz.(b)'!$M$41</f>
        <v>367.23451346801352</v>
      </c>
      <c r="Q34" s="2247">
        <f>'13)Grascobs 5Nutz.(b)'!$M$41</f>
        <v>452.6058117003368</v>
      </c>
      <c r="R34" s="1212">
        <f>'14)Weide_ext.(b)'!$M$41</f>
        <v>162.25191905092592</v>
      </c>
      <c r="S34" s="1208">
        <f>'15)Weide int. 4Nutz.(b)'!$M$41</f>
        <v>162.25191905092592</v>
      </c>
      <c r="T34" s="1211">
        <f>'17)Kleegras-GrünFu-Eig.mech(b)'!$M$41</f>
        <v>250</v>
      </c>
      <c r="U34" s="1212">
        <f>'18)Kleegrassi-Fremnernt(b)'!$M$41</f>
        <v>300</v>
      </c>
      <c r="V34" s="1209">
        <f>'19)LuzerneSil-Fremdernte(b)'!$M$41</f>
        <v>300</v>
      </c>
      <c r="W34" s="1208">
        <f>'20)Silomais int(b)'!$M39</f>
        <v>474.92314405092588</v>
      </c>
      <c r="X34" s="1212">
        <f>'20)Silomais int(b)'!$N39</f>
        <v>474.92314405092588</v>
      </c>
      <c r="Y34" s="1214">
        <f>'20)Silomais int(b)'!$O39</f>
        <v>474.92314405092588</v>
      </c>
      <c r="Z34" s="1211">
        <f>'21)Futterrüben(b)'!$M39</f>
        <v>474.92314405092588</v>
      </c>
      <c r="AA34" s="1212">
        <f>'21)Futterrüben(b)'!$N39</f>
        <v>474.92314405092588</v>
      </c>
      <c r="AB34" s="1209">
        <f>'21)Futterrüben(b)'!$O39</f>
        <v>474.92314405092588</v>
      </c>
      <c r="AC34" s="1215">
        <f>'22)ZWF-Raps-(b)'!M39</f>
        <v>0</v>
      </c>
      <c r="AD34" s="1212">
        <f>'22)ZWF-Raps-(b)'!N39</f>
        <v>0</v>
      </c>
      <c r="AE34" s="1213">
        <f>'22)ZWF-Raps-(b)'!O39</f>
        <v>0</v>
      </c>
      <c r="AF34" s="2777"/>
      <c r="AG34" s="1208">
        <f>'23)GPS-(b)'!M39</f>
        <v>462.14197384259256</v>
      </c>
      <c r="AH34" s="1212">
        <f>'23)GPS-(b)'!N39</f>
        <v>462.14197384259256</v>
      </c>
      <c r="AI34" s="1209">
        <f>'23)GPS-(b)'!O39</f>
        <v>462.14197384259256</v>
      </c>
      <c r="AJ34" s="1208">
        <f>'24)Mais LKS-(b)'!M39</f>
        <v>474.92314405092588</v>
      </c>
      <c r="AK34" s="1212">
        <f>'24)Mais LKS-(b)'!N39</f>
        <v>474.92314405092588</v>
      </c>
      <c r="AL34" s="1209">
        <f>'24)Mais LKS-(b)'!O39</f>
        <v>474.92314405092588</v>
      </c>
      <c r="AM34" s="1208">
        <f>'25)Mais CCM-(b)'!M39</f>
        <v>474.92314405092588</v>
      </c>
      <c r="AN34" s="1212">
        <f>'25)Mais CCM-(b)'!N39</f>
        <v>474.92314405092588</v>
      </c>
      <c r="AO34" s="1209">
        <f>'25)Mais CCM-(b)'!O39</f>
        <v>474.92314405092588</v>
      </c>
      <c r="AP34" s="1211">
        <f>'26)M(ais feucht-b)'!$M39</f>
        <v>474.92314405092588</v>
      </c>
      <c r="AQ34" s="1212">
        <f>'26)M(ais feucht-b)'!$N39</f>
        <v>474.92314405092588</v>
      </c>
      <c r="AR34" s="1209">
        <f>'26)M(ais feucht-b)'!$O39</f>
        <v>474.92314405092588</v>
      </c>
      <c r="AS34" s="1211">
        <f>'27)Silomais Biogas ab Feld-(b)'!M39</f>
        <v>440.9584190509259</v>
      </c>
      <c r="AT34" s="1212">
        <f>'27)Silomais Biogas ab Feld-(b)'!N39</f>
        <v>440.9584190509259</v>
      </c>
      <c r="AU34" s="1209">
        <f>'27)Silomais Biogas ab Feld-(b)'!O39</f>
        <v>440.9584190509259</v>
      </c>
      <c r="AV34" s="1208">
        <f>'28)Silomais Biogas ex Silo (b)'!M39</f>
        <v>474.92314405092588</v>
      </c>
      <c r="AW34" s="1212">
        <f>'28)Silomais Biogas ex Silo (b)'!N39</f>
        <v>474.92314405092588</v>
      </c>
      <c r="AX34" s="1209">
        <f>'28)Silomais Biogas ex Silo (b)'!O39</f>
        <v>474.92314405092588</v>
      </c>
      <c r="AY34" s="1208">
        <f>'29)Triticale-GPS Biogas Feld(b)'!M39</f>
        <v>428.17724884259258</v>
      </c>
      <c r="AZ34" s="1212">
        <f>'29)Triticale-GPS Biogas Feld(b)'!N39</f>
        <v>428.17724884259258</v>
      </c>
      <c r="BA34" s="1209">
        <f>'29)Triticale-GPS Biogas Feld(b)'!O39</f>
        <v>428.17724884259258</v>
      </c>
      <c r="BB34" s="1208">
        <f>'30)Tritic-GPS Biogas ex Silo(b)'!M39</f>
        <v>462.14197384259256</v>
      </c>
      <c r="BC34" s="1212">
        <f>'30)Tritic-GPS Biogas ex Silo(b)'!N39</f>
        <v>462.14197384259256</v>
      </c>
      <c r="BD34" s="1209">
        <f>'30)Tritic-GPS Biogas ex Silo(b)'!O39</f>
        <v>462.14197384259256</v>
      </c>
      <c r="BE34" s="1213">
        <f>'33)Kleegrassil 4N Biogas aF(b)'!M39</f>
        <v>538.02750111531986</v>
      </c>
      <c r="BF34" s="1209">
        <f>'33)Kleegrassil 4N Biogas aF(b)'!N39</f>
        <v>538.02750111531986</v>
      </c>
      <c r="BG34" s="1209">
        <f>'33)Kleegrassil 4N Biogas aF(b)'!O39</f>
        <v>538.02750111531986</v>
      </c>
      <c r="BH34" s="1209">
        <f>'34)Kleegrassil 4N Biog ex S(b)'!M39</f>
        <v>760.08231247895617</v>
      </c>
      <c r="BI34" s="1209">
        <f>'34)Kleegrassil 4N Biog ex S(b)'!N39</f>
        <v>760.08231247895617</v>
      </c>
      <c r="BJ34" s="1209">
        <f>'34)Kleegrassil 4N Biog ex S(b)'!O39</f>
        <v>760.08231247895617</v>
      </c>
      <c r="BK34" s="2247">
        <f>'36)GS 3Nutz. Biogas Feld-(b)'!$M$41</f>
        <v>247.56691851851858</v>
      </c>
      <c r="BL34" s="2247">
        <f>'37)GS 3Nutz. Biogas ex Silo (b)'!$M$41</f>
        <v>400.65863846801352</v>
      </c>
      <c r="BM34" s="1209">
        <f>'40)GrünroggenVFBiogas ex S(b)'!M39</f>
        <v>0</v>
      </c>
      <c r="BN34" s="1209">
        <f>'40)GrünroggenVFBiogas ex S(b)'!N39</f>
        <v>0</v>
      </c>
      <c r="BO34" s="1209">
        <f>'40)GrünroggenVFBiogas ex S(b)'!O39</f>
        <v>0</v>
      </c>
      <c r="BP34" s="1209">
        <f>'42)Grürog.+Silom. Biog ex S(b)'!M39</f>
        <v>474.92314405092588</v>
      </c>
      <c r="BQ34" s="1209">
        <f>'42)Grürog.+Silom. Biog ex S(b)'!N39</f>
        <v>474.92314405092588</v>
      </c>
      <c r="BR34" s="1209">
        <f>'42)Grürog.+Silom. Biog ex S(b)'!O39</f>
        <v>474.92314405092588</v>
      </c>
      <c r="BS34" s="1209">
        <f>'44)Sudangras HF Biogas ex S(b)'!M39</f>
        <v>474.92314405092588</v>
      </c>
      <c r="BT34" s="1209">
        <f>'44)Sudangras HF Biogas ex S(b)'!N39</f>
        <v>474.92314405092588</v>
      </c>
      <c r="BU34" s="1209">
        <f>'44)Sudangras HF Biogas ex S(b)'!O39</f>
        <v>474.92314405092588</v>
      </c>
      <c r="BV34" s="1209">
        <f>'51) GPS Weidelgras Biog aF (b)'!M39</f>
        <v>474.92314405092588</v>
      </c>
      <c r="BW34" s="1209">
        <f>'51) GPS Weidelgras Biog aF (b)'!N39</f>
        <v>474.92314405092588</v>
      </c>
      <c r="BX34" s="1209">
        <f>'51) GPS Weidelgras Biog aF (b)'!O39</f>
        <v>474.92314405092588</v>
      </c>
      <c r="BY34" s="1209">
        <f>'48)Zuhirse HF Biogas ex S(b)'!M39</f>
        <v>474.92314405092588</v>
      </c>
      <c r="BZ34" s="1209">
        <f>'48)Zuhirse HF Biogas ex S(b)'!N39</f>
        <v>474.92314405092588</v>
      </c>
      <c r="CA34" s="1209">
        <f>'48)Zuhirse HF Biogas ex S(b)'!O39</f>
        <v>474.92314405092588</v>
      </c>
      <c r="CB34" s="1209">
        <f>'46)GPS+Sudangr Biogas ex S(b)'!M39</f>
        <v>474.92314405092588</v>
      </c>
      <c r="CC34" s="1209">
        <f>'46)GPS+Sudangr Biogas ex S(b)'!N39</f>
        <v>474.92314405092588</v>
      </c>
      <c r="CD34" s="1209">
        <f>'46)GPS+Sudangr Biogas ex S(b)'!O39</f>
        <v>474.92314405092588</v>
      </c>
      <c r="CE34" s="1209">
        <f>'48)Zuhirse HF Biogas ex S(b)'!M39</f>
        <v>474.92314405092588</v>
      </c>
      <c r="CF34" s="1209">
        <f>'48)Zuhirse HF Biogas ex S(b)'!N39</f>
        <v>474.92314405092588</v>
      </c>
      <c r="CG34" s="1209">
        <f>'48)Zuhirse HF Biogas ex S(b)'!O39</f>
        <v>474.92314405092588</v>
      </c>
      <c r="CH34" s="1209">
        <f>'54)Dw. Silphie Biogas ex S(b)'!M39</f>
        <v>474.92314405092588</v>
      </c>
      <c r="CI34" s="1209">
        <f>'54)Dw. Silphie Biogas ex S(b)'!N39</f>
        <v>474.92314405092588</v>
      </c>
      <c r="CJ34" s="1209">
        <f>'54)Dw. Silphie Biogas ex S(b)'!O39</f>
        <v>474.92314405092588</v>
      </c>
    </row>
    <row r="35" spans="1:88" s="172" customFormat="1" ht="17.100000000000001" customHeight="1" x14ac:dyDescent="0.2">
      <c r="A35" s="892"/>
      <c r="B35" s="2235" t="s">
        <v>277</v>
      </c>
      <c r="C35" s="2553"/>
      <c r="D35" s="2211" t="s">
        <v>266</v>
      </c>
      <c r="E35" s="1210">
        <f>'1)Grünf. 3Nutz.(b)'!$M$42</f>
        <v>69.02</v>
      </c>
      <c r="F35" s="1212">
        <f>'2)Grünf. 4Nutz.(b)'!$M$42</f>
        <v>69.02</v>
      </c>
      <c r="G35" s="1209">
        <f>'3)Grünf. 5Nutz.(b)'!$M$42</f>
        <v>69.02</v>
      </c>
      <c r="H35" s="1211">
        <f>'4)GS 3Nutz.eig.mech.(b)'!$M$42</f>
        <v>69.02</v>
      </c>
      <c r="I35" s="1208">
        <f>'5)GS 4Nutz.eig.mech(b)'!$M$42</f>
        <v>69.02</v>
      </c>
      <c r="J35" s="1212">
        <f>'6)GS 5Nutz.eig.mech.(b)'!$M$42</f>
        <v>69.02</v>
      </c>
      <c r="K35" s="1208">
        <f>'7)GS3Nutz.Fremdmech(b)'!$M$42</f>
        <v>69.02</v>
      </c>
      <c r="L35" s="1208">
        <f>'8)GS4Nutz.Fremdmech(b)'!$M$42</f>
        <v>69.02</v>
      </c>
      <c r="M35" s="1208">
        <f>'9)GS 5Nutz.Fremd(b)'!$M$42</f>
        <v>69.02</v>
      </c>
      <c r="N35" s="1210">
        <f>'10) GS 3Nutz. Ballensil.(b)'!$M$42</f>
        <v>69.02</v>
      </c>
      <c r="O35" s="1211">
        <f>'11)Heu 2Nutz.-(b)'!$M$42</f>
        <v>69.02</v>
      </c>
      <c r="P35" s="1208">
        <f>'12)Heu 3Nutz.(b)'!$M$42</f>
        <v>69.02</v>
      </c>
      <c r="Q35" s="2247">
        <f>'13)Grascobs 5Nutz.(b)'!$M$42</f>
        <v>69.02</v>
      </c>
      <c r="R35" s="1212">
        <f>'14)Weide_ext.(b)'!$M$42</f>
        <v>69.02</v>
      </c>
      <c r="S35" s="1208">
        <f>'15)Weide int. 4Nutz.(b)'!$M$42</f>
        <v>69.02</v>
      </c>
      <c r="T35" s="1211">
        <f>'17)Kleegras-GrünFu-Eig.mech(b)'!$M$42</f>
        <v>69.02</v>
      </c>
      <c r="U35" s="1212">
        <f>'18)Kleegrassi-Fremnernt(b)'!$M$42</f>
        <v>69.02</v>
      </c>
      <c r="V35" s="1209">
        <f>'19)LuzerneSil-Fremdernte(b)'!$M$42</f>
        <v>69.02</v>
      </c>
      <c r="W35" s="1208">
        <f>'20)Silomais int(b)'!$M40</f>
        <v>69.02</v>
      </c>
      <c r="X35" s="1212">
        <f>'20)Silomais int(b)'!$N40</f>
        <v>69.02</v>
      </c>
      <c r="Y35" s="1214">
        <f>'20)Silomais int(b)'!$O40</f>
        <v>69.02</v>
      </c>
      <c r="Z35" s="1211">
        <f>'21)Futterrüben(b)'!$M40</f>
        <v>69.02</v>
      </c>
      <c r="AA35" s="1212">
        <f>'21)Futterrüben(b)'!$N40</f>
        <v>69.02</v>
      </c>
      <c r="AB35" s="1209">
        <f>'21)Futterrüben(b)'!$O40</f>
        <v>69.02</v>
      </c>
      <c r="AC35" s="1215">
        <f>'22)ZWF-Raps-(b)'!M40</f>
        <v>0</v>
      </c>
      <c r="AD35" s="1212">
        <f>'22)ZWF-Raps-(b)'!N40</f>
        <v>0</v>
      </c>
      <c r="AE35" s="1213">
        <f>'22)ZWF-Raps-(b)'!O40</f>
        <v>0</v>
      </c>
      <c r="AF35" s="2777"/>
      <c r="AG35" s="1208">
        <f>'23)GPS-(b)'!M40</f>
        <v>69.02</v>
      </c>
      <c r="AH35" s="1212">
        <f>'23)GPS-(b)'!N40</f>
        <v>69.02</v>
      </c>
      <c r="AI35" s="1209">
        <f>'23)GPS-(b)'!O40</f>
        <v>69.02</v>
      </c>
      <c r="AJ35" s="1208">
        <f>'24)Mais LKS-(b)'!M40</f>
        <v>69.02</v>
      </c>
      <c r="AK35" s="1212">
        <f>'24)Mais LKS-(b)'!N40</f>
        <v>69.02</v>
      </c>
      <c r="AL35" s="1209">
        <f>'24)Mais LKS-(b)'!O40</f>
        <v>69.02</v>
      </c>
      <c r="AM35" s="1208">
        <f>'25)Mais CCM-(b)'!M40</f>
        <v>69.02</v>
      </c>
      <c r="AN35" s="1212">
        <f>'25)Mais CCM-(b)'!N40</f>
        <v>69.02</v>
      </c>
      <c r="AO35" s="1209">
        <f>'25)Mais CCM-(b)'!O40</f>
        <v>69.02</v>
      </c>
      <c r="AP35" s="1211">
        <f>'26)M(ais feucht-b)'!$M40</f>
        <v>69.02</v>
      </c>
      <c r="AQ35" s="1212">
        <f>'26)M(ais feucht-b)'!$N40</f>
        <v>69.02</v>
      </c>
      <c r="AR35" s="1209">
        <f>'26)M(ais feucht-b)'!$O40</f>
        <v>69.02</v>
      </c>
      <c r="AS35" s="1211">
        <f>'27)Silomais Biogas ab Feld-(b)'!M40</f>
        <v>69.02</v>
      </c>
      <c r="AT35" s="1212">
        <f>'27)Silomais Biogas ab Feld-(b)'!N40</f>
        <v>69.02</v>
      </c>
      <c r="AU35" s="1209">
        <f>'27)Silomais Biogas ab Feld-(b)'!O40</f>
        <v>69.02</v>
      </c>
      <c r="AV35" s="1208">
        <f>'28)Silomais Biogas ex Silo (b)'!M40</f>
        <v>69.02</v>
      </c>
      <c r="AW35" s="1212">
        <f>'28)Silomais Biogas ex Silo (b)'!N40</f>
        <v>69.02</v>
      </c>
      <c r="AX35" s="1209">
        <f>'28)Silomais Biogas ex Silo (b)'!O40</f>
        <v>69.02</v>
      </c>
      <c r="AY35" s="1208">
        <f>'29)Triticale-GPS Biogas Feld(b)'!M40</f>
        <v>69.02</v>
      </c>
      <c r="AZ35" s="1212">
        <f>'29)Triticale-GPS Biogas Feld(b)'!N40</f>
        <v>69.02</v>
      </c>
      <c r="BA35" s="1209">
        <f>'29)Triticale-GPS Biogas Feld(b)'!O40</f>
        <v>69.02</v>
      </c>
      <c r="BB35" s="1208">
        <f>'30)Tritic-GPS Biogas ex Silo(b)'!M40</f>
        <v>69.02</v>
      </c>
      <c r="BC35" s="1212">
        <f>'30)Tritic-GPS Biogas ex Silo(b)'!N40</f>
        <v>69.02</v>
      </c>
      <c r="BD35" s="1209">
        <f>'30)Tritic-GPS Biogas ex Silo(b)'!O40</f>
        <v>69.02</v>
      </c>
      <c r="BE35" s="1213">
        <f>'33)Kleegrassil 4N Biogas aF(b)'!M40</f>
        <v>69.02</v>
      </c>
      <c r="BF35" s="1209">
        <f>'33)Kleegrassil 4N Biogas aF(b)'!N40</f>
        <v>69.02</v>
      </c>
      <c r="BG35" s="1209">
        <f>'33)Kleegrassil 4N Biogas aF(b)'!O40</f>
        <v>69.02</v>
      </c>
      <c r="BH35" s="1209">
        <f>'34)Kleegrassil 4N Biog ex S(b)'!M40</f>
        <v>69.02</v>
      </c>
      <c r="BI35" s="1209">
        <f>'34)Kleegrassil 4N Biog ex S(b)'!N40</f>
        <v>69.02</v>
      </c>
      <c r="BJ35" s="1209">
        <f>'34)Kleegrassil 4N Biog ex S(b)'!O40</f>
        <v>69.02</v>
      </c>
      <c r="BK35" s="2247">
        <f>'36)GS 3Nutz. Biogas Feld-(b)'!$M$42</f>
        <v>69.02</v>
      </c>
      <c r="BL35" s="2247">
        <f>'37)GS 3Nutz. Biogas ex Silo (b)'!$M$42</f>
        <v>69.02</v>
      </c>
      <c r="BM35" s="1209">
        <f>'40)GrünroggenVFBiogas ex S(b)'!M40</f>
        <v>0</v>
      </c>
      <c r="BN35" s="1209">
        <f>'40)GrünroggenVFBiogas ex S(b)'!N40</f>
        <v>0</v>
      </c>
      <c r="BO35" s="1209">
        <f>'40)GrünroggenVFBiogas ex S(b)'!O40</f>
        <v>0</v>
      </c>
      <c r="BP35" s="1209">
        <f>'42)Grürog.+Silom. Biog ex S(b)'!M40</f>
        <v>69.02</v>
      </c>
      <c r="BQ35" s="1209">
        <f>'42)Grürog.+Silom. Biog ex S(b)'!N40</f>
        <v>69.02</v>
      </c>
      <c r="BR35" s="1209">
        <f>'42)Grürog.+Silom. Biog ex S(b)'!O40</f>
        <v>69.02</v>
      </c>
      <c r="BS35" s="1209">
        <f>'44)Sudangras HF Biogas ex S(b)'!M40</f>
        <v>69.02</v>
      </c>
      <c r="BT35" s="1209">
        <f>'44)Sudangras HF Biogas ex S(b)'!N40</f>
        <v>69.02</v>
      </c>
      <c r="BU35" s="1209">
        <f>'44)Sudangras HF Biogas ex S(b)'!O40</f>
        <v>69.02</v>
      </c>
      <c r="BV35" s="1209">
        <f>'51) GPS Weidelgras Biog aF (b)'!M40</f>
        <v>69.02</v>
      </c>
      <c r="BW35" s="1209">
        <f>'51) GPS Weidelgras Biog aF (b)'!N40</f>
        <v>69.02</v>
      </c>
      <c r="BX35" s="1209">
        <f>'51) GPS Weidelgras Biog aF (b)'!O40</f>
        <v>69.02</v>
      </c>
      <c r="BY35" s="1209">
        <f>'48)Zuhirse HF Biogas ex S(b)'!M40</f>
        <v>69.02</v>
      </c>
      <c r="BZ35" s="1209">
        <f>'48)Zuhirse HF Biogas ex S(b)'!N40</f>
        <v>69.02</v>
      </c>
      <c r="CA35" s="1209">
        <f>'48)Zuhirse HF Biogas ex S(b)'!O40</f>
        <v>69.02</v>
      </c>
      <c r="CB35" s="1209">
        <f>'46)GPS+Sudangr Biogas ex S(b)'!M40</f>
        <v>69.02</v>
      </c>
      <c r="CC35" s="1209">
        <f>'46)GPS+Sudangr Biogas ex S(b)'!N40</f>
        <v>69.02</v>
      </c>
      <c r="CD35" s="1209">
        <f>'46)GPS+Sudangr Biogas ex S(b)'!O40</f>
        <v>69.02</v>
      </c>
      <c r="CE35" s="1209">
        <f>'48)Zuhirse HF Biogas ex S(b)'!M40</f>
        <v>69.02</v>
      </c>
      <c r="CF35" s="1209">
        <f>'48)Zuhirse HF Biogas ex S(b)'!N40</f>
        <v>69.02</v>
      </c>
      <c r="CG35" s="1209">
        <f>'48)Zuhirse HF Biogas ex S(b)'!O40</f>
        <v>69.02</v>
      </c>
      <c r="CH35" s="1209">
        <f>'54)Dw. Silphie Biogas ex S(b)'!M40</f>
        <v>69.02</v>
      </c>
      <c r="CI35" s="1209">
        <f>'54)Dw. Silphie Biogas ex S(b)'!N40</f>
        <v>69.02</v>
      </c>
      <c r="CJ35" s="1209">
        <f>'54)Dw. Silphie Biogas ex S(b)'!O40</f>
        <v>69.02</v>
      </c>
    </row>
    <row r="36" spans="1:88" s="172" customFormat="1" ht="17.100000000000001" customHeight="1" x14ac:dyDescent="0.2">
      <c r="A36" s="892"/>
      <c r="B36" s="2235" t="s">
        <v>980</v>
      </c>
      <c r="C36" s="2553"/>
      <c r="D36" s="2206" t="s">
        <v>266</v>
      </c>
      <c r="E36" s="1210">
        <f>'1)Grünf. 3Nutz.(b)'!$M$43</f>
        <v>90</v>
      </c>
      <c r="F36" s="1212">
        <f>'2)Grünf. 4Nutz.(b)'!$M$43</f>
        <v>210</v>
      </c>
      <c r="G36" s="1209">
        <f>'3)Grünf. 5Nutz.(b)'!$M$43</f>
        <v>210</v>
      </c>
      <c r="H36" s="1211">
        <f>'4)GS 3Nutz.eig.mech.(b)'!$M$43</f>
        <v>90</v>
      </c>
      <c r="I36" s="1208">
        <f>'5)GS 4Nutz.eig.mech(b)'!$M$43</f>
        <v>210</v>
      </c>
      <c r="J36" s="1212">
        <f>'6)GS 5Nutz.eig.mech.(b)'!$M$43</f>
        <v>210</v>
      </c>
      <c r="K36" s="1208">
        <f>'7)GS3Nutz.Fremdmech(b)'!$M$43</f>
        <v>210</v>
      </c>
      <c r="L36" s="1208">
        <f>'8)GS4Nutz.Fremdmech(b)'!$M$43</f>
        <v>210</v>
      </c>
      <c r="M36" s="1208">
        <f>'9)GS 5Nutz.Fremd(b)'!$M$43</f>
        <v>210</v>
      </c>
      <c r="N36" s="1210">
        <f>'10) GS 3Nutz. Ballensil.(b)'!$M$43</f>
        <v>210</v>
      </c>
      <c r="O36" s="1211">
        <f>'11)Heu 2Nutz.-(b)'!$M$43</f>
        <v>90</v>
      </c>
      <c r="P36" s="1208">
        <f>'12)Heu 3Nutz.(b)'!$M$43</f>
        <v>210</v>
      </c>
      <c r="Q36" s="2247">
        <f>'13)Grascobs 5Nutz.(b)'!$M$43</f>
        <v>210</v>
      </c>
      <c r="R36" s="1212">
        <f>'14)Weide_ext.(b)'!$M$43</f>
        <v>90</v>
      </c>
      <c r="S36" s="1208">
        <f>'15)Weide int. 4Nutz.(b)'!$M$43</f>
        <v>210</v>
      </c>
      <c r="T36" s="1211">
        <f>'17)Kleegras-GrünFu-Eig.mech(b)'!$M$43</f>
        <v>0</v>
      </c>
      <c r="U36" s="1212">
        <f>'18)Kleegrassi-Fremnernt(b)'!$M$43</f>
        <v>0</v>
      </c>
      <c r="V36" s="1209">
        <f>'19)LuzerneSil-Fremdernte(b)'!$M$43</f>
        <v>0</v>
      </c>
      <c r="W36" s="1208">
        <f>'20)Silomais int(b)'!$M41</f>
        <v>310</v>
      </c>
      <c r="X36" s="1212">
        <f>'20)Silomais int(b)'!$N41</f>
        <v>0</v>
      </c>
      <c r="Y36" s="1214">
        <f>'20)Silomais int(b)'!$O41</f>
        <v>0</v>
      </c>
      <c r="Z36" s="1211">
        <f>'21)Futterrüben(b)'!$M41</f>
        <v>310</v>
      </c>
      <c r="AA36" s="1212">
        <f>'21)Futterrüben(b)'!$N41</f>
        <v>0</v>
      </c>
      <c r="AB36" s="1209">
        <f>'21)Futterrüben(b)'!$O41</f>
        <v>0</v>
      </c>
      <c r="AC36" s="1215">
        <f>'22)ZWF-Raps-(b)'!M41</f>
        <v>0</v>
      </c>
      <c r="AD36" s="1212">
        <f>'22)ZWF-Raps-(b)'!N41</f>
        <v>0</v>
      </c>
      <c r="AE36" s="1213">
        <f>'22)ZWF-Raps-(b)'!O41</f>
        <v>0</v>
      </c>
      <c r="AF36" s="2777"/>
      <c r="AG36" s="1208">
        <f>'23)GPS-(b)'!M41</f>
        <v>310</v>
      </c>
      <c r="AH36" s="1212">
        <f>'23)GPS-(b)'!N41</f>
        <v>0</v>
      </c>
      <c r="AI36" s="1209">
        <f>'23)GPS-(b)'!O41</f>
        <v>0</v>
      </c>
      <c r="AJ36" s="1208">
        <f>'24)Mais LKS-(b)'!M41</f>
        <v>310</v>
      </c>
      <c r="AK36" s="1212">
        <f>'24)Mais LKS-(b)'!N41</f>
        <v>0</v>
      </c>
      <c r="AL36" s="1209">
        <f>'24)Mais LKS-(b)'!O41</f>
        <v>0</v>
      </c>
      <c r="AM36" s="1208">
        <f>'25)Mais CCM-(b)'!M41</f>
        <v>310</v>
      </c>
      <c r="AN36" s="1212">
        <f>'25)Mais CCM-(b)'!N41</f>
        <v>0</v>
      </c>
      <c r="AO36" s="1209">
        <f>'25)Mais CCM-(b)'!O41</f>
        <v>0</v>
      </c>
      <c r="AP36" s="1211">
        <f>'26)M(ais feucht-b)'!$M41</f>
        <v>310</v>
      </c>
      <c r="AQ36" s="1212">
        <f>'26)M(ais feucht-b)'!$N41</f>
        <v>0</v>
      </c>
      <c r="AR36" s="1209">
        <f>'26)M(ais feucht-b)'!$O41</f>
        <v>0</v>
      </c>
      <c r="AS36" s="1211">
        <f>'27)Silomais Biogas ab Feld-(b)'!M41</f>
        <v>310</v>
      </c>
      <c r="AT36" s="1212">
        <f>'27)Silomais Biogas ab Feld-(b)'!N41</f>
        <v>0</v>
      </c>
      <c r="AU36" s="1209">
        <f>'27)Silomais Biogas ab Feld-(b)'!O41</f>
        <v>0</v>
      </c>
      <c r="AV36" s="1208">
        <f>'28)Silomais Biogas ex Silo (b)'!M41</f>
        <v>310</v>
      </c>
      <c r="AW36" s="1212">
        <f>'28)Silomais Biogas ex Silo (b)'!N41</f>
        <v>310</v>
      </c>
      <c r="AX36" s="1209">
        <f>'28)Silomais Biogas ex Silo (b)'!O41</f>
        <v>310</v>
      </c>
      <c r="AY36" s="1208">
        <f>'29)Triticale-GPS Biogas Feld(b)'!M41</f>
        <v>310</v>
      </c>
      <c r="AZ36" s="1212">
        <f>'29)Triticale-GPS Biogas Feld(b)'!N41</f>
        <v>0</v>
      </c>
      <c r="BA36" s="1209">
        <f>'29)Triticale-GPS Biogas Feld(b)'!O41</f>
        <v>0</v>
      </c>
      <c r="BB36" s="1208">
        <f>'30)Tritic-GPS Biogas ex Silo(b)'!M41</f>
        <v>310</v>
      </c>
      <c r="BC36" s="1212">
        <f>'30)Tritic-GPS Biogas ex Silo(b)'!N41</f>
        <v>250</v>
      </c>
      <c r="BD36" s="1209">
        <f>'30)Tritic-GPS Biogas ex Silo(b)'!O41</f>
        <v>0</v>
      </c>
      <c r="BE36" s="1213">
        <f>'33)Kleegrassil 4N Biogas aF(b)'!M41</f>
        <v>310</v>
      </c>
      <c r="BF36" s="1209">
        <f>'33)Kleegrassil 4N Biogas aF(b)'!N41</f>
        <v>0</v>
      </c>
      <c r="BG36" s="1209">
        <f>'33)Kleegrassil 4N Biogas aF(b)'!O41</f>
        <v>0</v>
      </c>
      <c r="BH36" s="1209">
        <f>'34)Kleegrassil 4N Biog ex S(b)'!M41</f>
        <v>310</v>
      </c>
      <c r="BI36" s="1209">
        <f>'34)Kleegrassil 4N Biog ex S(b)'!N41</f>
        <v>0</v>
      </c>
      <c r="BJ36" s="1209">
        <f>'34)Kleegrassil 4N Biog ex S(b)'!O41</f>
        <v>0</v>
      </c>
      <c r="BK36" s="2247">
        <f>'36)GS 3Nutz. Biogas Feld-(b)'!$M$43</f>
        <v>0</v>
      </c>
      <c r="BL36" s="2247">
        <f>'37)GS 3Nutz. Biogas ex Silo (b)'!$M$43</f>
        <v>0</v>
      </c>
      <c r="BM36" s="1209">
        <f>'40)GrünroggenVFBiogas ex S(b)'!M41</f>
        <v>0</v>
      </c>
      <c r="BN36" s="1209">
        <f>'40)GrünroggenVFBiogas ex S(b)'!N41</f>
        <v>0</v>
      </c>
      <c r="BO36" s="1209">
        <f>'40)GrünroggenVFBiogas ex S(b)'!O41</f>
        <v>0</v>
      </c>
      <c r="BP36" s="1209">
        <f>'42)Grürog.+Silom. Biog ex S(b)'!M41</f>
        <v>310</v>
      </c>
      <c r="BQ36" s="1209">
        <f>'42)Grürog.+Silom. Biog ex S(b)'!N41</f>
        <v>0</v>
      </c>
      <c r="BR36" s="1209">
        <f>'42)Grürog.+Silom. Biog ex S(b)'!O41</f>
        <v>0</v>
      </c>
      <c r="BS36" s="1209">
        <f>'44)Sudangras HF Biogas ex S(b)'!M41</f>
        <v>310</v>
      </c>
      <c r="BT36" s="1209">
        <f>'44)Sudangras HF Biogas ex S(b)'!N41</f>
        <v>0</v>
      </c>
      <c r="BU36" s="1209">
        <f>'44)Sudangras HF Biogas ex S(b)'!O41</f>
        <v>0</v>
      </c>
      <c r="BV36" s="1209">
        <f>'51) GPS Weidelgras Biog aF (b)'!M41</f>
        <v>310</v>
      </c>
      <c r="BW36" s="1209">
        <f>'51) GPS Weidelgras Biog aF (b)'!N41</f>
        <v>310</v>
      </c>
      <c r="BX36" s="1209">
        <f>'51) GPS Weidelgras Biog aF (b)'!O41</f>
        <v>310</v>
      </c>
      <c r="BY36" s="1209">
        <f>'48)Zuhirse HF Biogas ex S(b)'!M41</f>
        <v>310</v>
      </c>
      <c r="BZ36" s="1209">
        <f>'48)Zuhirse HF Biogas ex S(b)'!N41</f>
        <v>0</v>
      </c>
      <c r="CA36" s="1209">
        <f>'48)Zuhirse HF Biogas ex S(b)'!O41</f>
        <v>0</v>
      </c>
      <c r="CB36" s="1209">
        <f>'46)GPS+Sudangr Biogas ex S(b)'!M41</f>
        <v>310</v>
      </c>
      <c r="CC36" s="1209">
        <f>'46)GPS+Sudangr Biogas ex S(b)'!N41</f>
        <v>0</v>
      </c>
      <c r="CD36" s="1209">
        <f>'46)GPS+Sudangr Biogas ex S(b)'!O41</f>
        <v>0</v>
      </c>
      <c r="CE36" s="1209">
        <f>'48)Zuhirse HF Biogas ex S(b)'!M41</f>
        <v>310</v>
      </c>
      <c r="CF36" s="1209">
        <f>'48)Zuhirse HF Biogas ex S(b)'!N41</f>
        <v>0</v>
      </c>
      <c r="CG36" s="1209">
        <f>'48)Zuhirse HF Biogas ex S(b)'!O41</f>
        <v>0</v>
      </c>
      <c r="CH36" s="1209">
        <f>'54)Dw. Silphie Biogas ex S(b)'!M41</f>
        <v>310</v>
      </c>
      <c r="CI36" s="1209">
        <f>'54)Dw. Silphie Biogas ex S(b)'!N41</f>
        <v>0</v>
      </c>
      <c r="CJ36" s="1209">
        <f>'54)Dw. Silphie Biogas ex S(b)'!O41</f>
        <v>0</v>
      </c>
    </row>
    <row r="37" spans="1:88" s="172" customFormat="1" ht="17.100000000000001" customHeight="1" x14ac:dyDescent="0.2">
      <c r="A37" s="892"/>
      <c r="B37" s="2235" t="s">
        <v>916</v>
      </c>
      <c r="C37" s="2553"/>
      <c r="D37" s="2211" t="s">
        <v>266</v>
      </c>
      <c r="E37" s="1210">
        <f>'1)Grünf. 3Nutz.(b)'!$M$44</f>
        <v>128.80000000000001</v>
      </c>
      <c r="F37" s="1212">
        <f>'2)Grünf. 4Nutz.(b)'!$M$44</f>
        <v>128.80000000000001</v>
      </c>
      <c r="G37" s="1209">
        <f>'3)Grünf. 5Nutz.(b)'!$M$44</f>
        <v>128.80000000000001</v>
      </c>
      <c r="H37" s="1211">
        <f>'4)GS 3Nutz.eig.mech.(b)'!$M$44</f>
        <v>128.80000000000001</v>
      </c>
      <c r="I37" s="1208">
        <f>'5)GS 4Nutz.eig.mech(b)'!$M$44</f>
        <v>128.80000000000001</v>
      </c>
      <c r="J37" s="1212">
        <f>'6)GS 5Nutz.eig.mech.(b)'!$M$44</f>
        <v>128.80000000000001</v>
      </c>
      <c r="K37" s="1208">
        <f>'7)GS3Nutz.Fremdmech(b)'!$M$44</f>
        <v>128.80000000000001</v>
      </c>
      <c r="L37" s="1208">
        <f>'8)GS4Nutz.Fremdmech(b)'!$M$44</f>
        <v>128.80000000000001</v>
      </c>
      <c r="M37" s="1208">
        <f>'9)GS 5Nutz.Fremd(b)'!$M$44</f>
        <v>128.80000000000001</v>
      </c>
      <c r="N37" s="1210">
        <f>'10) GS 3Nutz. Ballensil.(b)'!$M$44</f>
        <v>128.80000000000001</v>
      </c>
      <c r="O37" s="1211">
        <f>'11)Heu 2Nutz.-(b)'!$M$44</f>
        <v>128.80000000000001</v>
      </c>
      <c r="P37" s="1208">
        <f>'12)Heu 3Nutz.(b)'!$M$44</f>
        <v>128.80000000000001</v>
      </c>
      <c r="Q37" s="2247">
        <f>'13)Grascobs 5Nutz.(b)'!$M$44</f>
        <v>128.80000000000001</v>
      </c>
      <c r="R37" s="1212">
        <f>'14)Weide_ext.(b)'!$M$44</f>
        <v>128.80000000000001</v>
      </c>
      <c r="S37" s="1208">
        <f>'15)Weide int. 4Nutz.(b)'!$M$44</f>
        <v>128.80000000000001</v>
      </c>
      <c r="T37" s="1211">
        <f>'17)Kleegras-GrünFu-Eig.mech(b)'!$M$44</f>
        <v>128.80000000000001</v>
      </c>
      <c r="U37" s="1212">
        <f>'18)Kleegrassi-Fremnernt(b)'!$M$44</f>
        <v>128.80000000000001</v>
      </c>
      <c r="V37" s="1209">
        <f>'19)LuzerneSil-Fremdernte(b)'!$M$44</f>
        <v>128.80000000000001</v>
      </c>
      <c r="W37" s="1208">
        <f>'20)Silomais int(b)'!$M42</f>
        <v>128.80000000000001</v>
      </c>
      <c r="X37" s="1212">
        <f>'20)Silomais int(b)'!$N42</f>
        <v>128.80000000000001</v>
      </c>
      <c r="Y37" s="1214">
        <f>'20)Silomais int(b)'!$O42</f>
        <v>128.80000000000001</v>
      </c>
      <c r="Z37" s="1211">
        <f>'21)Futterrüben(b)'!$M42</f>
        <v>128.80000000000001</v>
      </c>
      <c r="AA37" s="1212">
        <f>'21)Futterrüben(b)'!$N42</f>
        <v>128.80000000000001</v>
      </c>
      <c r="AB37" s="1209">
        <f>'21)Futterrüben(b)'!$O42</f>
        <v>128.80000000000001</v>
      </c>
      <c r="AC37" s="1215">
        <f>'22)ZWF-Raps-(b)'!M42</f>
        <v>0</v>
      </c>
      <c r="AD37" s="1212">
        <f>'22)ZWF-Raps-(b)'!N42</f>
        <v>0</v>
      </c>
      <c r="AE37" s="1213">
        <f>'22)ZWF-Raps-(b)'!O42</f>
        <v>0</v>
      </c>
      <c r="AF37" s="2777"/>
      <c r="AG37" s="1208">
        <f>'23)GPS-(b)'!M42</f>
        <v>128.80000000000001</v>
      </c>
      <c r="AH37" s="1212">
        <f>'23)GPS-(b)'!N42</f>
        <v>128.80000000000001</v>
      </c>
      <c r="AI37" s="1209">
        <f>'23)GPS-(b)'!O42</f>
        <v>128.80000000000001</v>
      </c>
      <c r="AJ37" s="1208">
        <f>'24)Mais LKS-(b)'!M42</f>
        <v>128.80000000000001</v>
      </c>
      <c r="AK37" s="1212">
        <f>'24)Mais LKS-(b)'!N42</f>
        <v>128.80000000000001</v>
      </c>
      <c r="AL37" s="1209">
        <f>'24)Mais LKS-(b)'!O42</f>
        <v>128.80000000000001</v>
      </c>
      <c r="AM37" s="1208">
        <f>'25)Mais CCM-(b)'!M42</f>
        <v>128.80000000000001</v>
      </c>
      <c r="AN37" s="1212">
        <f>'25)Mais CCM-(b)'!N42</f>
        <v>128.80000000000001</v>
      </c>
      <c r="AO37" s="1209">
        <f>'25)Mais CCM-(b)'!O42</f>
        <v>128.80000000000001</v>
      </c>
      <c r="AP37" s="1211">
        <f>'26)M(ais feucht-b)'!$M42</f>
        <v>128.80000000000001</v>
      </c>
      <c r="AQ37" s="1212">
        <f>'26)M(ais feucht-b)'!$N42</f>
        <v>128.80000000000001</v>
      </c>
      <c r="AR37" s="1209">
        <f>'26)M(ais feucht-b)'!$O42</f>
        <v>128.80000000000001</v>
      </c>
      <c r="AS37" s="1211">
        <f>'27)Silomais Biogas ab Feld-(b)'!M42</f>
        <v>128.80000000000001</v>
      </c>
      <c r="AT37" s="1212">
        <f>'27)Silomais Biogas ab Feld-(b)'!N42</f>
        <v>128.80000000000001</v>
      </c>
      <c r="AU37" s="1209">
        <f>'27)Silomais Biogas ab Feld-(b)'!O42</f>
        <v>128.80000000000001</v>
      </c>
      <c r="AV37" s="1208">
        <f>'28)Silomais Biogas ex Silo (b)'!M42</f>
        <v>128.80000000000001</v>
      </c>
      <c r="AW37" s="1212">
        <f>'28)Silomais Biogas ex Silo (b)'!N42</f>
        <v>128.80000000000001</v>
      </c>
      <c r="AX37" s="1209">
        <f>'28)Silomais Biogas ex Silo (b)'!O42</f>
        <v>128.80000000000001</v>
      </c>
      <c r="AY37" s="1208">
        <f>'29)Triticale-GPS Biogas Feld(b)'!M42</f>
        <v>128.80000000000001</v>
      </c>
      <c r="AZ37" s="1212">
        <f>'29)Triticale-GPS Biogas Feld(b)'!N42</f>
        <v>128.80000000000001</v>
      </c>
      <c r="BA37" s="1209">
        <f>'29)Triticale-GPS Biogas Feld(b)'!O42</f>
        <v>128.80000000000001</v>
      </c>
      <c r="BB37" s="1208">
        <f>'30)Tritic-GPS Biogas ex Silo(b)'!M42</f>
        <v>128.80000000000001</v>
      </c>
      <c r="BC37" s="1212">
        <f>'30)Tritic-GPS Biogas ex Silo(b)'!N42</f>
        <v>128.80000000000001</v>
      </c>
      <c r="BD37" s="1209">
        <f>'30)Tritic-GPS Biogas ex Silo(b)'!O42</f>
        <v>128.80000000000001</v>
      </c>
      <c r="BE37" s="1213">
        <f>'33)Kleegrassil 4N Biogas aF(b)'!M42</f>
        <v>128.80000000000001</v>
      </c>
      <c r="BF37" s="1209">
        <f>'33)Kleegrassil 4N Biogas aF(b)'!N42</f>
        <v>128.80000000000001</v>
      </c>
      <c r="BG37" s="1209">
        <f>'33)Kleegrassil 4N Biogas aF(b)'!O42</f>
        <v>128.80000000000001</v>
      </c>
      <c r="BH37" s="1209">
        <f>'34)Kleegrassil 4N Biog ex S(b)'!M42</f>
        <v>128.80000000000001</v>
      </c>
      <c r="BI37" s="1209">
        <f>'34)Kleegrassil 4N Biog ex S(b)'!N42</f>
        <v>128.80000000000001</v>
      </c>
      <c r="BJ37" s="1209">
        <f>'34)Kleegrassil 4N Biog ex S(b)'!O42</f>
        <v>128.80000000000001</v>
      </c>
      <c r="BK37" s="2247">
        <f>'36)GS 3Nutz. Biogas Feld-(b)'!$M$44</f>
        <v>128.80000000000001</v>
      </c>
      <c r="BL37" s="2247">
        <f>'37)GS 3Nutz. Biogas ex Silo (b)'!$M$44</f>
        <v>128.80000000000001</v>
      </c>
      <c r="BM37" s="1209">
        <f>'40)GrünroggenVFBiogas ex S(b)'!M42</f>
        <v>0</v>
      </c>
      <c r="BN37" s="1209">
        <f>'40)GrünroggenVFBiogas ex S(b)'!N42</f>
        <v>0</v>
      </c>
      <c r="BO37" s="1209">
        <f>'40)GrünroggenVFBiogas ex S(b)'!O42</f>
        <v>0</v>
      </c>
      <c r="BP37" s="1209">
        <f>'42)Grürog.+Silom. Biog ex S(b)'!M42</f>
        <v>128.80000000000001</v>
      </c>
      <c r="BQ37" s="1209">
        <f>'42)Grürog.+Silom. Biog ex S(b)'!N42</f>
        <v>128.80000000000001</v>
      </c>
      <c r="BR37" s="1209">
        <f>'42)Grürog.+Silom. Biog ex S(b)'!O42</f>
        <v>128.80000000000001</v>
      </c>
      <c r="BS37" s="1209">
        <f>'44)Sudangras HF Biogas ex S(b)'!M42</f>
        <v>128.80000000000001</v>
      </c>
      <c r="BT37" s="1209">
        <f>'44)Sudangras HF Biogas ex S(b)'!N42</f>
        <v>128.80000000000001</v>
      </c>
      <c r="BU37" s="1209">
        <f>'44)Sudangras HF Biogas ex S(b)'!O42</f>
        <v>128.80000000000001</v>
      </c>
      <c r="BV37" s="1209">
        <f>'51) GPS Weidelgras Biog aF (b)'!M42</f>
        <v>128.80000000000001</v>
      </c>
      <c r="BW37" s="1209">
        <f>'51) GPS Weidelgras Biog aF (b)'!N42</f>
        <v>128.80000000000001</v>
      </c>
      <c r="BX37" s="1209">
        <f>'51) GPS Weidelgras Biog aF (b)'!O42</f>
        <v>128.80000000000001</v>
      </c>
      <c r="BY37" s="1209">
        <f>'48)Zuhirse HF Biogas ex S(b)'!M42</f>
        <v>128.80000000000001</v>
      </c>
      <c r="BZ37" s="1209">
        <f>'48)Zuhirse HF Biogas ex S(b)'!N42</f>
        <v>128.80000000000001</v>
      </c>
      <c r="CA37" s="1209">
        <f>'48)Zuhirse HF Biogas ex S(b)'!O42</f>
        <v>128.80000000000001</v>
      </c>
      <c r="CB37" s="1209">
        <f>'46)GPS+Sudangr Biogas ex S(b)'!M42</f>
        <v>128.80000000000001</v>
      </c>
      <c r="CC37" s="1209">
        <f>'46)GPS+Sudangr Biogas ex S(b)'!N42</f>
        <v>128.80000000000001</v>
      </c>
      <c r="CD37" s="1209">
        <f>'46)GPS+Sudangr Biogas ex S(b)'!O42</f>
        <v>128.80000000000001</v>
      </c>
      <c r="CE37" s="1209">
        <f>'48)Zuhirse HF Biogas ex S(b)'!M42</f>
        <v>128.80000000000001</v>
      </c>
      <c r="CF37" s="1209">
        <f>'48)Zuhirse HF Biogas ex S(b)'!N42</f>
        <v>128.80000000000001</v>
      </c>
      <c r="CG37" s="1209">
        <f>'48)Zuhirse HF Biogas ex S(b)'!O42</f>
        <v>128.80000000000001</v>
      </c>
      <c r="CH37" s="1209">
        <f>'54)Dw. Silphie Biogas ex S(b)'!M42</f>
        <v>128.80000000000001</v>
      </c>
      <c r="CI37" s="1209">
        <f>'54)Dw. Silphie Biogas ex S(b)'!N42</f>
        <v>128.80000000000001</v>
      </c>
      <c r="CJ37" s="1209">
        <f>'54)Dw. Silphie Biogas ex S(b)'!O42</f>
        <v>128.80000000000001</v>
      </c>
    </row>
    <row r="38" spans="1:88" s="1302" customFormat="1" ht="17.100000000000001" customHeight="1" x14ac:dyDescent="0.2">
      <c r="A38" s="323"/>
      <c r="B38" s="2241" t="s">
        <v>189</v>
      </c>
      <c r="C38" s="2564"/>
      <c r="D38" s="2532" t="s">
        <v>266</v>
      </c>
      <c r="E38" s="2533">
        <f>'1)Grünf. 3Nutz.(b)'!$M$45</f>
        <v>871.48593670033665</v>
      </c>
      <c r="F38" s="2534">
        <f>'2)Grünf. 4Nutz.(b)'!$M$45</f>
        <v>1020.9585617003368</v>
      </c>
      <c r="G38" s="2535">
        <f>'3)Grünf. 5Nutz.(b)'!$M$45</f>
        <v>1180.0700200336701</v>
      </c>
      <c r="H38" s="2536">
        <f>'4)GS 3Nutz.eig.mech.(b)'!$M$45</f>
        <v>1317.9144638648388</v>
      </c>
      <c r="I38" s="2537">
        <f>'5)GS 4Nutz.eig.mech(b)'!$M$45</f>
        <v>1532.324477934103</v>
      </c>
      <c r="J38" s="2534">
        <f>'6)GS 5Nutz.eig.mech.(b)'!$M$45</f>
        <v>1655.6890107623856</v>
      </c>
      <c r="K38" s="2537">
        <f>'7)GS3Nutz.Fremdmech(b)'!$M$45</f>
        <v>984.1850833333333</v>
      </c>
      <c r="L38" s="2537">
        <f>'8)GS4Nutz.Fremdmech(b)'!$M$45</f>
        <v>1056.9424999999999</v>
      </c>
      <c r="M38" s="2537">
        <f>'9)GS 5Nutz.Fremd(b)'!$M$45</f>
        <v>1173.8213055555555</v>
      </c>
      <c r="N38" s="2533">
        <f>'10) GS 3Nutz. Ballensil.(b)'!$M$45</f>
        <v>873.18550000000005</v>
      </c>
      <c r="O38" s="2536">
        <f>'11)Heu 2Nutz.-(b)'!$M$45</f>
        <v>961.55555668872421</v>
      </c>
      <c r="P38" s="2537">
        <f>'12)Heu 3Nutz.(b)'!$M$45</f>
        <v>1234.6848246973539</v>
      </c>
      <c r="Q38" s="2538">
        <f>'13)Grascobs 5Nutz.(b)'!$M$45</f>
        <v>1362.1522520295548</v>
      </c>
      <c r="R38" s="2534">
        <f>'14)Weide_ext.(b)'!$M$45</f>
        <v>713.21941905092581</v>
      </c>
      <c r="S38" s="2537">
        <f>'15)Weide int. 4Nutz.(b)'!$M$45</f>
        <v>863.24941905092601</v>
      </c>
      <c r="T38" s="2536">
        <f>'17)Kleegras-GrünFu-Eig.mech(b)'!$M$45</f>
        <v>749.29770624999992</v>
      </c>
      <c r="U38" s="2534">
        <f>'18)Kleegrassi-Fremnernt(b)'!$M$45</f>
        <v>924.2206350168351</v>
      </c>
      <c r="V38" s="2535">
        <f>'19)LuzerneSil-Fremdernte(b)'!$M$45</f>
        <v>917.36352222222217</v>
      </c>
      <c r="W38" s="2537">
        <f>'20)Silomais int(b)'!$M43</f>
        <v>1595.6951743539562</v>
      </c>
      <c r="X38" s="2534">
        <f>'20)Silomais int(b)'!$N43</f>
        <v>1370.024722333754</v>
      </c>
      <c r="Y38" s="2539">
        <f>'20)Silomais int(b)'!$O43</f>
        <v>1445.198270313552</v>
      </c>
      <c r="Z38" s="2536">
        <f>'21)Futterrüben(b)'!$M43</f>
        <v>1902.7894556880067</v>
      </c>
      <c r="AA38" s="2534">
        <f>'21)Futterrüben(b)'!$N43</f>
        <v>1728.0110927688745</v>
      </c>
      <c r="AB38" s="2535">
        <f>'21)Futterrüben(b)'!$O43</f>
        <v>1849.1407771870204</v>
      </c>
      <c r="AC38" s="2540">
        <f>'22)ZWF-Raps-(b)'!M43</f>
        <v>104.39406250000002</v>
      </c>
      <c r="AD38" s="2534">
        <f>'22)ZWF-Raps-(b)'!N43</f>
        <v>123.30500000000001</v>
      </c>
      <c r="AE38" s="2541">
        <f>'22)ZWF-Raps-(b)'!O43</f>
        <v>144.91749999999999</v>
      </c>
      <c r="AF38" s="2783"/>
      <c r="AG38" s="2537">
        <f>'23)GPS-(b)'!M43</f>
        <v>1415.4359632656694</v>
      </c>
      <c r="AH38" s="2534">
        <f>'23)GPS-(b)'!N43</f>
        <v>1154.5341281695157</v>
      </c>
      <c r="AI38" s="2535">
        <f>'23)GPS-(b)'!O43</f>
        <v>1203.6322930733618</v>
      </c>
      <c r="AJ38" s="2537">
        <f>'24)Mais LKS-(b)'!M43</f>
        <v>1367.636324250356</v>
      </c>
      <c r="AK38" s="2534">
        <f>'24)Mais LKS-(b)'!N43</f>
        <v>1089.7135512802706</v>
      </c>
      <c r="AL38" s="2535">
        <f>'24)Mais LKS-(b)'!O43</f>
        <v>1121.790778310185</v>
      </c>
      <c r="AM38" s="2537">
        <f>'25)Mais CCM-(b)'!M43</f>
        <v>1217.4403107175924</v>
      </c>
      <c r="AN38" s="2534">
        <f>'25)Mais CCM-(b)'!N43</f>
        <v>933.27400516203693</v>
      </c>
      <c r="AO38" s="2535">
        <f>'25)Mais CCM-(b)'!O43</f>
        <v>959.10769960648145</v>
      </c>
      <c r="AP38" s="2536">
        <f>'26)M(ais feucht-b)'!$M43</f>
        <v>1271.6385645637463</v>
      </c>
      <c r="AQ38" s="2534">
        <f>'26)M(ais feucht-b)'!$N43</f>
        <v>983.73551840990012</v>
      </c>
      <c r="AR38" s="2535">
        <f>'26)M(ais feucht-b)'!$O43</f>
        <v>1005.832472256054</v>
      </c>
      <c r="AS38" s="2536">
        <f>'27)Silomais Biogas ab Feld-(b)'!M43</f>
        <v>1092.4184190509259</v>
      </c>
      <c r="AT38" s="2534">
        <f>'27)Silomais Biogas ab Feld-(b)'!N43</f>
        <v>782.41841905092588</v>
      </c>
      <c r="AU38" s="2535">
        <f>'27)Silomais Biogas ab Feld-(b)'!O43</f>
        <v>782.41841905092588</v>
      </c>
      <c r="AV38" s="2537">
        <f>'28)Silomais Biogas ex Silo (b)'!M43</f>
        <v>1584.0401743539562</v>
      </c>
      <c r="AW38" s="2534">
        <f>'28)Silomais Biogas ex Silo (b)'!N43</f>
        <v>1688.6999319297138</v>
      </c>
      <c r="AX38" s="2535">
        <f>'28)Silomais Biogas ex Silo (b)'!O43</f>
        <v>1778.7926895054711</v>
      </c>
      <c r="AY38" s="2537">
        <f>'29)Triticale-GPS Biogas Feld(b)'!M43</f>
        <v>1063.5722488425927</v>
      </c>
      <c r="AZ38" s="2534">
        <f>'29)Triticale-GPS Biogas Feld(b)'!N43</f>
        <v>753.57224884259267</v>
      </c>
      <c r="BA38" s="2535">
        <f>'29)Triticale-GPS Biogas Feld(b)'!O43</f>
        <v>753.57224884259267</v>
      </c>
      <c r="BB38" s="2537">
        <f>'30)Tritic-GPS Biogas ex Silo(b)'!M43</f>
        <v>1471.6182302528491</v>
      </c>
      <c r="BC38" s="2534">
        <f>'30)Tritic-GPS Biogas ex Silo(b)'!N43</f>
        <v>1486.4344815349002</v>
      </c>
      <c r="BD38" s="2535">
        <f>'30)Tritic-GPS Biogas ex Silo(b)'!O43</f>
        <v>1311.2507328169515</v>
      </c>
      <c r="BE38" s="2541">
        <f>'33)Kleegrassil 4N Biogas aF(b)'!M43</f>
        <v>1192.3225011153197</v>
      </c>
      <c r="BF38" s="2535">
        <f>'33)Kleegrassil 4N Biogas aF(b)'!N43</f>
        <v>882.32250111531994</v>
      </c>
      <c r="BG38" s="2535">
        <f>'33)Kleegrassil 4N Biogas aF(b)'!O43</f>
        <v>882.32250111531994</v>
      </c>
      <c r="BH38" s="2535">
        <f>'34)Kleegrassil 4N Biog ex S(b)'!M43</f>
        <v>1878.1527622895621</v>
      </c>
      <c r="BI38" s="2535">
        <f>'34)Kleegrassil 4N Biog ex S(b)'!N43</f>
        <v>1630.2828522516834</v>
      </c>
      <c r="BJ38" s="2535">
        <f>'34)Kleegrassil 4N Biog ex S(b)'!O43</f>
        <v>1692.4129422138046</v>
      </c>
      <c r="BK38" s="2538">
        <f>'36)GS 3Nutz. Biogas Feld-(b)'!$M$45</f>
        <v>509.23741851851861</v>
      </c>
      <c r="BL38" s="2538">
        <f>'37)GS 3Nutz. Biogas ex Silo (b)'!$M$45</f>
        <v>1023.7513841390091</v>
      </c>
      <c r="BM38" s="2535">
        <f>'40)GrünroggenVFBiogas ex S(b)'!M43</f>
        <v>240.46470000000005</v>
      </c>
      <c r="BN38" s="2535">
        <f>'40)GrünroggenVFBiogas ex S(b)'!N43</f>
        <v>264.42863999999997</v>
      </c>
      <c r="BO38" s="2535">
        <f>'40)GrünroggenVFBiogas ex S(b)'!O43</f>
        <v>288.39258000000001</v>
      </c>
      <c r="BP38" s="2535">
        <f>'42)Grürog.+Silom. Biog ex S(b)'!M43</f>
        <v>1805.736154803614</v>
      </c>
      <c r="BQ38" s="2535">
        <f>'42)Grürog.+Silom. Biog ex S(b)'!N43</f>
        <v>1566.1591655563022</v>
      </c>
      <c r="BR38" s="2535">
        <f>'42)Grürog.+Silom. Biog ex S(b)'!O43</f>
        <v>1664.0643268466249</v>
      </c>
      <c r="BS38" s="2535">
        <f>'44)Sudangras HF Biogas ex S(b)'!M43</f>
        <v>1566.7298107175925</v>
      </c>
      <c r="BT38" s="2535">
        <f>'44)Sudangras HF Biogas ex S(b)'!N43</f>
        <v>1388.3298107175924</v>
      </c>
      <c r="BU38" s="2535">
        <f>'44)Sudangras HF Biogas ex S(b)'!O43</f>
        <v>1496.7248107175926</v>
      </c>
      <c r="BV38" s="2535">
        <f>'51) GPS Weidelgras Biog aF (b)'!M43</f>
        <v>1462.0973107175926</v>
      </c>
      <c r="BW38" s="2535">
        <f>'51) GPS Weidelgras Biog aF (b)'!N43</f>
        <v>1528.0431440509258</v>
      </c>
      <c r="BX38" s="2535">
        <f>'51) GPS Weidelgras Biog aF (b)'!O43</f>
        <v>1593.9889773842592</v>
      </c>
      <c r="BY38" s="2535">
        <f>'48)Zuhirse HF Biogas ex S(b)'!M43</f>
        <v>1566.7298107175925</v>
      </c>
      <c r="BZ38" s="2535">
        <f>'48)Zuhirse HF Biogas ex S(b)'!N43</f>
        <v>1388.3298107175924</v>
      </c>
      <c r="CA38" s="2535">
        <f>'48)Zuhirse HF Biogas ex S(b)'!O43</f>
        <v>1496.7248107175926</v>
      </c>
      <c r="CB38" s="2535">
        <f>'46)GPS+Sudangr Biogas ex S(b)'!M43</f>
        <v>1838.4491117928612</v>
      </c>
      <c r="CC38" s="2535">
        <f>'46)GPS+Sudangr Biogas ex S(b)'!N43</f>
        <v>1593.7192193197429</v>
      </c>
      <c r="CD38" s="2535">
        <f>'46)GPS+Sudangr Biogas ex S(b)'!O43</f>
        <v>1658.9893268466249</v>
      </c>
      <c r="CE38" s="2535">
        <f>'48)Zuhirse HF Biogas ex S(b)'!M43</f>
        <v>1566.7298107175925</v>
      </c>
      <c r="CF38" s="2535">
        <f>'48)Zuhirse HF Biogas ex S(b)'!N43</f>
        <v>1388.3298107175924</v>
      </c>
      <c r="CG38" s="2535">
        <f>'48)Zuhirse HF Biogas ex S(b)'!O43</f>
        <v>1496.7248107175926</v>
      </c>
      <c r="CH38" s="2535">
        <f>'54)Dw. Silphie Biogas ex S(b)'!M43</f>
        <v>1452.6817273842591</v>
      </c>
      <c r="CI38" s="2535">
        <f>'54)Dw. Silphie Biogas ex S(b)'!N43</f>
        <v>1277.527102384259</v>
      </c>
      <c r="CJ38" s="2535">
        <f>'54)Dw. Silphie Biogas ex S(b)'!O43</f>
        <v>1412.3724773842594</v>
      </c>
    </row>
    <row r="39" spans="1:88" s="172" customFormat="1" ht="17.100000000000001" customHeight="1" x14ac:dyDescent="0.2">
      <c r="A39" s="2264"/>
      <c r="B39" s="2645"/>
      <c r="C39" s="2542"/>
      <c r="D39" s="2342"/>
      <c r="E39" s="2343"/>
      <c r="F39" s="2343"/>
      <c r="G39" s="2343"/>
      <c r="H39" s="2343"/>
      <c r="I39" s="2343"/>
      <c r="J39" s="2639"/>
      <c r="K39" s="2343"/>
      <c r="L39" s="2343"/>
      <c r="M39" s="2343"/>
      <c r="N39" s="2343"/>
      <c r="O39" s="2343"/>
      <c r="P39" s="2343"/>
      <c r="Q39" s="2343"/>
      <c r="R39" s="2343"/>
      <c r="S39" s="2343"/>
      <c r="T39" s="2758"/>
      <c r="U39" s="2343"/>
      <c r="V39" s="2343"/>
      <c r="W39" s="2343"/>
      <c r="X39" s="2343"/>
      <c r="Y39" s="2343"/>
      <c r="Z39" s="2343"/>
      <c r="AA39" s="2343"/>
      <c r="AB39" s="2343"/>
      <c r="AC39" s="2343"/>
      <c r="AD39" s="2343"/>
      <c r="AE39" s="2343"/>
      <c r="AF39" s="2778"/>
      <c r="AG39" s="2343"/>
      <c r="AH39" s="2343"/>
      <c r="AI39" s="2343"/>
      <c r="AJ39" s="2343"/>
      <c r="AK39" s="2343"/>
      <c r="AL39" s="2343"/>
      <c r="AM39" s="2343"/>
      <c r="AN39" s="2343"/>
      <c r="AO39" s="2628"/>
      <c r="AP39" s="2343"/>
      <c r="AQ39" s="2343"/>
      <c r="AR39" s="2343"/>
      <c r="AS39" s="2758"/>
      <c r="AT39" s="2343"/>
      <c r="AU39" s="2343"/>
      <c r="AV39" s="2343"/>
      <c r="AW39" s="2343"/>
      <c r="AX39" s="2343"/>
      <c r="AY39" s="2343"/>
      <c r="AZ39" s="2343"/>
      <c r="BA39" s="2343"/>
      <c r="BB39" s="2343"/>
      <c r="BC39" s="2343"/>
      <c r="BD39" s="2628"/>
      <c r="BE39" s="2343"/>
      <c r="BF39" s="2343"/>
      <c r="BG39" s="2343"/>
      <c r="BH39" s="2343"/>
      <c r="BI39" s="2343"/>
      <c r="BJ39" s="2628"/>
      <c r="BK39" s="2758"/>
      <c r="BL39" s="2628"/>
      <c r="BM39" s="2343"/>
      <c r="BN39" s="2343"/>
      <c r="BO39" s="2343"/>
      <c r="BP39" s="2343"/>
      <c r="BQ39" s="2343"/>
      <c r="BR39" s="2343"/>
      <c r="BS39" s="2343"/>
      <c r="BT39" s="2343"/>
      <c r="BU39" s="2343"/>
      <c r="BV39" s="2343"/>
      <c r="BW39" s="2343"/>
      <c r="BX39" s="2343"/>
      <c r="BY39" s="2343"/>
      <c r="BZ39" s="2343"/>
      <c r="CA39" s="2343"/>
      <c r="CB39" s="2343"/>
      <c r="CC39" s="2343"/>
      <c r="CD39" s="2343"/>
      <c r="CE39" s="2343"/>
      <c r="CF39" s="2343"/>
      <c r="CG39" s="2343"/>
      <c r="CH39" s="2343"/>
      <c r="CI39" s="2343"/>
      <c r="CJ39" s="2628"/>
    </row>
    <row r="40" spans="1:88" s="942" customFormat="1" ht="17.100000000000001" customHeight="1" x14ac:dyDescent="0.25">
      <c r="A40" s="233"/>
      <c r="B40" s="3431" t="s">
        <v>1197</v>
      </c>
      <c r="C40" s="2565"/>
      <c r="D40" s="2321" t="s">
        <v>266</v>
      </c>
      <c r="E40" s="2191">
        <f>'1)Grünf. 3Nutz.(b)'!$M$47</f>
        <v>0</v>
      </c>
      <c r="F40" s="2190">
        <f>'2)Grünf. 4Nutz.(b)'!$M$47</f>
        <v>0</v>
      </c>
      <c r="G40" s="2322">
        <f>'3)Grünf. 5Nutz.(b)'!$M$47</f>
        <v>0</v>
      </c>
      <c r="H40" s="2192">
        <f>'4)GS 3Nutz.eig.mech.(b)'!$M$47</f>
        <v>0</v>
      </c>
      <c r="I40" s="2319">
        <f>'5)GS 4Nutz.eig.mech(b)'!$M$47</f>
        <v>0</v>
      </c>
      <c r="J40" s="2190">
        <f>'6)GS 5Nutz.eig.mech.(b)'!$M$47</f>
        <v>0</v>
      </c>
      <c r="K40" s="2319">
        <f>'7)GS3Nutz.Fremdmech(b)'!$M$47</f>
        <v>0</v>
      </c>
      <c r="L40" s="2319">
        <f>'8)GS4Nutz.Fremdmech(b)'!$M$47</f>
        <v>0</v>
      </c>
      <c r="M40" s="2319">
        <f>'9)GS 5Nutz.Fremd(b)'!$M$47</f>
        <v>0</v>
      </c>
      <c r="N40" s="2191">
        <f>'10) GS 3Nutz. Ballensil.(b)'!$M$47</f>
        <v>0</v>
      </c>
      <c r="O40" s="2192">
        <f>'11)Heu 2Nutz.-(b)'!$M$47</f>
        <v>0</v>
      </c>
      <c r="P40" s="2319">
        <f>'12)Heu 3Nutz.(b)'!$M$47</f>
        <v>0</v>
      </c>
      <c r="Q40" s="2251">
        <f>'13)Grascobs 5Nutz.(b)'!$M$47</f>
        <v>0</v>
      </c>
      <c r="R40" s="2190">
        <f>'14)Weide_ext.(b)'!$M$47</f>
        <v>0</v>
      </c>
      <c r="S40" s="2319">
        <f>'15)Weide int. 4Nutz.(b)'!$M$47</f>
        <v>0</v>
      </c>
      <c r="T40" s="2192">
        <f>'17)Kleegras-GrünFu-Eig.mech(b)'!$M$47</f>
        <v>0</v>
      </c>
      <c r="U40" s="2190">
        <f>'18)Kleegrassi-Fremnernt(b)'!$M$47</f>
        <v>0</v>
      </c>
      <c r="V40" s="2322">
        <f>'19)LuzerneSil-Fremdernte(b)'!$M$47</f>
        <v>0</v>
      </c>
      <c r="W40" s="2319">
        <f>'20)Silomais int(b)'!$M45</f>
        <v>0</v>
      </c>
      <c r="X40" s="2190">
        <f>'20)Silomais int(b)'!$N45</f>
        <v>0</v>
      </c>
      <c r="Y40" s="2193">
        <f>'20)Silomais int(b)'!$O45</f>
        <v>0</v>
      </c>
      <c r="Z40" s="2192">
        <f>'21)Futterrüben(b)'!$M45</f>
        <v>0</v>
      </c>
      <c r="AA40" s="2190">
        <f>'21)Futterrüben(b)'!$N45</f>
        <v>0</v>
      </c>
      <c r="AB40" s="2322">
        <f>'21)Futterrüben(b)'!$O45</f>
        <v>0</v>
      </c>
      <c r="AC40" s="2323">
        <f>'22)ZWF-Raps-(b)'!M45</f>
        <v>0</v>
      </c>
      <c r="AD40" s="2190">
        <f>'22)ZWF-Raps-(b)'!N45</f>
        <v>0</v>
      </c>
      <c r="AE40" s="2324">
        <f>'22)ZWF-Raps-(b)'!O45</f>
        <v>0</v>
      </c>
      <c r="AF40" s="2780"/>
      <c r="AG40" s="2319">
        <f>'23)GPS-(b)'!M45</f>
        <v>0</v>
      </c>
      <c r="AH40" s="2190">
        <f>'23)GPS-(b)'!N45</f>
        <v>0</v>
      </c>
      <c r="AI40" s="2322">
        <f>'23)GPS-(b)'!O45</f>
        <v>0</v>
      </c>
      <c r="AJ40" s="2319">
        <f>'24)Mais LKS-(b)'!M45</f>
        <v>0</v>
      </c>
      <c r="AK40" s="2190">
        <f>'24)Mais LKS-(b)'!N45</f>
        <v>0</v>
      </c>
      <c r="AL40" s="2322">
        <f>'24)Mais LKS-(b)'!O45</f>
        <v>0</v>
      </c>
      <c r="AM40" s="2319">
        <f>'25)Mais CCM-(b)'!M45</f>
        <v>0</v>
      </c>
      <c r="AN40" s="2190">
        <f>'25)Mais CCM-(b)'!N45</f>
        <v>0</v>
      </c>
      <c r="AO40" s="2322">
        <f>'25)Mais CCM-(b)'!O45</f>
        <v>0</v>
      </c>
      <c r="AP40" s="2192">
        <f>'26)M(ais feucht-b)'!$M45</f>
        <v>0</v>
      </c>
      <c r="AQ40" s="2190">
        <f>'26)M(ais feucht-b)'!$N45</f>
        <v>0</v>
      </c>
      <c r="AR40" s="2322">
        <f>'26)M(ais feucht-b)'!$O45</f>
        <v>0</v>
      </c>
      <c r="AS40" s="2192">
        <f>'27)Silomais Biogas ab Feld-(b)'!M45</f>
        <v>0</v>
      </c>
      <c r="AT40" s="2190">
        <f>'27)Silomais Biogas ab Feld-(b)'!N45</f>
        <v>0</v>
      </c>
      <c r="AU40" s="2322">
        <f>'27)Silomais Biogas ab Feld-(b)'!O45</f>
        <v>0</v>
      </c>
      <c r="AV40" s="2319">
        <f>'28)Silomais Biogas ex Silo (b)'!M45</f>
        <v>0</v>
      </c>
      <c r="AW40" s="2190">
        <f>'28)Silomais Biogas ex Silo (b)'!N45</f>
        <v>0</v>
      </c>
      <c r="AX40" s="2322">
        <f>'28)Silomais Biogas ex Silo (b)'!O45</f>
        <v>0</v>
      </c>
      <c r="AY40" s="2319">
        <f>'29)Triticale-GPS Biogas Feld(b)'!M45</f>
        <v>0</v>
      </c>
      <c r="AZ40" s="2190">
        <f>'29)Triticale-GPS Biogas Feld(b)'!N45</f>
        <v>0</v>
      </c>
      <c r="BA40" s="2322">
        <f>'29)Triticale-GPS Biogas Feld(b)'!O45</f>
        <v>0</v>
      </c>
      <c r="BB40" s="2319">
        <f>'30)Tritic-GPS Biogas ex Silo(b)'!M45</f>
        <v>0</v>
      </c>
      <c r="BC40" s="2190">
        <f>'30)Tritic-GPS Biogas ex Silo(b)'!N45</f>
        <v>0</v>
      </c>
      <c r="BD40" s="2322">
        <f>'30)Tritic-GPS Biogas ex Silo(b)'!O45</f>
        <v>0</v>
      </c>
      <c r="BE40" s="2324">
        <f>'33)Kleegrassil 4N Biogas aF(b)'!M45</f>
        <v>0</v>
      </c>
      <c r="BF40" s="2322">
        <f>'33)Kleegrassil 4N Biogas aF(b)'!N45</f>
        <v>0</v>
      </c>
      <c r="BG40" s="2322">
        <f>'33)Kleegrassil 4N Biogas aF(b)'!O45</f>
        <v>0</v>
      </c>
      <c r="BH40" s="2322">
        <f>'34)Kleegrassil 4N Biog ex S(b)'!M45</f>
        <v>0</v>
      </c>
      <c r="BI40" s="2322">
        <f>'34)Kleegrassil 4N Biog ex S(b)'!N45</f>
        <v>0</v>
      </c>
      <c r="BJ40" s="2322">
        <f>'34)Kleegrassil 4N Biog ex S(b)'!O45</f>
        <v>0</v>
      </c>
      <c r="BK40" s="2251">
        <f>'36)GS 3Nutz. Biogas Feld-(b)'!$M$47</f>
        <v>0</v>
      </c>
      <c r="BL40" s="2251">
        <f>'37)GS 3Nutz. Biogas ex Silo (b)'!$M$47</f>
        <v>0</v>
      </c>
      <c r="BM40" s="2322">
        <f>'40)GrünroggenVFBiogas ex S(b)'!M45</f>
        <v>0</v>
      </c>
      <c r="BN40" s="2322">
        <f>'40)GrünroggenVFBiogas ex S(b)'!N45</f>
        <v>0</v>
      </c>
      <c r="BO40" s="2322">
        <f>'40)GrünroggenVFBiogas ex S(b)'!O45</f>
        <v>0</v>
      </c>
      <c r="BP40" s="2322">
        <f>'42)Grürog.+Silom. Biog ex S(b)'!M45</f>
        <v>0</v>
      </c>
      <c r="BQ40" s="2322">
        <f>'42)Grürog.+Silom. Biog ex S(b)'!N45</f>
        <v>0</v>
      </c>
      <c r="BR40" s="2322">
        <f>'42)Grürog.+Silom. Biog ex S(b)'!O45</f>
        <v>0</v>
      </c>
      <c r="BS40" s="2322">
        <f>'44)Sudangras HF Biogas ex S(b)'!M45</f>
        <v>0</v>
      </c>
      <c r="BT40" s="2322">
        <f>'44)Sudangras HF Biogas ex S(b)'!N45</f>
        <v>0</v>
      </c>
      <c r="BU40" s="2322">
        <f>'44)Sudangras HF Biogas ex S(b)'!O45</f>
        <v>0</v>
      </c>
      <c r="BV40" s="2322">
        <f>'51) GPS Weidelgras Biog aF (b)'!M45</f>
        <v>0</v>
      </c>
      <c r="BW40" s="2322">
        <f>'51) GPS Weidelgras Biog aF (b)'!N45</f>
        <v>0</v>
      </c>
      <c r="BX40" s="2322">
        <f>'51) GPS Weidelgras Biog aF (b)'!O45</f>
        <v>0</v>
      </c>
      <c r="BY40" s="2322">
        <f>'48)Zuhirse HF Biogas ex S(b)'!M45</f>
        <v>0</v>
      </c>
      <c r="BZ40" s="2322">
        <f>'48)Zuhirse HF Biogas ex S(b)'!N45</f>
        <v>0</v>
      </c>
      <c r="CA40" s="2322">
        <f>'48)Zuhirse HF Biogas ex S(b)'!O45</f>
        <v>0</v>
      </c>
      <c r="CB40" s="2322">
        <f>'46)GPS+Sudangr Biogas ex S(b)'!M45</f>
        <v>0</v>
      </c>
      <c r="CC40" s="2322">
        <f>'46)GPS+Sudangr Biogas ex S(b)'!N45</f>
        <v>0</v>
      </c>
      <c r="CD40" s="2322">
        <f>'46)GPS+Sudangr Biogas ex S(b)'!O45</f>
        <v>0</v>
      </c>
      <c r="CE40" s="2322">
        <f>'48)Zuhirse HF Biogas ex S(b)'!M45</f>
        <v>0</v>
      </c>
      <c r="CF40" s="2322">
        <f>'48)Zuhirse HF Biogas ex S(b)'!N45</f>
        <v>0</v>
      </c>
      <c r="CG40" s="2322">
        <f>'48)Zuhirse HF Biogas ex S(b)'!O45</f>
        <v>0</v>
      </c>
      <c r="CH40" s="2322">
        <f>'54)Dw. Silphie Biogas ex S(b)'!M45</f>
        <v>0</v>
      </c>
      <c r="CI40" s="2322">
        <f>'54)Dw. Silphie Biogas ex S(b)'!N45</f>
        <v>0</v>
      </c>
      <c r="CJ40" s="2322">
        <f>'54)Dw. Silphie Biogas ex S(b)'!O45</f>
        <v>0</v>
      </c>
    </row>
    <row r="41" spans="1:88" s="942" customFormat="1" ht="17.100000000000001" customHeight="1" x14ac:dyDescent="0.25">
      <c r="A41" s="233"/>
      <c r="B41" s="2320" t="s">
        <v>715</v>
      </c>
      <c r="C41" s="2565"/>
      <c r="D41" s="2321" t="s">
        <v>266</v>
      </c>
      <c r="E41" s="2191">
        <f>'1)Grünf. 3Nutz.(b)'!$M$48</f>
        <v>1667.125495950088</v>
      </c>
      <c r="F41" s="2190">
        <f>'2)Grünf. 4Nutz.(b)'!$M$48</f>
        <v>2030.7373365107014</v>
      </c>
      <c r="G41" s="2322">
        <f>'3)Grünf. 5Nutz.(b)'!$M$48</f>
        <v>2747.1114668605696</v>
      </c>
      <c r="H41" s="2192">
        <f>'4)GS 3Nutz.eig.mech.(b)'!$M$48</f>
        <v>2204.9244343469163</v>
      </c>
      <c r="I41" s="2319">
        <f>'5)GS 4Nutz.eig.mech(b)'!$M$48</f>
        <v>2645.1521842563425</v>
      </c>
      <c r="J41" s="2190">
        <f>'6)GS 5Nutz.eig.mech.(b)'!$M$48</f>
        <v>3213.1471260742182</v>
      </c>
      <c r="K41" s="2319">
        <f>'7)GS3Nutz.Fremdmech(b)'!$M$48</f>
        <v>2067.5582144855571</v>
      </c>
      <c r="L41" s="2319">
        <f>'8)GS4Nutz.Fremdmech(b)'!$M$48</f>
        <v>2450.9086241264145</v>
      </c>
      <c r="M41" s="2319">
        <f>'9)GS 5Nutz.Fremd(b)'!$M$48</f>
        <v>3084.163782249927</v>
      </c>
      <c r="N41" s="2191">
        <f>'10) GS 3Nutz. Ballensil.(b)'!$M$48</f>
        <v>2141.8154304905511</v>
      </c>
      <c r="O41" s="2192">
        <f>'11)Heu 2Nutz.-(b)'!$M$48</f>
        <v>1598.6130524768498</v>
      </c>
      <c r="P41" s="2319">
        <f>'12)Heu 3Nutz.(b)'!$M$48</f>
        <v>2268.1063314182938</v>
      </c>
      <c r="Q41" s="2251">
        <f>'13)Grascobs 5Nutz.(b)'!$M$48</f>
        <v>5112.6384630102611</v>
      </c>
      <c r="R41" s="2190">
        <f>'14)Weide_ext.(b)'!$M$48</f>
        <v>1344.7985564653081</v>
      </c>
      <c r="S41" s="2319">
        <f>'15)Weide int. 4Nutz.(b)'!$M$48</f>
        <v>1826.5928039540383</v>
      </c>
      <c r="T41" s="2192">
        <f>'17)Kleegras-GrünFu-Eig.mech(b)'!$M$48</f>
        <v>1934.0756872747452</v>
      </c>
      <c r="U41" s="2190">
        <f>'18)Kleegrassi-Fremnernt(b)'!$M$48</f>
        <v>2614.5829868144428</v>
      </c>
      <c r="V41" s="2322">
        <f>'19)LuzerneSil-Fremdernte(b)'!$M$48</f>
        <v>2345.0843544000381</v>
      </c>
      <c r="W41" s="2319">
        <f>'20)Silomais int(b)'!$M46</f>
        <v>3160.8833529089538</v>
      </c>
      <c r="X41" s="2190">
        <f>'20)Silomais int(b)'!$N46</f>
        <v>3111.7670899975105</v>
      </c>
      <c r="Y41" s="2193">
        <f>'20)Silomais int(b)'!$O46</f>
        <v>3363.1103566710681</v>
      </c>
      <c r="Z41" s="2192">
        <f>'21)Futterrüben(b)'!$M46</f>
        <v>4005.1769638050637</v>
      </c>
      <c r="AA41" s="2190">
        <f>'21)Futterrüben(b)'!$N46</f>
        <v>4058.7379941189074</v>
      </c>
      <c r="AB41" s="2322">
        <f>'21)Futterrüben(b)'!$O46</f>
        <v>4408.207071770029</v>
      </c>
      <c r="AC41" s="2323">
        <f>'22)ZWF-Raps-(b)'!M46</f>
        <v>512.60174921360431</v>
      </c>
      <c r="AD41" s="2190">
        <f>'22)ZWF-Raps-(b)'!N46</f>
        <v>602.35930802308326</v>
      </c>
      <c r="AE41" s="2324">
        <f>'22)ZWF-Raps-(b)'!O46</f>
        <v>704.93937523391662</v>
      </c>
      <c r="AF41" s="2780"/>
      <c r="AG41" s="2319">
        <f>'23)GPS-(b)'!M46</f>
        <v>2482.266349976323</v>
      </c>
      <c r="AH41" s="2190">
        <f>'23)GPS-(b)'!N46</f>
        <v>2365.8636047300802</v>
      </c>
      <c r="AI41" s="2322">
        <f>'23)GPS-(b)'!O46</f>
        <v>2523.6516037463371</v>
      </c>
      <c r="AJ41" s="2319">
        <f>'24)Mais LKS-(b)'!M46</f>
        <v>2768.4419584121497</v>
      </c>
      <c r="AK41" s="2190">
        <f>'24)Mais LKS-(b)'!N46</f>
        <v>2591.1063186678366</v>
      </c>
      <c r="AL41" s="2322">
        <f>'24)Mais LKS-(b)'!O46</f>
        <v>2723.7706789235235</v>
      </c>
      <c r="AM41" s="2319">
        <f>'25)Mais CCM-(b)'!M46</f>
        <v>2478.0080176659485</v>
      </c>
      <c r="AN41" s="2190">
        <f>'25)Mais CCM-(b)'!N46</f>
        <v>2306.6016344935947</v>
      </c>
      <c r="AO41" s="2322">
        <f>'25)Mais CCM-(b)'!O46</f>
        <v>2445.1952513212418</v>
      </c>
      <c r="AP41" s="2192">
        <f>'26)M(ais feucht-b)'!$M46</f>
        <v>2709.6311290265467</v>
      </c>
      <c r="AQ41" s="2190">
        <f>'26)M(ais feucht-b)'!$N46</f>
        <v>2570.6822789144803</v>
      </c>
      <c r="AR41" s="2322">
        <f>'26)M(ais feucht-b)'!$O46</f>
        <v>2744.0085600524139</v>
      </c>
      <c r="AS41" s="2192">
        <f>'27)Silomais Biogas ab Feld-(b)'!M46</f>
        <v>1825.0779123324378</v>
      </c>
      <c r="AT41" s="2190">
        <f>'27)Silomais Biogas ab Feld-(b)'!N46</f>
        <v>1574.5568754313015</v>
      </c>
      <c r="AU41" s="2322">
        <f>'27)Silomais Biogas ab Feld-(b)'!O46</f>
        <v>1634.0358385301652</v>
      </c>
      <c r="AV41" s="2319">
        <f>'28)Silomais Biogas ex Silo (b)'!M46</f>
        <v>2715.4029519755113</v>
      </c>
      <c r="AW41" s="2190">
        <f>'28)Silomais Biogas ex Silo (b)'!N46</f>
        <v>2938.1906067070031</v>
      </c>
      <c r="AX41" s="2322">
        <f>'28)Silomais Biogas ex Silo (b)'!O46</f>
        <v>3146.1412073697747</v>
      </c>
      <c r="AY41" s="2319">
        <f>'29)Triticale-GPS Biogas Feld(b)'!M46</f>
        <v>1589.3668798553626</v>
      </c>
      <c r="AZ41" s="2190">
        <f>'29)Triticale-GPS Biogas Feld(b)'!N46</f>
        <v>1361.3473455947378</v>
      </c>
      <c r="BA41" s="2322">
        <f>'29)Triticale-GPS Biogas Feld(b)'!O46</f>
        <v>1407.7040457091125</v>
      </c>
      <c r="BB41" s="2319">
        <f>'30)Tritic-GPS Biogas ex Silo(b)'!M46</f>
        <v>2342.3690556577958</v>
      </c>
      <c r="BC41" s="2190">
        <f>'30)Tritic-GPS Biogas ex Silo(b)'!N46</f>
        <v>2460.9779740576569</v>
      </c>
      <c r="BD41" s="2322">
        <f>'30)Tritic-GPS Biogas ex Silo(b)'!O46</f>
        <v>2384.4977830825187</v>
      </c>
      <c r="BE41" s="2324">
        <f>'33)Kleegrassil 4N Biogas aF(b)'!M46</f>
        <v>1616.4594342918147</v>
      </c>
      <c r="BF41" s="2322">
        <f>'33)Kleegrassil 4N Biogas aF(b)'!N46</f>
        <v>1282.0247289355648</v>
      </c>
      <c r="BG41" s="2322">
        <f>'33)Kleegrassil 4N Biogas aF(b)'!O46</f>
        <v>1318.7324149855651</v>
      </c>
      <c r="BH41" s="2322">
        <f>'34)Kleegrassil 4N Biog ex S(b)'!M46</f>
        <v>2835.7614746836862</v>
      </c>
      <c r="BI41" s="2322">
        <f>'34)Kleegrassil 4N Biog ex S(b)'!N46</f>
        <v>2616.9077692429451</v>
      </c>
      <c r="BJ41" s="2322">
        <f>'34)Kleegrassil 4N Biog ex S(b)'!O46</f>
        <v>2769.1964552084542</v>
      </c>
      <c r="BK41" s="2251">
        <f>'36)GS 3Nutz. Biogas Feld-(b)'!$M$48</f>
        <v>711.59830675139085</v>
      </c>
      <c r="BL41" s="2251">
        <f>'37)GS 3Nutz. Biogas ex Silo (b)'!$M$48</f>
        <v>1648.4111813861359</v>
      </c>
      <c r="BM41" s="2322">
        <f>'40)GrünroggenVFBiogas ex S(b)'!M46</f>
        <v>930.07586656852118</v>
      </c>
      <c r="BN41" s="2322">
        <f>'40)GrünroggenVFBiogas ex S(b)'!N46</f>
        <v>1009.8261733981134</v>
      </c>
      <c r="BO41" s="2322">
        <f>'40)GrünroggenVFBiogas ex S(b)'!O46</f>
        <v>1089.5764802277056</v>
      </c>
      <c r="BP41" s="2322">
        <f>'42)Grürog.+Silom. Biog ex S(b)'!M46</f>
        <v>3418.3761360787221</v>
      </c>
      <c r="BQ41" s="2322">
        <f>'42)Grürog.+Silom. Biog ex S(b)'!N46</f>
        <v>3287.3491741353282</v>
      </c>
      <c r="BR41" s="2322">
        <f>'42)Grürog.+Silom. Biog ex S(b)'!O46</f>
        <v>3521.2119831408536</v>
      </c>
      <c r="BS41" s="2322">
        <f>'44)Sudangras HF Biogas ex S(b)'!M46</f>
        <v>2677.0035086612079</v>
      </c>
      <c r="BT41" s="2322">
        <f>'44)Sudangras HF Biogas ex S(b)'!N46</f>
        <v>2648.9858445370241</v>
      </c>
      <c r="BU41" s="2322">
        <f>'44)Sudangras HF Biogas ex S(b)'!O46</f>
        <v>2907.7631804128405</v>
      </c>
      <c r="BV41" s="2322">
        <f>'51) GPS Weidelgras Biog aF (b)'!M46</f>
        <v>2316.8325053089125</v>
      </c>
      <c r="BW41" s="2322">
        <f>'51) GPS Weidelgras Biog aF (b)'!N46</f>
        <v>2447.6811512016211</v>
      </c>
      <c r="BX41" s="2322">
        <f>'51) GPS Weidelgras Biog aF (b)'!O46</f>
        <v>2578.5297970943293</v>
      </c>
      <c r="BY41" s="2322">
        <f>'48)Zuhirse HF Biogas ex S(b)'!M46</f>
        <v>2591.8832026080836</v>
      </c>
      <c r="BZ41" s="2322">
        <f>'48)Zuhirse HF Biogas ex S(b)'!N46</f>
        <v>2551.3427747929618</v>
      </c>
      <c r="CA41" s="2322">
        <f>'48)Zuhirse HF Biogas ex S(b)'!O46</f>
        <v>2797.597346977841</v>
      </c>
      <c r="CB41" s="2322">
        <f>'46)GPS+Sudangr Biogas ex S(b)'!M46</f>
        <v>3350.8560093755341</v>
      </c>
      <c r="CC41" s="2322">
        <f>'46)GPS+Sudangr Biogas ex S(b)'!N46</f>
        <v>3256.5908522935924</v>
      </c>
      <c r="CD41" s="2322">
        <f>'46)GPS+Sudangr Biogas ex S(b)'!O46</f>
        <v>3436.7019295866517</v>
      </c>
      <c r="CE41" s="2322">
        <f>'48)Zuhirse HF Biogas ex S(b)'!M46</f>
        <v>2591.8832026080836</v>
      </c>
      <c r="CF41" s="2322">
        <f>'48)Zuhirse HF Biogas ex S(b)'!N46</f>
        <v>2551.3427747929618</v>
      </c>
      <c r="CG41" s="2322">
        <f>'48)Zuhirse HF Biogas ex S(b)'!O46</f>
        <v>2797.597346977841</v>
      </c>
      <c r="CH41" s="2322">
        <f>'54)Dw. Silphie Biogas ex S(b)'!M46</f>
        <v>2201.6448947721879</v>
      </c>
      <c r="CI41" s="2322">
        <f>'54)Dw. Silphie Biogas ex S(b)'!N46</f>
        <v>2146.483103375504</v>
      </c>
      <c r="CJ41" s="2322">
        <f>'54)Dw. Silphie Biogas ex S(b)'!O46</f>
        <v>2401.3213119788206</v>
      </c>
    </row>
    <row r="42" spans="1:88" s="2837" customFormat="1" ht="17.100000000000001" hidden="1" customHeight="1" x14ac:dyDescent="0.25">
      <c r="A42" s="2823"/>
      <c r="B42" s="2824" t="s">
        <v>1350</v>
      </c>
      <c r="C42" s="2825"/>
      <c r="D42" s="2826" t="s">
        <v>266</v>
      </c>
      <c r="E42" s="2827">
        <f>'1)Grünf. 3Nutz.(b)'!$M$49</f>
        <v>-1667.125495950088</v>
      </c>
      <c r="F42" s="2828">
        <f>'2)Grünf. 4Nutz.(b)'!$M$49</f>
        <v>-2030.7373365107014</v>
      </c>
      <c r="G42" s="2829">
        <f>'3)Grünf. 5Nutz.(b)'!$M$49</f>
        <v>-2747.1114668605696</v>
      </c>
      <c r="H42" s="2830">
        <f>'4)GS 3Nutz.eig.mech.(b)'!$M$49</f>
        <v>-2204.9244343469163</v>
      </c>
      <c r="I42" s="2831">
        <f>'5)GS 4Nutz.eig.mech(b)'!$M$49</f>
        <v>-2645.1521842563425</v>
      </c>
      <c r="J42" s="2828">
        <f>'6)GS 5Nutz.eig.mech.(b)'!$M$49</f>
        <v>-3213.1471260742182</v>
      </c>
      <c r="K42" s="2831">
        <f>'7)GS3Nutz.Fremdmech(b)'!$M$49</f>
        <v>-2067.5582144855571</v>
      </c>
      <c r="L42" s="2831">
        <f>'8)GS4Nutz.Fremdmech(b)'!$M$49</f>
        <v>-2450.9086241264145</v>
      </c>
      <c r="M42" s="2831">
        <f>'9)GS 5Nutz.Fremd(b)'!$M$49</f>
        <v>-3084.163782249927</v>
      </c>
      <c r="N42" s="2827">
        <f>'10) GS 3Nutz. Ballensil.(b)'!$M$49</f>
        <v>-2141.8154304905511</v>
      </c>
      <c r="O42" s="2830">
        <f>'11)Heu 2Nutz.-(b)'!$M$49</f>
        <v>-1598.6130524768498</v>
      </c>
      <c r="P42" s="2831">
        <f>'12)Heu 3Nutz.(b)'!$M$49</f>
        <v>-2268.1063314182938</v>
      </c>
      <c r="Q42" s="2832">
        <f>'13)Grascobs 5Nutz.(b)'!$M$49</f>
        <v>-5112.6384630102611</v>
      </c>
      <c r="R42" s="2828">
        <f>'14)Weide_ext.(b)'!$M$49</f>
        <v>-1344.7985564653081</v>
      </c>
      <c r="S42" s="2831">
        <f>'15)Weide int. 4Nutz.(b)'!$M$49</f>
        <v>-1826.5928039540383</v>
      </c>
      <c r="T42" s="2830">
        <f>'17)Kleegras-GrünFu-Eig.mech(b)'!$M$49</f>
        <v>-1934.0756872747452</v>
      </c>
      <c r="U42" s="2828">
        <f>'18)Kleegrassi-Fremnernt(b)'!$M$49</f>
        <v>-2614.5829868144428</v>
      </c>
      <c r="V42" s="2829">
        <f>'19)LuzerneSil-Fremdernte(b)'!$M$49</f>
        <v>-2345.0843544000381</v>
      </c>
      <c r="W42" s="2831">
        <f>'20)Silomais int(b)'!$M47</f>
        <v>-3160.8833529089538</v>
      </c>
      <c r="X42" s="2828">
        <f>'20)Silomais int(b)'!$N47</f>
        <v>-3111.7670899975105</v>
      </c>
      <c r="Y42" s="2834">
        <f>'20)Silomais int(b)'!$O47</f>
        <v>-3363.1103566710681</v>
      </c>
      <c r="Z42" s="2830">
        <f>'21)Futterrüben(b)'!$M47</f>
        <v>-4005.1769638050637</v>
      </c>
      <c r="AA42" s="2828">
        <f>'21)Futterrüben(b)'!$N47</f>
        <v>-4058.7379941189074</v>
      </c>
      <c r="AB42" s="2829">
        <f>'21)Futterrüben(b)'!$O47</f>
        <v>-4408.207071770029</v>
      </c>
      <c r="AC42" s="2835">
        <f>'22)ZWF-Raps-(b)'!M47</f>
        <v>-512.60174921360431</v>
      </c>
      <c r="AD42" s="2828">
        <f>'22)ZWF-Raps-(b)'!N47</f>
        <v>-602.35930802308326</v>
      </c>
      <c r="AE42" s="2836">
        <f>'22)ZWF-Raps-(b)'!O47</f>
        <v>-704.93937523391662</v>
      </c>
      <c r="AF42" s="2833"/>
      <c r="AG42" s="2831">
        <f>'23)GPS-(b)'!M47</f>
        <v>-2482.266349976323</v>
      </c>
      <c r="AH42" s="2828">
        <f>'23)GPS-(b)'!N47</f>
        <v>-2365.8636047300802</v>
      </c>
      <c r="AI42" s="2829">
        <f>'23)GPS-(b)'!O47</f>
        <v>-2523.6516037463371</v>
      </c>
      <c r="AJ42" s="2831">
        <f>'24)Mais LKS-(b)'!M47</f>
        <v>-2768.4419584121497</v>
      </c>
      <c r="AK42" s="2828">
        <f>'24)Mais LKS-(b)'!N47</f>
        <v>-2591.1063186678366</v>
      </c>
      <c r="AL42" s="2829">
        <f>'24)Mais LKS-(b)'!O47</f>
        <v>-2723.7706789235235</v>
      </c>
      <c r="AM42" s="2831">
        <f>'25)Mais CCM-(b)'!M47</f>
        <v>-2478.0080176659485</v>
      </c>
      <c r="AN42" s="2828">
        <f>'25)Mais CCM-(b)'!N47</f>
        <v>-2306.6016344935947</v>
      </c>
      <c r="AO42" s="2829">
        <f>'25)Mais CCM-(b)'!O47</f>
        <v>-2445.1952513212418</v>
      </c>
      <c r="AP42" s="2830">
        <f>'26)M(ais feucht-b)'!$M47</f>
        <v>-2709.6311290265467</v>
      </c>
      <c r="AQ42" s="2828">
        <f>'26)M(ais feucht-b)'!$N47</f>
        <v>-2570.6822789144803</v>
      </c>
      <c r="AR42" s="2829">
        <f>'26)M(ais feucht-b)'!$O47</f>
        <v>-2744.0085600524139</v>
      </c>
      <c r="AS42" s="2830">
        <f>'27)Silomais Biogas ab Feld-(b)'!M47</f>
        <v>-1825.0779123324378</v>
      </c>
      <c r="AT42" s="2828">
        <f>'27)Silomais Biogas ab Feld-(b)'!N47</f>
        <v>-1574.5568754313015</v>
      </c>
      <c r="AU42" s="2829">
        <f>'27)Silomais Biogas ab Feld-(b)'!O47</f>
        <v>-1634.0358385301652</v>
      </c>
      <c r="AV42" s="2831">
        <f>'28)Silomais Biogas ex Silo (b)'!M47</f>
        <v>-2715.4029519755113</v>
      </c>
      <c r="AW42" s="2828">
        <f>'28)Silomais Biogas ex Silo (b)'!N47</f>
        <v>-2938.1906067070031</v>
      </c>
      <c r="AX42" s="2829">
        <f>'28)Silomais Biogas ex Silo (b)'!O47</f>
        <v>-3146.1412073697747</v>
      </c>
      <c r="AY42" s="2831">
        <f>'29)Triticale-GPS Biogas Feld(b)'!M47</f>
        <v>-1589.3668798553626</v>
      </c>
      <c r="AZ42" s="2828">
        <f>'29)Triticale-GPS Biogas Feld(b)'!N47</f>
        <v>-1361.3473455947378</v>
      </c>
      <c r="BA42" s="2829">
        <f>'29)Triticale-GPS Biogas Feld(b)'!O47</f>
        <v>-1407.7040457091125</v>
      </c>
      <c r="BB42" s="2831">
        <f>'30)Tritic-GPS Biogas ex Silo(b)'!M47</f>
        <v>-2342.3690556577958</v>
      </c>
      <c r="BC42" s="2828">
        <f>'30)Tritic-GPS Biogas ex Silo(b)'!N47</f>
        <v>-2460.9779740576569</v>
      </c>
      <c r="BD42" s="2829">
        <f>'30)Tritic-GPS Biogas ex Silo(b)'!O47</f>
        <v>-2384.4977830825187</v>
      </c>
      <c r="BE42" s="2836">
        <f>'33)Kleegrassil 4N Biogas aF(b)'!M47</f>
        <v>-1616.4594342918147</v>
      </c>
      <c r="BF42" s="2829">
        <f>'33)Kleegrassil 4N Biogas aF(b)'!N47</f>
        <v>-1282.0247289355648</v>
      </c>
      <c r="BG42" s="2829">
        <f>'33)Kleegrassil 4N Biogas aF(b)'!O47</f>
        <v>-1318.7324149855651</v>
      </c>
      <c r="BH42" s="2829">
        <f>'34)Kleegrassil 4N Biog ex S(b)'!M47</f>
        <v>-2835.7614746836862</v>
      </c>
      <c r="BI42" s="2829">
        <f>'34)Kleegrassil 4N Biog ex S(b)'!N47</f>
        <v>-2616.9077692429451</v>
      </c>
      <c r="BJ42" s="2829">
        <f>'34)Kleegrassil 4N Biog ex S(b)'!O47</f>
        <v>-2769.1964552084542</v>
      </c>
      <c r="BK42" s="2832">
        <f>'36)GS 3Nutz. Biogas Feld-(b)'!$M$49</f>
        <v>-711.59830675139085</v>
      </c>
      <c r="BL42" s="2832">
        <f>'37)GS 3Nutz. Biogas ex Silo (b)'!$M$49</f>
        <v>-1648.4111813861359</v>
      </c>
      <c r="BM42" s="2832">
        <f>'40)GrünroggenVFBiogas ex S(b)'!M47</f>
        <v>-930.07586656852118</v>
      </c>
      <c r="BN42" s="2829">
        <f>'40)GrünroggenVFBiogas ex S(b)'!N47</f>
        <v>-1009.8261733981134</v>
      </c>
      <c r="BO42" s="2829">
        <f>'40)GrünroggenVFBiogas ex S(b)'!O47</f>
        <v>-1089.5764802277056</v>
      </c>
      <c r="BP42" s="2829">
        <f>'42)Grürog.+Silom. Biog ex S(b)'!M47</f>
        <v>-3418.3761360787221</v>
      </c>
      <c r="BQ42" s="2829">
        <f>'42)Grürog.+Silom. Biog ex S(b)'!N47</f>
        <v>-3287.3491741353282</v>
      </c>
      <c r="BR42" s="2829">
        <f>'42)Grürog.+Silom. Biog ex S(b)'!O47</f>
        <v>-3521.2119831408536</v>
      </c>
      <c r="BS42" s="2829">
        <f>'44)Sudangras HF Biogas ex S(b)'!M47</f>
        <v>-2677.0035086612079</v>
      </c>
      <c r="BT42" s="2829">
        <f>'44)Sudangras HF Biogas ex S(b)'!N47</f>
        <v>-2648.9858445370241</v>
      </c>
      <c r="BU42" s="2829">
        <f>'44)Sudangras HF Biogas ex S(b)'!O47</f>
        <v>-2907.7631804128405</v>
      </c>
      <c r="BV42" s="2829">
        <f>'51) GPS Weidelgras Biog aF (b)'!M47</f>
        <v>-2316.8325053089125</v>
      </c>
      <c r="BW42" s="2829">
        <f>'51) GPS Weidelgras Biog aF (b)'!N47</f>
        <v>-2447.6811512016211</v>
      </c>
      <c r="BX42" s="2829">
        <f>'51) GPS Weidelgras Biog aF (b)'!O47</f>
        <v>-2578.5297970943293</v>
      </c>
      <c r="BY42" s="2829">
        <f>'48)Zuhirse HF Biogas ex S(b)'!M47</f>
        <v>-2591.8832026080836</v>
      </c>
      <c r="BZ42" s="2829">
        <f>'48)Zuhirse HF Biogas ex S(b)'!N47</f>
        <v>-2551.3427747929618</v>
      </c>
      <c r="CA42" s="2829">
        <f>'48)Zuhirse HF Biogas ex S(b)'!O47</f>
        <v>-2797.597346977841</v>
      </c>
      <c r="CB42" s="2829">
        <f>'46)GPS+Sudangr Biogas ex S(b)'!M47</f>
        <v>-3350.8560093755341</v>
      </c>
      <c r="CC42" s="2829">
        <f>'46)GPS+Sudangr Biogas ex S(b)'!N47</f>
        <v>-3256.5908522935924</v>
      </c>
      <c r="CD42" s="2829">
        <f>'46)GPS+Sudangr Biogas ex S(b)'!O47</f>
        <v>-3436.7019295866517</v>
      </c>
      <c r="CE42" s="2829">
        <f>'48)Zuhirse HF Biogas ex S(b)'!M47</f>
        <v>-2591.8832026080836</v>
      </c>
      <c r="CF42" s="2829">
        <f>'48)Zuhirse HF Biogas ex S(b)'!N47</f>
        <v>-2551.3427747929618</v>
      </c>
      <c r="CG42" s="2829">
        <f>'48)Zuhirse HF Biogas ex S(b)'!O47</f>
        <v>-2797.597346977841</v>
      </c>
      <c r="CH42" s="2829">
        <f>'54)Dw. Silphie Biogas ex S(b)'!M47</f>
        <v>-2201.6448947721879</v>
      </c>
      <c r="CI42" s="2829">
        <f>'54)Dw. Silphie Biogas ex S(b)'!N47</f>
        <v>-2146.483103375504</v>
      </c>
      <c r="CJ42" s="2829">
        <f>'54)Dw. Silphie Biogas ex S(b)'!O47</f>
        <v>-2401.3213119788206</v>
      </c>
    </row>
    <row r="43" spans="1:88" s="942" customFormat="1" ht="17.100000000000001" customHeight="1" x14ac:dyDescent="0.25">
      <c r="A43" s="2739"/>
      <c r="B43" s="3471" t="s">
        <v>1351</v>
      </c>
      <c r="C43" s="3472"/>
      <c r="D43" s="3473" t="s">
        <v>266</v>
      </c>
      <c r="E43" s="3474">
        <f>'1)Grünf. 3Nutz.(b)'!$M$51</f>
        <v>270</v>
      </c>
      <c r="F43" s="3475">
        <f>'2)Grünf. 4Nutz.(b)'!$M$51</f>
        <v>270</v>
      </c>
      <c r="G43" s="3476">
        <f>'3)Grünf. 5Nutz.(b)'!$M$51</f>
        <v>270</v>
      </c>
      <c r="H43" s="3477">
        <f>'4)GS 3Nutz.eig.mech.(b)'!$M$51</f>
        <v>270</v>
      </c>
      <c r="I43" s="3478">
        <f>'5)GS 4Nutz.eig.mech(b)'!$M$51</f>
        <v>270</v>
      </c>
      <c r="J43" s="3475">
        <f>'6)GS 5Nutz.eig.mech.(b)'!$M$51</f>
        <v>270</v>
      </c>
      <c r="K43" s="3478">
        <f>'7)GS3Nutz.Fremdmech(b)'!$M$51</f>
        <v>270</v>
      </c>
      <c r="L43" s="3478">
        <f>'8)GS4Nutz.Fremdmech(b)'!$M$51</f>
        <v>270</v>
      </c>
      <c r="M43" s="3478">
        <f>'9)GS 5Nutz.Fremd(b)'!$M$51</f>
        <v>270</v>
      </c>
      <c r="N43" s="3474">
        <f>'10) GS 3Nutz. Ballensil.(b)'!$M$51</f>
        <v>270</v>
      </c>
      <c r="O43" s="3477">
        <f>'11)Heu 2Nutz.-(b)'!$M$51</f>
        <v>270</v>
      </c>
      <c r="P43" s="3478">
        <f>'12)Heu 3Nutz.(b)'!$M$51</f>
        <v>270</v>
      </c>
      <c r="Q43" s="3479">
        <f>'13)Grascobs 5Nutz.(b)'!$M$51</f>
        <v>270</v>
      </c>
      <c r="R43" s="3475">
        <f>'14)Weide_ext.(b)'!$M$51</f>
        <v>270</v>
      </c>
      <c r="S43" s="3478">
        <f>'15)Weide int. 4Nutz.(b)'!$M$51</f>
        <v>270</v>
      </c>
      <c r="T43" s="3477">
        <f>'17)Kleegras-GrünFu-Eig.mech(b)'!$M$51</f>
        <v>270</v>
      </c>
      <c r="U43" s="3475">
        <f>'18)Kleegrassi-Fremnernt(b)'!$M$51</f>
        <v>270</v>
      </c>
      <c r="V43" s="3476">
        <f>'19)LuzerneSil-Fremdernte(b)'!$M$51</f>
        <v>270</v>
      </c>
      <c r="W43" s="3478">
        <f>'20)Silomais int(b)'!$M48</f>
        <v>270</v>
      </c>
      <c r="X43" s="3475">
        <f>'20)Silomais int(b)'!$N48</f>
        <v>270</v>
      </c>
      <c r="Y43" s="3481">
        <f>'20)Silomais int(b)'!$O48</f>
        <v>270</v>
      </c>
      <c r="Z43" s="3477">
        <f>'21)Futterrüben(b)'!$M48</f>
        <v>270</v>
      </c>
      <c r="AA43" s="3475">
        <f>'21)Futterrüben(b)'!$N48</f>
        <v>270</v>
      </c>
      <c r="AB43" s="3476">
        <f>'21)Futterrüben(b)'!$O48</f>
        <v>270</v>
      </c>
      <c r="AC43" s="3482">
        <f>'22)ZWF-Raps-(b)'!M48</f>
        <v>270</v>
      </c>
      <c r="AD43" s="3475">
        <f>'22)ZWF-Raps-(b)'!N48</f>
        <v>270</v>
      </c>
      <c r="AE43" s="3483">
        <f>'22)ZWF-Raps-(b)'!O48</f>
        <v>270</v>
      </c>
      <c r="AF43" s="3480"/>
      <c r="AG43" s="3478">
        <f>'23)GPS-(b)'!M48</f>
        <v>270</v>
      </c>
      <c r="AH43" s="3475">
        <f>'23)GPS-(b)'!N48</f>
        <v>270</v>
      </c>
      <c r="AI43" s="3476">
        <f>'23)GPS-(b)'!O48</f>
        <v>270</v>
      </c>
      <c r="AJ43" s="3478">
        <f>'24)Mais LKS-(b)'!M48</f>
        <v>270</v>
      </c>
      <c r="AK43" s="3475">
        <f>'24)Mais LKS-(b)'!N48</f>
        <v>270</v>
      </c>
      <c r="AL43" s="3476">
        <f>'24)Mais LKS-(b)'!O48</f>
        <v>270</v>
      </c>
      <c r="AM43" s="3478">
        <f>'25)Mais CCM-(b)'!M48</f>
        <v>270</v>
      </c>
      <c r="AN43" s="3475">
        <f>'25)Mais CCM-(b)'!N48</f>
        <v>270</v>
      </c>
      <c r="AO43" s="3476">
        <f>'25)Mais CCM-(b)'!O48</f>
        <v>270</v>
      </c>
      <c r="AP43" s="3477">
        <f>'26)M(ais feucht-b)'!$M48</f>
        <v>270</v>
      </c>
      <c r="AQ43" s="3475">
        <f>'26)M(ais feucht-b)'!$N48</f>
        <v>270</v>
      </c>
      <c r="AR43" s="3476">
        <f>'26)M(ais feucht-b)'!$O48</f>
        <v>270</v>
      </c>
      <c r="AS43" s="3477">
        <f>'27)Silomais Biogas ab Feld-(b)'!M48</f>
        <v>270</v>
      </c>
      <c r="AT43" s="3475">
        <f>'27)Silomais Biogas ab Feld-(b)'!N48</f>
        <v>270</v>
      </c>
      <c r="AU43" s="3476">
        <f>'27)Silomais Biogas ab Feld-(b)'!O48</f>
        <v>270</v>
      </c>
      <c r="AV43" s="3478">
        <f>'28)Silomais Biogas ex Silo (b)'!M48</f>
        <v>270</v>
      </c>
      <c r="AW43" s="3475">
        <f>'28)Silomais Biogas ex Silo (b)'!N48</f>
        <v>270</v>
      </c>
      <c r="AX43" s="3476">
        <f>'28)Silomais Biogas ex Silo (b)'!O48</f>
        <v>270</v>
      </c>
      <c r="AY43" s="3478">
        <f>'29)Triticale-GPS Biogas Feld(b)'!M48</f>
        <v>270</v>
      </c>
      <c r="AZ43" s="3475">
        <f>'29)Triticale-GPS Biogas Feld(b)'!N48</f>
        <v>270</v>
      </c>
      <c r="BA43" s="3476">
        <f>'29)Triticale-GPS Biogas Feld(b)'!O48</f>
        <v>270</v>
      </c>
      <c r="BB43" s="3478">
        <f>'30)Tritic-GPS Biogas ex Silo(b)'!M48</f>
        <v>270</v>
      </c>
      <c r="BC43" s="3475">
        <f>'30)Tritic-GPS Biogas ex Silo(b)'!N48</f>
        <v>270</v>
      </c>
      <c r="BD43" s="3476">
        <f>'30)Tritic-GPS Biogas ex Silo(b)'!O48</f>
        <v>270</v>
      </c>
      <c r="BE43" s="3483">
        <f>'33)Kleegrassil 4N Biogas aF(b)'!M48</f>
        <v>270</v>
      </c>
      <c r="BF43" s="3476">
        <f>'33)Kleegrassil 4N Biogas aF(b)'!N48</f>
        <v>270</v>
      </c>
      <c r="BG43" s="3476">
        <f>'33)Kleegrassil 4N Biogas aF(b)'!O48</f>
        <v>270</v>
      </c>
      <c r="BH43" s="3476">
        <f>'34)Kleegrassil 4N Biog ex S(b)'!M48</f>
        <v>270</v>
      </c>
      <c r="BI43" s="3476">
        <f>'34)Kleegrassil 4N Biog ex S(b)'!N48</f>
        <v>270</v>
      </c>
      <c r="BJ43" s="3476">
        <f>'34)Kleegrassil 4N Biog ex S(b)'!O48</f>
        <v>270</v>
      </c>
      <c r="BK43" s="3479">
        <f>'36)GS 3Nutz. Biogas Feld-(b)'!$M$51</f>
        <v>270</v>
      </c>
      <c r="BL43" s="3479">
        <f>'37)GS 3Nutz. Biogas ex Silo (b)'!$M$51</f>
        <v>270</v>
      </c>
      <c r="BM43" s="3476">
        <f>'40)GrünroggenVFBiogas ex S(b)'!M48</f>
        <v>270</v>
      </c>
      <c r="BN43" s="3476">
        <f>'40)GrünroggenVFBiogas ex S(b)'!N48</f>
        <v>270</v>
      </c>
      <c r="BO43" s="3476">
        <f>'40)GrünroggenVFBiogas ex S(b)'!O48</f>
        <v>270</v>
      </c>
      <c r="BP43" s="3476">
        <f>'42)Grürog.+Silom. Biog ex S(b)'!M48</f>
        <v>270</v>
      </c>
      <c r="BQ43" s="3476">
        <f>'42)Grürog.+Silom. Biog ex S(b)'!N48</f>
        <v>270</v>
      </c>
      <c r="BR43" s="3476">
        <f>'42)Grürog.+Silom. Biog ex S(b)'!O48</f>
        <v>270</v>
      </c>
      <c r="BS43" s="3476">
        <f>'44)Sudangras HF Biogas ex S(b)'!M48</f>
        <v>270</v>
      </c>
      <c r="BT43" s="3476">
        <f>'44)Sudangras HF Biogas ex S(b)'!N48</f>
        <v>270</v>
      </c>
      <c r="BU43" s="3476">
        <f>'44)Sudangras HF Biogas ex S(b)'!O48</f>
        <v>270</v>
      </c>
      <c r="BV43" s="3476">
        <f>'51) GPS Weidelgras Biog aF (b)'!M48</f>
        <v>270</v>
      </c>
      <c r="BW43" s="3476">
        <f>'51) GPS Weidelgras Biog aF (b)'!N48</f>
        <v>270</v>
      </c>
      <c r="BX43" s="3476">
        <f>'51) GPS Weidelgras Biog aF (b)'!O48</f>
        <v>270</v>
      </c>
      <c r="BY43" s="3476">
        <f>'48)Zuhirse HF Biogas ex S(b)'!M48</f>
        <v>270</v>
      </c>
      <c r="BZ43" s="3476">
        <f>'48)Zuhirse HF Biogas ex S(b)'!N48</f>
        <v>270</v>
      </c>
      <c r="CA43" s="3476">
        <f>'48)Zuhirse HF Biogas ex S(b)'!O48</f>
        <v>270</v>
      </c>
      <c r="CB43" s="3476">
        <f>'46)GPS+Sudangr Biogas ex S(b)'!M48</f>
        <v>270</v>
      </c>
      <c r="CC43" s="3476">
        <f>'46)GPS+Sudangr Biogas ex S(b)'!N48</f>
        <v>270</v>
      </c>
      <c r="CD43" s="3476">
        <f>'46)GPS+Sudangr Biogas ex S(b)'!O48</f>
        <v>270</v>
      </c>
      <c r="CE43" s="3476">
        <f>'48)Zuhirse HF Biogas ex S(b)'!M48</f>
        <v>270</v>
      </c>
      <c r="CF43" s="3476">
        <f>'48)Zuhirse HF Biogas ex S(b)'!N48</f>
        <v>270</v>
      </c>
      <c r="CG43" s="3476">
        <f>'48)Zuhirse HF Biogas ex S(b)'!O48</f>
        <v>270</v>
      </c>
      <c r="CH43" s="3476">
        <f>'54)Dw. Silphie Biogas ex S(b)'!M48</f>
        <v>270</v>
      </c>
      <c r="CI43" s="3476">
        <f>'54)Dw. Silphie Biogas ex S(b)'!N48</f>
        <v>270</v>
      </c>
      <c r="CJ43" s="3476">
        <f>'54)Dw. Silphie Biogas ex S(b)'!O48</f>
        <v>270</v>
      </c>
    </row>
    <row r="44" spans="1:88" s="2837" customFormat="1" ht="19.149999999999999" hidden="1" customHeight="1" thickBot="1" x14ac:dyDescent="0.3">
      <c r="A44" s="2823"/>
      <c r="B44" s="2838" t="s">
        <v>1352</v>
      </c>
      <c r="C44" s="2839"/>
      <c r="D44" s="2840" t="s">
        <v>266</v>
      </c>
      <c r="E44" s="2841">
        <f>'1)Grünf. 3Nutz.(b)'!$M$52</f>
        <v>-1397.125495950088</v>
      </c>
      <c r="F44" s="2842">
        <f>'2)Grünf. 4Nutz.(b)'!$M$52</f>
        <v>-1760.7373365107014</v>
      </c>
      <c r="G44" s="2843">
        <f>'3)Grünf. 5Nutz.(b)'!$M$52</f>
        <v>-2477.1114668605696</v>
      </c>
      <c r="H44" s="2844">
        <f>'4)GS 3Nutz.eig.mech.(b)'!$M$52</f>
        <v>-1934.9244343469163</v>
      </c>
      <c r="I44" s="2845">
        <f>'5)GS 4Nutz.eig.mech(b)'!$M$52</f>
        <v>-2375.1521842563425</v>
      </c>
      <c r="J44" s="2842">
        <f>'6)GS 5Nutz.eig.mech.(b)'!$M$52</f>
        <v>-2943.1471260742182</v>
      </c>
      <c r="K44" s="2845">
        <f>'7)GS3Nutz.Fremdmech(b)'!$M$52</f>
        <v>-1797.5582144855571</v>
      </c>
      <c r="L44" s="2845">
        <f>'8)GS4Nutz.Fremdmech(b)'!$M$52</f>
        <v>-2180.9086241264145</v>
      </c>
      <c r="M44" s="2845">
        <f>'9)GS 5Nutz.Fremd(b)'!$M$52</f>
        <v>-2814.163782249927</v>
      </c>
      <c r="N44" s="2841">
        <f>'10) GS 3Nutz. Ballensil.(b)'!$M$52</f>
        <v>-1871.8154304905511</v>
      </c>
      <c r="O44" s="2844">
        <f>'11)Heu 2Nutz.-(b)'!$M$52</f>
        <v>-1328.6130524768498</v>
      </c>
      <c r="P44" s="2845">
        <f>'12)Heu 3Nutz.(b)'!$M$52</f>
        <v>-1998.1063314182938</v>
      </c>
      <c r="Q44" s="2846">
        <f>'13)Grascobs 5Nutz.(b)'!$M$52</f>
        <v>-4842.6384630102611</v>
      </c>
      <c r="R44" s="2842">
        <f>'14)Weide_ext.(b)'!$M$52</f>
        <v>-1074.7985564653081</v>
      </c>
      <c r="S44" s="2845">
        <f>'15)Weide int. 4Nutz.(b)'!$M$52</f>
        <v>-1556.5928039540383</v>
      </c>
      <c r="T44" s="2844">
        <f>'17)Kleegras-GrünFu-Eig.mech(b)'!$M$52</f>
        <v>-1664.0756872747452</v>
      </c>
      <c r="U44" s="2842">
        <f>'18)Kleegrassi-Fremnernt(b)'!$M$52</f>
        <v>-2344.5829868144428</v>
      </c>
      <c r="V44" s="2843">
        <f>'19)LuzerneSil-Fremdernte(b)'!$M$52</f>
        <v>-2075.0843544000381</v>
      </c>
      <c r="W44" s="2845">
        <f>'20)Silomais int(b)'!$M49</f>
        <v>-2890.8833529089538</v>
      </c>
      <c r="X44" s="2842">
        <f>'20)Silomais int(b)'!$N49</f>
        <v>-2841.7670899975105</v>
      </c>
      <c r="Y44" s="2847">
        <f>'20)Silomais int(b)'!$O49</f>
        <v>-3093.1103566710681</v>
      </c>
      <c r="Z44" s="2844">
        <f>'21)Futterrüben(b)'!$M49</f>
        <v>-3735.1769638050637</v>
      </c>
      <c r="AA44" s="2842">
        <f>'21)Futterrüben(b)'!$N49</f>
        <v>-3788.7379941189074</v>
      </c>
      <c r="AB44" s="2843">
        <f>'21)Futterrüben(b)'!$O49</f>
        <v>-4138.207071770029</v>
      </c>
      <c r="AC44" s="2848">
        <f>'22)ZWF-Raps-(b)'!M49</f>
        <v>-242.60174921360431</v>
      </c>
      <c r="AD44" s="2842">
        <f>'22)ZWF-Raps-(b)'!N49</f>
        <v>-332.35930802308326</v>
      </c>
      <c r="AE44" s="2849">
        <f>'22)ZWF-Raps-(b)'!O49</f>
        <v>-434.93937523391662</v>
      </c>
      <c r="AF44" s="2833"/>
      <c r="AG44" s="2845">
        <f>'23)GPS-(b)'!M49</f>
        <v>-2212.266349976323</v>
      </c>
      <c r="AH44" s="2842">
        <f>'23)GPS-(b)'!N49</f>
        <v>-2095.8636047300802</v>
      </c>
      <c r="AI44" s="2843">
        <f>'23)GPS-(b)'!O49</f>
        <v>-2253.6516037463371</v>
      </c>
      <c r="AJ44" s="2845">
        <f>'24)Mais LKS-(b)'!M49</f>
        <v>-2498.4419584121497</v>
      </c>
      <c r="AK44" s="2842">
        <f>'24)Mais LKS-(b)'!N49</f>
        <v>-2321.1063186678366</v>
      </c>
      <c r="AL44" s="2843">
        <f>'24)Mais LKS-(b)'!O49</f>
        <v>-2453.7706789235235</v>
      </c>
      <c r="AM44" s="2845">
        <f>'25)Mais CCM-(b)'!M49</f>
        <v>-2208.0080176659485</v>
      </c>
      <c r="AN44" s="2842">
        <f>'25)Mais CCM-(b)'!N49</f>
        <v>-2036.6016344935947</v>
      </c>
      <c r="AO44" s="2843">
        <f>'25)Mais CCM-(b)'!O49</f>
        <v>-2175.1952513212418</v>
      </c>
      <c r="AP44" s="2844">
        <f>'26)M(ais feucht-b)'!$M49</f>
        <v>-2439.6311290265467</v>
      </c>
      <c r="AQ44" s="2842">
        <f>'26)M(ais feucht-b)'!$N49</f>
        <v>-2300.6822789144803</v>
      </c>
      <c r="AR44" s="2843">
        <f>'26)M(ais feucht-b)'!$O49</f>
        <v>-2474.0085600524139</v>
      </c>
      <c r="AS44" s="2844">
        <f>'27)Silomais Biogas ab Feld-(b)'!M49</f>
        <v>-1555.0779123324378</v>
      </c>
      <c r="AT44" s="2842">
        <f>'27)Silomais Biogas ab Feld-(b)'!N49</f>
        <v>-1304.5568754313015</v>
      </c>
      <c r="AU44" s="2843">
        <f>'27)Silomais Biogas ab Feld-(b)'!O49</f>
        <v>-1364.0358385301652</v>
      </c>
      <c r="AV44" s="2845">
        <f>'28)Silomais Biogas ex Silo (b)'!M49</f>
        <v>-2445.4029519755113</v>
      </c>
      <c r="AW44" s="2842">
        <f>'28)Silomais Biogas ex Silo (b)'!N49</f>
        <v>-2668.1906067070031</v>
      </c>
      <c r="AX44" s="2843">
        <f>'28)Silomais Biogas ex Silo (b)'!O49</f>
        <v>-2876.1412073697747</v>
      </c>
      <c r="AY44" s="2845">
        <f>'29)Triticale-GPS Biogas Feld(b)'!M49</f>
        <v>-1319.3668798553626</v>
      </c>
      <c r="AZ44" s="2842">
        <f>'29)Triticale-GPS Biogas Feld(b)'!N49</f>
        <v>-1091.3473455947378</v>
      </c>
      <c r="BA44" s="2843">
        <f>'29)Triticale-GPS Biogas Feld(b)'!O49</f>
        <v>-1137.7040457091125</v>
      </c>
      <c r="BB44" s="2845">
        <f>'30)Tritic-GPS Biogas ex Silo(b)'!M49</f>
        <v>-2072.3690556577958</v>
      </c>
      <c r="BC44" s="2842">
        <f>'30)Tritic-GPS Biogas ex Silo(b)'!N49</f>
        <v>-2190.9779740576569</v>
      </c>
      <c r="BD44" s="2843">
        <f>'30)Tritic-GPS Biogas ex Silo(b)'!O49</f>
        <v>-2114.4977830825187</v>
      </c>
      <c r="BE44" s="2849">
        <f>'33)Kleegrassil 4N Biogas aF(b)'!M49</f>
        <v>-1346.4594342918147</v>
      </c>
      <c r="BF44" s="2843">
        <f>'33)Kleegrassil 4N Biogas aF(b)'!N49</f>
        <v>-1012.0247289355648</v>
      </c>
      <c r="BG44" s="2843">
        <f>'33)Kleegrassil 4N Biogas aF(b)'!O49</f>
        <v>-1048.7324149855651</v>
      </c>
      <c r="BH44" s="2843">
        <f>'34)Kleegrassil 4N Biog ex S(b)'!M49</f>
        <v>-2565.7614746836862</v>
      </c>
      <c r="BI44" s="2843">
        <f>'34)Kleegrassil 4N Biog ex S(b)'!N49</f>
        <v>-2346.9077692429451</v>
      </c>
      <c r="BJ44" s="2843">
        <f>'34)Kleegrassil 4N Biog ex S(b)'!O49</f>
        <v>-2499.1964552084542</v>
      </c>
      <c r="BK44" s="2846">
        <f>'36)GS 3Nutz. Biogas Feld-(b)'!$M$52</f>
        <v>-441.59830675139085</v>
      </c>
      <c r="BL44" s="2846">
        <f>'37)GS 3Nutz. Biogas ex Silo (b)'!$M$52</f>
        <v>-1378.4111813861359</v>
      </c>
      <c r="BM44" s="2843">
        <f>'40)GrünroggenVFBiogas ex S(b)'!M49</f>
        <v>-660.07586656852118</v>
      </c>
      <c r="BN44" s="2843">
        <f>'40)GrünroggenVFBiogas ex S(b)'!N49</f>
        <v>-739.82617339811338</v>
      </c>
      <c r="BO44" s="2843">
        <f>'40)GrünroggenVFBiogas ex S(b)'!O49</f>
        <v>-819.57648022770559</v>
      </c>
      <c r="BP44" s="2843">
        <f>'42)Grürog.+Silom. Biog ex S(b)'!M49</f>
        <v>-3148.3761360787221</v>
      </c>
      <c r="BQ44" s="2843">
        <f>'42)Grürog.+Silom. Biog ex S(b)'!N49</f>
        <v>-3017.3491741353282</v>
      </c>
      <c r="BR44" s="2843">
        <f>'42)Grürog.+Silom. Biog ex S(b)'!O49</f>
        <v>-3251.2119831408536</v>
      </c>
      <c r="BS44" s="2843">
        <f>'44)Sudangras HF Biogas ex S(b)'!M49</f>
        <v>-2407.0035086612079</v>
      </c>
      <c r="BT44" s="2843">
        <f>'44)Sudangras HF Biogas ex S(b)'!N49</f>
        <v>-2378.9858445370241</v>
      </c>
      <c r="BU44" s="2843">
        <f>'44)Sudangras HF Biogas ex S(b)'!O49</f>
        <v>-2637.7631804128405</v>
      </c>
      <c r="BV44" s="2843">
        <f>'51) GPS Weidelgras Biog aF (b)'!M49</f>
        <v>-2046.8325053089125</v>
      </c>
      <c r="BW44" s="2843">
        <f>'51) GPS Weidelgras Biog aF (b)'!N49</f>
        <v>-2177.6811512016211</v>
      </c>
      <c r="BX44" s="2843">
        <f>'51) GPS Weidelgras Biog aF (b)'!O49</f>
        <v>-2308.5297970943293</v>
      </c>
      <c r="BY44" s="2843">
        <f>'48)Zuhirse HF Biogas ex S(b)'!M49</f>
        <v>-2321.8832026080836</v>
      </c>
      <c r="BZ44" s="2843">
        <f>'48)Zuhirse HF Biogas ex S(b)'!N49</f>
        <v>-2281.3427747929618</v>
      </c>
      <c r="CA44" s="2843">
        <f>'48)Zuhirse HF Biogas ex S(b)'!O49</f>
        <v>-2527.597346977841</v>
      </c>
      <c r="CB44" s="2843">
        <f>'46)GPS+Sudangr Biogas ex S(b)'!M49</f>
        <v>-3080.8560093755341</v>
      </c>
      <c r="CC44" s="2843">
        <f>'46)GPS+Sudangr Biogas ex S(b)'!N49</f>
        <v>-2986.5908522935924</v>
      </c>
      <c r="CD44" s="2843">
        <f>'46)GPS+Sudangr Biogas ex S(b)'!O49</f>
        <v>-3166.7019295866517</v>
      </c>
      <c r="CE44" s="2843">
        <f>'48)Zuhirse HF Biogas ex S(b)'!M49</f>
        <v>-2321.8832026080836</v>
      </c>
      <c r="CF44" s="2843">
        <f>'48)Zuhirse HF Biogas ex S(b)'!N49</f>
        <v>-2281.3427747929618</v>
      </c>
      <c r="CG44" s="2843">
        <f>'48)Zuhirse HF Biogas ex S(b)'!O49</f>
        <v>-2527.597346977841</v>
      </c>
      <c r="CH44" s="2843">
        <f>'54)Dw. Silphie Biogas ex S(b)'!M49</f>
        <v>-1931.6448947721879</v>
      </c>
      <c r="CI44" s="2843">
        <f>'54)Dw. Silphie Biogas ex S(b)'!N49</f>
        <v>-1876.483103375504</v>
      </c>
      <c r="CJ44" s="2843">
        <f>'54)Dw. Silphie Biogas ex S(b)'!O49</f>
        <v>-2131.3213119788206</v>
      </c>
    </row>
    <row r="45" spans="1:88" s="2837" customFormat="1" ht="21.75" customHeight="1" x14ac:dyDescent="0.25">
      <c r="A45" s="2850"/>
      <c r="B45" s="2851" t="s">
        <v>1353</v>
      </c>
      <c r="C45" s="2852"/>
      <c r="D45" s="2853" t="s">
        <v>266</v>
      </c>
      <c r="E45" s="2854">
        <f>'1)Grünf. 3Nutz.(b)'!$M$55</f>
        <v>1397.125495950088</v>
      </c>
      <c r="F45" s="2855">
        <f>'2)Grünf. 4Nutz.(b)'!$M$55</f>
        <v>1760.7373365107014</v>
      </c>
      <c r="G45" s="2856">
        <f>'3)Grünf. 5Nutz.(b)'!$M$55</f>
        <v>2477.1114668605696</v>
      </c>
      <c r="H45" s="2857">
        <f>'4)GS 3Nutz.eig.mech.(b)'!$M$55</f>
        <v>1934.9244343469163</v>
      </c>
      <c r="I45" s="2858">
        <f>'5)GS 4Nutz.eig.mech(b)'!$M$55</f>
        <v>2375.1521842563425</v>
      </c>
      <c r="J45" s="2855">
        <f>'6)GS 5Nutz.eig.mech.(b)'!$M$55</f>
        <v>2943.1471260742182</v>
      </c>
      <c r="K45" s="2858">
        <f>'7)GS3Nutz.Fremdmech(b)'!$M$55</f>
        <v>1797.5582144855571</v>
      </c>
      <c r="L45" s="2858">
        <f>'8)GS4Nutz.Fremdmech(b)'!$M$55</f>
        <v>2180.9086241264145</v>
      </c>
      <c r="M45" s="2858">
        <f>'9)GS 5Nutz.Fremd(b)'!$M$55</f>
        <v>2814.163782249927</v>
      </c>
      <c r="N45" s="2854">
        <f>'10) GS 3Nutz. Ballensil.(b)'!$M$55</f>
        <v>1871.8154304905511</v>
      </c>
      <c r="O45" s="2857">
        <f>'11)Heu 2Nutz.-(b)'!$M$55</f>
        <v>1328.6130524768498</v>
      </c>
      <c r="P45" s="2858">
        <f>'12)Heu 3Nutz.(b)'!$M$55</f>
        <v>1998.1063314182938</v>
      </c>
      <c r="Q45" s="2859">
        <f>'13)Grascobs 5Nutz.(b)'!$M$55</f>
        <v>4842.6384630102611</v>
      </c>
      <c r="R45" s="2855">
        <f>'14)Weide_ext.(b)'!$M$55</f>
        <v>1074.7985564653081</v>
      </c>
      <c r="S45" s="2858">
        <f>'15)Weide int. 4Nutz.(b)'!$M$55</f>
        <v>1556.5928039540383</v>
      </c>
      <c r="T45" s="2857">
        <f>'17)Kleegras-GrünFu-Eig.mech(b)'!$M$55</f>
        <v>1664.0756872747452</v>
      </c>
      <c r="U45" s="2855">
        <f>'18)Kleegrassi-Fremnernt(b)'!$M$55</f>
        <v>2344.5829868144428</v>
      </c>
      <c r="V45" s="2856">
        <f>'19)LuzerneSil-Fremdernte(b)'!$M$55</f>
        <v>2075.0843544000381</v>
      </c>
      <c r="W45" s="2858">
        <f>'20)Silomais int(b)'!$M51</f>
        <v>2890.8833529089538</v>
      </c>
      <c r="X45" s="2855">
        <f>'20)Silomais int(b)'!$N51</f>
        <v>2841.7670899975105</v>
      </c>
      <c r="Y45" s="2860">
        <f>'20)Silomais int(b)'!$O51</f>
        <v>3093.1103566710681</v>
      </c>
      <c r="Z45" s="2857">
        <f>'21)Futterrüben(b)'!$M51</f>
        <v>3735.1769638050637</v>
      </c>
      <c r="AA45" s="2855">
        <f>'21)Futterrüben(b)'!$N51</f>
        <v>3788.7379941189074</v>
      </c>
      <c r="AB45" s="2856">
        <f>'21)Futterrüben(b)'!$O51</f>
        <v>4138.207071770029</v>
      </c>
      <c r="AC45" s="2861">
        <f>'22)ZWF-Raps-(b)'!M51</f>
        <v>242.60174921360431</v>
      </c>
      <c r="AD45" s="2855">
        <f>'22)ZWF-Raps-(b)'!N51</f>
        <v>332.35930802308326</v>
      </c>
      <c r="AE45" s="2862">
        <f>'22)ZWF-Raps-(b)'!O51</f>
        <v>434.93937523391662</v>
      </c>
      <c r="AF45" s="2833"/>
      <c r="AG45" s="2858">
        <f>'23)GPS-(b)'!M51</f>
        <v>2212.266349976323</v>
      </c>
      <c r="AH45" s="2855">
        <f>'23)GPS-(b)'!N51</f>
        <v>2095.8636047300802</v>
      </c>
      <c r="AI45" s="2856">
        <f>'23)GPS-(b)'!O51</f>
        <v>2253.6516037463371</v>
      </c>
      <c r="AJ45" s="2858">
        <f>'24)Mais LKS-(b)'!M51</f>
        <v>2498.4419584121497</v>
      </c>
      <c r="AK45" s="2855">
        <f>'24)Mais LKS-(b)'!N51</f>
        <v>2321.1063186678366</v>
      </c>
      <c r="AL45" s="2856">
        <f>'24)Mais LKS-(b)'!O51</f>
        <v>2453.7706789235235</v>
      </c>
      <c r="AM45" s="2858">
        <f>'25)Mais CCM-(b)'!M51</f>
        <v>2208.0080176659485</v>
      </c>
      <c r="AN45" s="2855">
        <f>'25)Mais CCM-(b)'!N51</f>
        <v>2036.6016344935947</v>
      </c>
      <c r="AO45" s="2856">
        <f>'25)Mais CCM-(b)'!O51</f>
        <v>2175.1952513212418</v>
      </c>
      <c r="AP45" s="2857">
        <f>'26)M(ais feucht-b)'!$M51</f>
        <v>2439.6311290265467</v>
      </c>
      <c r="AQ45" s="2855">
        <f>'26)M(ais feucht-b)'!$N51</f>
        <v>2300.6822789144803</v>
      </c>
      <c r="AR45" s="2856">
        <f>'26)M(ais feucht-b)'!$O51</f>
        <v>2474.0085600524139</v>
      </c>
      <c r="AS45" s="2857">
        <f>'27)Silomais Biogas ab Feld-(b)'!M51</f>
        <v>1555.0779123324378</v>
      </c>
      <c r="AT45" s="2855">
        <f>'27)Silomais Biogas ab Feld-(b)'!N51</f>
        <v>1304.5568754313015</v>
      </c>
      <c r="AU45" s="2856">
        <f>'27)Silomais Biogas ab Feld-(b)'!O51</f>
        <v>1364.0358385301652</v>
      </c>
      <c r="AV45" s="2858">
        <f>'28)Silomais Biogas ex Silo (b)'!M51</f>
        <v>2445.4029519755113</v>
      </c>
      <c r="AW45" s="2855">
        <f>'28)Silomais Biogas ex Silo (b)'!N51</f>
        <v>2668.1906067070031</v>
      </c>
      <c r="AX45" s="2856">
        <f>'28)Silomais Biogas ex Silo (b)'!O51</f>
        <v>2876.1412073697747</v>
      </c>
      <c r="AY45" s="2858">
        <f>'29)Triticale-GPS Biogas Feld(b)'!M51</f>
        <v>1319.3668798553626</v>
      </c>
      <c r="AZ45" s="2855">
        <f>'29)Triticale-GPS Biogas Feld(b)'!N51</f>
        <v>1091.3473455947378</v>
      </c>
      <c r="BA45" s="2856">
        <f>'29)Triticale-GPS Biogas Feld(b)'!O51</f>
        <v>1137.7040457091125</v>
      </c>
      <c r="BB45" s="2858">
        <f>'30)Tritic-GPS Biogas ex Silo(b)'!M51</f>
        <v>2072.3690556577958</v>
      </c>
      <c r="BC45" s="2855">
        <f>'30)Tritic-GPS Biogas ex Silo(b)'!N51</f>
        <v>2190.9779740576569</v>
      </c>
      <c r="BD45" s="2856">
        <f>'30)Tritic-GPS Biogas ex Silo(b)'!O51</f>
        <v>2114.4977830825187</v>
      </c>
      <c r="BE45" s="2862">
        <f>'33)Kleegrassil 4N Biogas aF(b)'!M51</f>
        <v>1346.4594342918147</v>
      </c>
      <c r="BF45" s="2856">
        <f>'33)Kleegrassil 4N Biogas aF(b)'!N51</f>
        <v>1012.0247289355648</v>
      </c>
      <c r="BG45" s="2856">
        <f>'33)Kleegrassil 4N Biogas aF(b)'!O51</f>
        <v>1048.7324149855651</v>
      </c>
      <c r="BH45" s="2856">
        <f>'34)Kleegrassil 4N Biog ex S(b)'!M51</f>
        <v>2565.7614746836862</v>
      </c>
      <c r="BI45" s="2856">
        <f>'34)Kleegrassil 4N Biog ex S(b)'!N51</f>
        <v>2346.9077692429451</v>
      </c>
      <c r="BJ45" s="2856">
        <f>'34)Kleegrassil 4N Biog ex S(b)'!O51</f>
        <v>2499.1964552084542</v>
      </c>
      <c r="BK45" s="2859">
        <f>'36)GS 3Nutz. Biogas Feld-(b)'!$M$55</f>
        <v>441.59830675139085</v>
      </c>
      <c r="BL45" s="2859">
        <f>'37)GS 3Nutz. Biogas ex Silo (b)'!$M$55</f>
        <v>1378.4111813861359</v>
      </c>
      <c r="BM45" s="2856">
        <f>'40)GrünroggenVFBiogas ex S(b)'!M51</f>
        <v>660.07586656852118</v>
      </c>
      <c r="BN45" s="2856">
        <f>'40)GrünroggenVFBiogas ex S(b)'!N51</f>
        <v>739.82617339811338</v>
      </c>
      <c r="BO45" s="2856">
        <f>'40)GrünroggenVFBiogas ex S(b)'!O51</f>
        <v>819.57648022770559</v>
      </c>
      <c r="BP45" s="2856">
        <f>'42)Grürog.+Silom. Biog ex S(b)'!M51</f>
        <v>3148.3761360787221</v>
      </c>
      <c r="BQ45" s="2856">
        <f>'42)Grürog.+Silom. Biog ex S(b)'!N51</f>
        <v>3017.3491741353282</v>
      </c>
      <c r="BR45" s="2856">
        <f>'42)Grürog.+Silom. Biog ex S(b)'!O51</f>
        <v>3251.2119831408536</v>
      </c>
      <c r="BS45" s="2856">
        <f>'44)Sudangras HF Biogas ex S(b)'!M51</f>
        <v>2407.0035086612079</v>
      </c>
      <c r="BT45" s="2856">
        <f>'44)Sudangras HF Biogas ex S(b)'!N51</f>
        <v>2378.9858445370241</v>
      </c>
      <c r="BU45" s="2856">
        <f>'44)Sudangras HF Biogas ex S(b)'!O51</f>
        <v>2637.7631804128405</v>
      </c>
      <c r="BV45" s="2856">
        <f>'51) GPS Weidelgras Biog aF (b)'!M51</f>
        <v>2046.8325053089125</v>
      </c>
      <c r="BW45" s="2856">
        <f>'51) GPS Weidelgras Biog aF (b)'!N51</f>
        <v>2177.6811512016211</v>
      </c>
      <c r="BX45" s="2856">
        <f>'51) GPS Weidelgras Biog aF (b)'!O51</f>
        <v>2308.5297970943293</v>
      </c>
      <c r="BY45" s="2856">
        <f>'48)Zuhirse HF Biogas ex S(b)'!M51</f>
        <v>2321.8832026080836</v>
      </c>
      <c r="BZ45" s="2856">
        <f>'48)Zuhirse HF Biogas ex S(b)'!N51</f>
        <v>2281.3427747929618</v>
      </c>
      <c r="CA45" s="2856">
        <f>'48)Zuhirse HF Biogas ex S(b)'!O51</f>
        <v>2527.597346977841</v>
      </c>
      <c r="CB45" s="2856">
        <f>'46)GPS+Sudangr Biogas ex S(b)'!M51</f>
        <v>3080.8560093755341</v>
      </c>
      <c r="CC45" s="2856">
        <f>'46)GPS+Sudangr Biogas ex S(b)'!N51</f>
        <v>2986.5908522935924</v>
      </c>
      <c r="CD45" s="2856">
        <f>'46)GPS+Sudangr Biogas ex S(b)'!O51</f>
        <v>3166.7019295866517</v>
      </c>
      <c r="CE45" s="2856">
        <f>'48)Zuhirse HF Biogas ex S(b)'!M51</f>
        <v>2321.8832026080836</v>
      </c>
      <c r="CF45" s="2856">
        <f>'48)Zuhirse HF Biogas ex S(b)'!N51</f>
        <v>2281.3427747929618</v>
      </c>
      <c r="CG45" s="2856">
        <f>'48)Zuhirse HF Biogas ex S(b)'!O51</f>
        <v>2527.597346977841</v>
      </c>
      <c r="CH45" s="2856">
        <f>'54)Dw. Silphie Biogas ex S(b)'!M51</f>
        <v>1931.6448947721879</v>
      </c>
      <c r="CI45" s="2856">
        <f>'54)Dw. Silphie Biogas ex S(b)'!N51</f>
        <v>1876.483103375504</v>
      </c>
      <c r="CJ45" s="2856">
        <f>'54)Dw. Silphie Biogas ex S(b)'!O51</f>
        <v>2131.3213119788206</v>
      </c>
    </row>
    <row r="46" spans="1:88" s="1441" customFormat="1" ht="17.100000000000001" customHeight="1" x14ac:dyDescent="0.25">
      <c r="A46" s="1291"/>
      <c r="B46" s="2243" t="s">
        <v>525</v>
      </c>
      <c r="C46" s="2566"/>
      <c r="D46" s="2863" t="s">
        <v>191</v>
      </c>
      <c r="E46" s="1285">
        <f>'1)Grünf. 3Nutz.(b)'!$M$56</f>
        <v>3.5295802002949586</v>
      </c>
      <c r="F46" s="2866">
        <f>'2)Grünf. 4Nutz.(b)'!$M$56</f>
        <v>3.7068154452856872</v>
      </c>
      <c r="G46" s="2867">
        <f>'3)Grünf. 5Nutz.(b)'!$M$56</f>
        <v>3.7547794866097051</v>
      </c>
      <c r="H46" s="2868">
        <f>'4)GS 3Nutz.eig.mech.(b)'!$M$56</f>
        <v>10.804331872603044</v>
      </c>
      <c r="I46" s="2869">
        <f>'5)GS 4Nutz.eig.mech(b)'!$M$56</f>
        <v>11.052082099916326</v>
      </c>
      <c r="J46" s="2866">
        <f>'6)GS 5Nutz.eig.mech.(b)'!$M$56</f>
        <v>9.8604589622860068</v>
      </c>
      <c r="K46" s="2869">
        <f>'7)GS3Nutz.Fremdmech(b)'!$M$56</f>
        <v>10.037299216897283</v>
      </c>
      <c r="L46" s="2869">
        <f>'8)GS4Nutz.Fremdmech(b)'!$M$56</f>
        <v>10.148226006750592</v>
      </c>
      <c r="M46" s="2869">
        <f>'9)GS 5Nutz.Fremd(b)'!$M$56</f>
        <v>9.4283246128577076</v>
      </c>
      <c r="N46" s="2870">
        <f>'10) GS 3Nutz. Ballensil.(b)'!$M$56</f>
        <v>10.451940528677669</v>
      </c>
      <c r="O46" s="2868">
        <f>'11)Heu 2Nutz.-(b)'!$M$56</f>
        <v>22.7910231224099</v>
      </c>
      <c r="P46" s="2869">
        <f>'12)Heu 3Nutz.(b)'!$M$56</f>
        <v>24.194476390066718</v>
      </c>
      <c r="Q46" s="2871">
        <f>'13)Grascobs 5Nutz.(b)'!$M$56</f>
        <v>36.702102035446195</v>
      </c>
      <c r="R46" s="2866">
        <f>'14)Weide_ext.(b)'!$M$56</f>
        <v>3.5826618548843605</v>
      </c>
      <c r="S46" s="2869">
        <f>'15)Weide int. 4Nutz.(b)'!$M$56</f>
        <v>3.4590951198978628</v>
      </c>
      <c r="T46" s="2868">
        <f>'17)Kleegras-GrünFu-Eig.mech(b)'!$M$56</f>
        <v>2.5478670809948252</v>
      </c>
      <c r="U46" s="2866">
        <f>'18)Kleegrassi-Fremnernt(b)'!$M$56</f>
        <v>8.4437314954473948</v>
      </c>
      <c r="V46" s="2867">
        <f>'19)LuzerneSil-Fremdernte(b)'!$M$56</f>
        <v>7.473164830375195</v>
      </c>
      <c r="W46" s="2869">
        <f>'20)Silomais int(b)'!$M52</f>
        <v>9.0566521081107556</v>
      </c>
      <c r="X46" s="2866">
        <f>'20)Silomais int(b)'!$N52</f>
        <v>7.3678171895190827</v>
      </c>
      <c r="Y46" s="2873">
        <f>'20)Silomais int(b)'!$O52</f>
        <v>6.840137896220849</v>
      </c>
      <c r="Z46" s="2868">
        <f>'21)Futterrüben(b)'!$M52</f>
        <v>5.7650516496451054</v>
      </c>
      <c r="AA46" s="2866">
        <f>'21)Futterrüben(b)'!$N52</f>
        <v>4.948071038420931</v>
      </c>
      <c r="AB46" s="2867">
        <f>'21)Futterrüben(b)'!$O52</f>
        <v>4.6838789720090874</v>
      </c>
      <c r="AC46" s="2874">
        <f>'22)ZWF-Raps-(b)'!M52</f>
        <v>1.2257772591845268</v>
      </c>
      <c r="AD46" s="2866">
        <f>'22)ZWF-Raps-(b)'!N52</f>
        <v>1.3119446369332235</v>
      </c>
      <c r="AE46" s="2875">
        <f>'22)ZWF-Raps-(b)'!O52</f>
        <v>1.373492763896579</v>
      </c>
      <c r="AF46" s="2872"/>
      <c r="AG46" s="2869">
        <f>'23)GPS-(b)'!M52</f>
        <v>10.561004176996409</v>
      </c>
      <c r="AH46" s="2866">
        <f>'23)GPS-(b)'!N52</f>
        <v>8.575985288650525</v>
      </c>
      <c r="AI46" s="2867">
        <f>'23)GPS-(b)'!O52</f>
        <v>8.0689280477849508</v>
      </c>
      <c r="AJ46" s="2869">
        <f>'24)Mais LKS-(b)'!M52</f>
        <v>14.491500081015692</v>
      </c>
      <c r="AK46" s="2866">
        <f>'24)Mais LKS-(b)'!N52</f>
        <v>11.706882847621834</v>
      </c>
      <c r="AL46" s="2867">
        <f>'24)Mais LKS-(b)'!O52</f>
        <v>10.947997741210466</v>
      </c>
      <c r="AM46" s="2869">
        <f>'25)Mais CCM-(b)'!M52</f>
        <v>17.128597821731308</v>
      </c>
      <c r="AN46" s="2866">
        <f>'25)Mais CCM-(b)'!N52</f>
        <v>13.541926882725553</v>
      </c>
      <c r="AO46" s="2867">
        <f>'25)Mais CCM-(b)'!O52</f>
        <v>12.655539861786673</v>
      </c>
      <c r="AP46" s="2868">
        <f>'26)M(ais feucht-b)'!$M52</f>
        <v>21.946198394841382</v>
      </c>
      <c r="AQ46" s="2866">
        <f>'26)M(ais feucht-b)'!$N52</f>
        <v>17.42842587905141</v>
      </c>
      <c r="AR46" s="2867">
        <f>'26)M(ais feucht-b)'!$O52</f>
        <v>16.185780053072136</v>
      </c>
      <c r="AS46" s="2868">
        <f>'27)Silomais Biogas ab Feld-(b)'!M52</f>
        <v>4.5015413251728464</v>
      </c>
      <c r="AT46" s="2866">
        <f>'27)Silomais Biogas ab Feld-(b)'!N52</f>
        <v>3.0210790799461718</v>
      </c>
      <c r="AU46" s="2867">
        <f>'27)Silomais Biogas ab Feld-(b)'!O52</f>
        <v>2.6323498638301435</v>
      </c>
      <c r="AV46" s="2869">
        <f>'28)Silomais Biogas ex Silo (b)'!M52</f>
        <v>7.6610368169658862</v>
      </c>
      <c r="AW46" s="2866">
        <f>'28)Silomais Biogas ex Silo (b)'!N52</f>
        <v>6.6871945030250703</v>
      </c>
      <c r="AX46" s="2867">
        <f>'28)Silomais Biogas ex Silo (b)'!O52</f>
        <v>6.0069782944230887</v>
      </c>
      <c r="AY46" s="2869">
        <f>'29)Triticale-GPS Biogas Feld(b)'!M52</f>
        <v>4.8608253468355462</v>
      </c>
      <c r="AZ46" s="2866">
        <f>'29)Triticale-GPS Biogas Feld(b)'!N52</f>
        <v>3.3506278154224405</v>
      </c>
      <c r="BA46" s="2867">
        <f>'29)Triticale-GPS Biogas Feld(b)'!O52</f>
        <v>2.9939580150239804</v>
      </c>
      <c r="BB46" s="2869">
        <f>'30)Tritic-GPS Biogas ex Silo(b)'!M52</f>
        <v>8.2360531750095003</v>
      </c>
      <c r="BC46" s="2866">
        <f>'30)Tritic-GPS Biogas ex Silo(b)'!N52</f>
        <v>7.2561927175199878</v>
      </c>
      <c r="BD46" s="2867">
        <f>'30)Tritic-GPS Biogas ex Silo(b)'!O52</f>
        <v>6.0024871853654425</v>
      </c>
      <c r="BE46" s="2875">
        <f>'33)Kleegrassil 4N Biogas aF(b)'!M52</f>
        <v>4.7244190676905777</v>
      </c>
      <c r="BF46" s="2867">
        <f>'33)Kleegrassil 4N Biogas aF(b)'!N52</f>
        <v>2.9053341500542533</v>
      </c>
      <c r="BG46" s="2867">
        <f>'33)Kleegrassil 4N Biogas aF(b)'!O52</f>
        <v>2.5475281335681745</v>
      </c>
      <c r="BH46" s="2867">
        <f>'34)Kleegrassil 4N Biog ex S(b)'!M52</f>
        <v>9.8738981481884931</v>
      </c>
      <c r="BI46" s="2867">
        <f>'34)Kleegrassil 4N Biog ex S(b)'!N52</f>
        <v>7.5263972980815064</v>
      </c>
      <c r="BJ46" s="2867">
        <f>'34)Kleegrassil 4N Biog ex S(b)'!O52</f>
        <v>6.8698099666171437</v>
      </c>
      <c r="BK46" s="2871">
        <f>'36)GS 3Nutz. Biogas Feld-(b)'!$M$56</f>
        <v>2.1692548401822709</v>
      </c>
      <c r="BL46" s="2871">
        <f>'37)GS 3Nutz. Biogas ex Silo (b)'!$M$56</f>
        <v>7.6968441745009661</v>
      </c>
      <c r="BM46" s="2867">
        <f>'40)GrünroggenVFBiogas ex S(b)'!M52</f>
        <v>4.1838425045656127</v>
      </c>
      <c r="BN46" s="2867">
        <f>'40)GrünroggenVFBiogas ex S(b)'!N52</f>
        <v>3.9077783163831681</v>
      </c>
      <c r="BO46" s="2867">
        <f>'40)GrünroggenVFBiogas ex S(b)'!O52</f>
        <v>3.7105896105385656</v>
      </c>
      <c r="BP46" s="2867">
        <f>'42)Grürog.+Silom. Biog ex S(b)'!M52</f>
        <v>6.9822857856584548</v>
      </c>
      <c r="BQ46" s="2867">
        <f>'42)Grürog.+Silom. Biog ex S(b)'!N52</f>
        <v>5.9317024243568239</v>
      </c>
      <c r="BR46" s="2867">
        <f>'42)Grürog.+Silom. Biog ex S(b)'!O52</f>
        <v>5.5198845214615515</v>
      </c>
      <c r="BS46" s="1289">
        <f>'44)Sudangras HF Biogas ex S(b)'!M52</f>
        <v>8.173186786625493</v>
      </c>
      <c r="BT46" s="1289">
        <f>'44)Sudangras HF Biogas ex S(b)'!N52</f>
        <v>6.2138849276140107</v>
      </c>
      <c r="BU46" s="1289">
        <f>'44)Sudangras HF Biogas ex S(b)'!O52</f>
        <v>5.5979693981596776</v>
      </c>
      <c r="BV46" s="1289">
        <f>'51) GPS Weidelgras Biog aF (b)'!M52</f>
        <v>5.0041405902289204</v>
      </c>
      <c r="BW46" s="1289">
        <f>'51) GPS Weidelgras Biog aF (b)'!N52</f>
        <v>4.4367018360644233</v>
      </c>
      <c r="BX46" s="1289">
        <f>'51) GPS Weidelgras Biog aF (b)'!O52</f>
        <v>4.0313884402326385</v>
      </c>
      <c r="BY46" s="1289">
        <f>'48)Zuhirse HF Biogas ex S(b)'!M52</f>
        <v>7.8841534893313536</v>
      </c>
      <c r="BZ46" s="1289">
        <f>'48)Zuhirse HF Biogas ex S(b)'!N52</f>
        <v>5.9588423006215532</v>
      </c>
      <c r="CA46" s="1289">
        <f>'48)Zuhirse HF Biogas ex S(b)'!O52</f>
        <v>5.3641709401057742</v>
      </c>
      <c r="CB46" s="2867">
        <f>'46)GPS+Sudangr Biogas ex S(b)'!M52</f>
        <v>6.3930232226241976</v>
      </c>
      <c r="CC46" s="2867">
        <f>'46)GPS+Sudangr Biogas ex S(b)'!N52</f>
        <v>5.5776739176960124</v>
      </c>
      <c r="CD46" s="2867">
        <f>'46)GPS+Sudangr Biogas ex S(b)'!O52</f>
        <v>5.3764039551556051</v>
      </c>
      <c r="CE46" s="2867">
        <f>'48)Zuhirse HF Biogas ex S(b)'!M52</f>
        <v>7.8841534893313536</v>
      </c>
      <c r="CF46" s="2867">
        <f>'48)Zuhirse HF Biogas ex S(b)'!N52</f>
        <v>5.9588423006215532</v>
      </c>
      <c r="CG46" s="2867">
        <f>'48)Zuhirse HF Biogas ex S(b)'!O52</f>
        <v>5.3641709401057742</v>
      </c>
      <c r="CH46" s="2867">
        <f>'54)Dw. Silphie Biogas ex S(b)'!M52</f>
        <v>6.5590658566118432</v>
      </c>
      <c r="CI46" s="2867">
        <f>'54)Dw. Silphie Biogas ex S(b)'!N52</f>
        <v>4.9013532803330389</v>
      </c>
      <c r="CJ46" s="2867">
        <f>'54)Dw. Silphie Biogas ex S(b)'!O52</f>
        <v>4.5231776570008924</v>
      </c>
    </row>
    <row r="47" spans="1:88" s="1441" customFormat="1" ht="17.100000000000001" customHeight="1" x14ac:dyDescent="0.25">
      <c r="A47" s="1291"/>
      <c r="B47" s="2864" t="s">
        <v>526</v>
      </c>
      <c r="C47" s="2865"/>
      <c r="D47" s="2863" t="s">
        <v>1017</v>
      </c>
      <c r="E47" s="2870">
        <f>'1)Grünf. 3Nutz.(b)'!$M$57</f>
        <v>19.60877889052755</v>
      </c>
      <c r="F47" s="2866">
        <f>'2)Grünf. 4Nutz.(b)'!$M$57</f>
        <v>20.59341914047604</v>
      </c>
      <c r="G47" s="2867">
        <f>'3)Grünf. 5Nutz.(b)'!$M$57</f>
        <v>20.859886036720585</v>
      </c>
      <c r="H47" s="2868">
        <f>'4)GS 3Nutz.eig.mech.(b)'!$M$57</f>
        <v>29.200896952981193</v>
      </c>
      <c r="I47" s="2869">
        <f>'5)GS 4Nutz.eig.mech(b)'!$M$57</f>
        <v>29.870492161936014</v>
      </c>
      <c r="J47" s="2866">
        <f>'6)GS 5Nutz.eig.mech.(b)'!$M$57</f>
        <v>26.649889087259474</v>
      </c>
      <c r="K47" s="2869">
        <f>'7)GS3Nutz.Fremdmech(b)'!$M$57</f>
        <v>27.127835721344002</v>
      </c>
      <c r="L47" s="2869">
        <f>'8)GS4Nutz.Fremdmech(b)'!$M$57</f>
        <v>27.427637856082676</v>
      </c>
      <c r="M47" s="2869">
        <f>'9)GS 5Nutz.Fremd(b)'!$M$57</f>
        <v>25.481958413128936</v>
      </c>
      <c r="N47" s="2870">
        <f>'10) GS 3Nutz. Ballensil.(b)'!$M$57</f>
        <v>28.248487915345045</v>
      </c>
      <c r="O47" s="2868">
        <f>'11)Heu 2Nutz.-(b)'!$M$57</f>
        <v>25.898889911829432</v>
      </c>
      <c r="P47" s="2869">
        <f>'12)Heu 3Nutz.(b)'!$M$57</f>
        <v>27.493723170530359</v>
      </c>
      <c r="Q47" s="2871">
        <f>'13)Grascobs 5Nutz.(b)'!$M$57</f>
        <v>40.780113372717992</v>
      </c>
      <c r="R47" s="2866">
        <f>'14)Weide_ext.(b)'!$M$57</f>
        <v>22.391636593027254</v>
      </c>
      <c r="S47" s="2869">
        <f>'15)Weide int. 4Nutz.(b)'!$M$57</f>
        <v>21.619344499361645</v>
      </c>
      <c r="T47" s="2868">
        <f>'17)Kleegras-GrünFu-Eig.mech(b)'!$M$57</f>
        <v>15.924169256217658</v>
      </c>
      <c r="U47" s="2866">
        <f>'18)Kleegrassi-Fremnernt(b)'!$M$57</f>
        <v>24.124947129849698</v>
      </c>
      <c r="V47" s="2867">
        <f>'19)LuzerneSil-Fremdernte(b)'!$M$57</f>
        <v>21.351899515357701</v>
      </c>
      <c r="W47" s="2869">
        <f>'20)Silomais int(b)'!$M53</f>
        <v>25.87614888031645</v>
      </c>
      <c r="X47" s="2866">
        <f>'20)Silomais int(b)'!$N53</f>
        <v>21.050906255768808</v>
      </c>
      <c r="Y47" s="2873">
        <f>'20)Silomais int(b)'!$O53</f>
        <v>19.543251132059567</v>
      </c>
      <c r="Z47" s="2868">
        <f>'21)Futterrüben(b)'!$M53</f>
        <v>38.433677664300703</v>
      </c>
      <c r="AA47" s="2866">
        <f>'21)Futterrüben(b)'!$N53</f>
        <v>32.987140256139547</v>
      </c>
      <c r="AB47" s="2867">
        <f>'21)Futterrüben(b)'!$O53</f>
        <v>31.225859813393917</v>
      </c>
      <c r="AC47" s="2874">
        <f>'22)ZWF-Raps-(b)'!M53</f>
        <v>10.214810493204391</v>
      </c>
      <c r="AD47" s="2866">
        <f>'22)ZWF-Raps-(b)'!N53</f>
        <v>10.932871974443529</v>
      </c>
      <c r="AE47" s="2875">
        <f>'22)ZWF-Raps-(b)'!O53</f>
        <v>11.445773032471489</v>
      </c>
      <c r="AF47" s="2872"/>
      <c r="AG47" s="2869">
        <f>'23)GPS-(b)'!M53</f>
        <v>26.402510442491025</v>
      </c>
      <c r="AH47" s="2866">
        <f>'23)GPS-(b)'!N53</f>
        <v>21.439963221626314</v>
      </c>
      <c r="AI47" s="2867">
        <f>'23)GPS-(b)'!O53</f>
        <v>20.17232011946238</v>
      </c>
      <c r="AJ47" s="2869">
        <f>'24)Mais LKS-(b)'!M53</f>
        <v>26.836111261140172</v>
      </c>
      <c r="AK47" s="2866">
        <f>'24)Mais LKS-(b)'!N53</f>
        <v>21.679412680781176</v>
      </c>
      <c r="AL47" s="2867">
        <f>'24)Mais LKS-(b)'!O53</f>
        <v>20.274069891130491</v>
      </c>
      <c r="AM47" s="2869">
        <f>'25)Mais CCM-(b)'!M53</f>
        <v>26.351688956509708</v>
      </c>
      <c r="AN47" s="2866">
        <f>'25)Mais CCM-(b)'!N53</f>
        <v>20.833733665731621</v>
      </c>
      <c r="AO47" s="2867">
        <f>'25)Mais CCM-(b)'!O53</f>
        <v>19.47006132582565</v>
      </c>
      <c r="AP47" s="2868">
        <f>'26)M(ais feucht-b)'!$M53</f>
        <v>32.75551999230057</v>
      </c>
      <c r="AQ47" s="2866">
        <f>'26)M(ais feucht-b)'!$N53</f>
        <v>26.012575938882701</v>
      </c>
      <c r="AR47" s="2867">
        <f>'26)M(ais feucht-b)'!$O53</f>
        <v>24.157880676227069</v>
      </c>
      <c r="AS47" s="2868">
        <f>'27)Silomais Biogas ab Feld-(b)'!M53</f>
        <v>13.641034318705595</v>
      </c>
      <c r="AT47" s="2866">
        <f>'27)Silomais Biogas ab Feld-(b)'!N53</f>
        <v>9.1547850907459747</v>
      </c>
      <c r="AU47" s="2867">
        <f>'27)Silomais Biogas ab Feld-(b)'!O53</f>
        <v>7.9768177691822526</v>
      </c>
      <c r="AV47" s="2869">
        <f>'28)Silomais Biogas ex Silo (b)'!M53</f>
        <v>21.888676619902537</v>
      </c>
      <c r="AW47" s="2866">
        <f>'28)Silomais Biogas ex Silo (b)'!N53</f>
        <v>19.106270008643058</v>
      </c>
      <c r="AX47" s="2867">
        <f>'28)Silomais Biogas ex Silo (b)'!O53</f>
        <v>17.162795126923108</v>
      </c>
      <c r="AY47" s="2869">
        <f>'29)Triticale-GPS Biogas Feld(b)'!M53</f>
        <v>13.888072419530133</v>
      </c>
      <c r="AZ47" s="2866">
        <f>'29)Triticale-GPS Biogas Feld(b)'!N53</f>
        <v>9.5732223297784014</v>
      </c>
      <c r="BA47" s="2867">
        <f>'29)Triticale-GPS Biogas Feld(b)'!O53</f>
        <v>8.5541657572113721</v>
      </c>
      <c r="BB47" s="2869">
        <f>'30)Tritic-GPS Biogas ex Silo(b)'!M53</f>
        <v>22.259603175701354</v>
      </c>
      <c r="BC47" s="2866">
        <f>'30)Tritic-GPS Biogas ex Silo(b)'!N53</f>
        <v>19.611331668972941</v>
      </c>
      <c r="BD47" s="2867">
        <f>'30)Tritic-GPS Biogas ex Silo(b)'!O53</f>
        <v>16.222938338825521</v>
      </c>
      <c r="BE47" s="2875">
        <f>'33)Kleegrassil 4N Biogas aF(b)'!M53</f>
        <v>15.748063558968592</v>
      </c>
      <c r="BF47" s="2867">
        <f>'33)Kleegrassil 4N Biogas aF(b)'!N53</f>
        <v>9.6844471668475105</v>
      </c>
      <c r="BG47" s="2867">
        <f>'33)Kleegrassil 4N Biogas aF(b)'!O53</f>
        <v>8.4917604452272482</v>
      </c>
      <c r="BH47" s="2867">
        <f>'34)Kleegrassil 4N Biog ex S(b)'!M53</f>
        <v>29.040876906436743</v>
      </c>
      <c r="BI47" s="2867">
        <f>'34)Kleegrassil 4N Biog ex S(b)'!N53</f>
        <v>22.136462641416195</v>
      </c>
      <c r="BJ47" s="2867">
        <f>'34)Kleegrassil 4N Biog ex S(b)'!O53</f>
        <v>20.205323431226891</v>
      </c>
      <c r="BK47" s="2871">
        <f>'36)GS 3Nutz. Biogas Feld-(b)'!$M$57</f>
        <v>6.197870971949345</v>
      </c>
      <c r="BL47" s="2871">
        <f>'37)GS 3Nutz. Biogas ex Silo (b)'!$M$57</f>
        <v>20.802281552705313</v>
      </c>
      <c r="BM47" s="2867">
        <f>'40)GrünroggenVFBiogas ex S(b)'!M53</f>
        <v>14.942294659162902</v>
      </c>
      <c r="BN47" s="2867">
        <f>'40)GrünroggenVFBiogas ex S(b)'!N53</f>
        <v>13.956351129939886</v>
      </c>
      <c r="BO47" s="2867">
        <f>'40)GrünroggenVFBiogas ex S(b)'!O53</f>
        <v>13.252105751923448</v>
      </c>
      <c r="BP47" s="2867">
        <f>'42)Grürog.+Silom. Biog ex S(b)'!M53</f>
        <v>21.158441774722593</v>
      </c>
      <c r="BQ47" s="2867">
        <f>'42)Grürog.+Silom. Biog ex S(b)'!N53</f>
        <v>17.974855831384314</v>
      </c>
      <c r="BR47" s="2867">
        <f>'42)Grürog.+Silom. Biog ex S(b)'!O53</f>
        <v>16.726922792307729</v>
      </c>
      <c r="BS47" s="1289">
        <f>'44)Sudangras HF Biogas ex S(b)'!M53</f>
        <v>27.243955955418315</v>
      </c>
      <c r="BT47" s="1289">
        <f>'44)Sudangras HF Biogas ex S(b)'!N53</f>
        <v>20.712949758713371</v>
      </c>
      <c r="BU47" s="1289">
        <f>'44)Sudangras HF Biogas ex S(b)'!O53</f>
        <v>18.659897993865592</v>
      </c>
      <c r="BV47" s="1289">
        <f>'51) GPS Weidelgras Biog aF (b)'!M53</f>
        <v>18.53385403788489</v>
      </c>
      <c r="BW47" s="1289">
        <f>'51) GPS Weidelgras Biog aF (b)'!N53</f>
        <v>16.432229022460827</v>
      </c>
      <c r="BX47" s="1289">
        <f>'51) GPS Weidelgras Biog aF (b)'!O53</f>
        <v>14.931068297157921</v>
      </c>
      <c r="BY47" s="1289">
        <f>'48)Zuhirse HF Biogas ex S(b)'!M53</f>
        <v>26.280511631104513</v>
      </c>
      <c r="BZ47" s="1289">
        <f>'48)Zuhirse HF Biogas ex S(b)'!N53</f>
        <v>19.862807668738512</v>
      </c>
      <c r="CA47" s="1289">
        <f>'48)Zuhirse HF Biogas ex S(b)'!O53</f>
        <v>17.880569800352578</v>
      </c>
      <c r="CB47" s="2867">
        <f>'46)GPS+Sudangr Biogas ex S(b)'!M53</f>
        <v>19.372797644315753</v>
      </c>
      <c r="CC47" s="2867">
        <f>'46)GPS+Sudangr Biogas ex S(b)'!N53</f>
        <v>16.902042174836403</v>
      </c>
      <c r="CD47" s="2867">
        <f>'46)GPS+Sudangr Biogas ex S(b)'!O53</f>
        <v>16.292133197441228</v>
      </c>
      <c r="CE47" s="2867">
        <f>'48)Zuhirse HF Biogas ex S(b)'!M53</f>
        <v>26.280511631104513</v>
      </c>
      <c r="CF47" s="2867">
        <f>'48)Zuhirse HF Biogas ex S(b)'!N53</f>
        <v>19.862807668738512</v>
      </c>
      <c r="CG47" s="2867">
        <f>'48)Zuhirse HF Biogas ex S(b)'!O53</f>
        <v>17.880569800352578</v>
      </c>
      <c r="CH47" s="2867">
        <f>'54)Dw. Silphie Biogas ex S(b)'!M53</f>
        <v>21.863552855372813</v>
      </c>
      <c r="CI47" s="2867">
        <f>'54)Dw. Silphie Biogas ex S(b)'!N53</f>
        <v>16.337844267776795</v>
      </c>
      <c r="CJ47" s="2867">
        <f>'54)Dw. Silphie Biogas ex S(b)'!O53</f>
        <v>15.077258856669641</v>
      </c>
    </row>
    <row r="48" spans="1:88" s="1441" customFormat="1" ht="17.100000000000001" customHeight="1" x14ac:dyDescent="0.25">
      <c r="A48" s="1292"/>
      <c r="B48" s="3173"/>
      <c r="C48" s="3174"/>
      <c r="D48" s="2215" t="s">
        <v>192</v>
      </c>
      <c r="E48" s="3175"/>
      <c r="F48" s="3176"/>
      <c r="G48" s="3177"/>
      <c r="H48" s="2868">
        <f>'4)GS 3Nutz.eig.mech.(b)'!$M$58</f>
        <v>64.825991235618261</v>
      </c>
      <c r="I48" s="2869">
        <f>'5)GS 4Nutz.eig.mech(b)'!$M$58</f>
        <v>66.312492599497972</v>
      </c>
      <c r="J48" s="2866">
        <f>'6)GS 5Nutz.eig.mech.(b)'!$M$58</f>
        <v>59.162753773716041</v>
      </c>
      <c r="K48" s="2869">
        <f>'7)GS3Nutz.Fremdmech(b)'!$M$58</f>
        <v>60.223795301383696</v>
      </c>
      <c r="L48" s="2869">
        <f>'8)GS4Nutz.Fremdmech(b)'!$M$58</f>
        <v>60.889356040503557</v>
      </c>
      <c r="M48" s="2869">
        <f>'9)GS 5Nutz.Fremd(b)'!$M$58</f>
        <v>56.569947677146246</v>
      </c>
      <c r="N48" s="2870">
        <f>'10) GS 3Nutz. Ballensil.(b)'!$M$58</f>
        <v>57.485672907727164</v>
      </c>
      <c r="O48" s="2868">
        <f>'11)Heu 2Nutz.-(b)'!$M$58</f>
        <v>41.023841620337812</v>
      </c>
      <c r="P48" s="2869">
        <f>'12)Heu 3Nutz.(b)'!$M$58</f>
        <v>43.55005750212009</v>
      </c>
      <c r="Q48" s="2871">
        <f>'13)Grascobs 5Nutz.(b)'!$M$58</f>
        <v>0</v>
      </c>
      <c r="R48" s="3176"/>
      <c r="S48" s="3178"/>
      <c r="T48" s="3179">
        <f>'17)Kleegras-GrünFu-Eig.mech(b)'!$M$58</f>
        <v>8.1531746591834402</v>
      </c>
      <c r="U48" s="3176">
        <f>'18)Kleegrassi-Fremnernt(b)'!$M$58</f>
        <v>55.728627869952795</v>
      </c>
      <c r="V48" s="3177">
        <f>'19)LuzerneSil-Fremdernte(b)'!$M$58</f>
        <v>50.817520846551325</v>
      </c>
      <c r="W48" s="2869">
        <f>'20)Silomais int(b)'!$M54</f>
        <v>63.396564756775298</v>
      </c>
      <c r="X48" s="2866">
        <f>'20)Silomais int(b)'!$N54</f>
        <v>51.574720326633582</v>
      </c>
      <c r="Y48" s="2873">
        <f>'20)Silomais int(b)'!$O54</f>
        <v>47.880965273545939</v>
      </c>
      <c r="Z48" s="2868">
        <f>'21)Futterrüben(b)'!$M54</f>
        <v>40.355361547515741</v>
      </c>
      <c r="AA48" s="2866">
        <f>'21)Futterrüben(b)'!$N54</f>
        <v>34.63649726894652</v>
      </c>
      <c r="AB48" s="2867">
        <f>'21)Futterrüben(b)'!$O54</f>
        <v>32.787152804063609</v>
      </c>
      <c r="AC48" s="2874"/>
      <c r="AD48" s="2866"/>
      <c r="AE48" s="2875"/>
      <c r="AF48" s="2872"/>
      <c r="AG48" s="2869">
        <f>'23)GPS-(b)'!M54</f>
        <v>68.646527150476658</v>
      </c>
      <c r="AH48" s="2866">
        <f>'23)GPS-(b)'!N54</f>
        <v>55.743904376228414</v>
      </c>
      <c r="AI48" s="2867">
        <f>'23)GPS-(b)'!O54</f>
        <v>52.44803231060218</v>
      </c>
      <c r="AJ48" s="2869">
        <f>'24)Mais LKS-(b)'!M54</f>
        <v>130.42350072914124</v>
      </c>
      <c r="AK48" s="2866">
        <f>'24)Mais LKS-(b)'!N54</f>
        <v>105.36194562859652</v>
      </c>
      <c r="AL48" s="2867">
        <f>'24)Mais LKS-(b)'!O54</f>
        <v>98.531979670894202</v>
      </c>
      <c r="AM48" s="2869">
        <f>'25)Mais CCM-(b)'!M54</f>
        <v>162.72167930644744</v>
      </c>
      <c r="AN48" s="2866">
        <f>'25)Mais CCM-(b)'!N54</f>
        <v>128.64830538589277</v>
      </c>
      <c r="AO48" s="2867">
        <f>'25)Mais CCM-(b)'!O54</f>
        <v>120.2276286869734</v>
      </c>
      <c r="AP48" s="2868">
        <f>'26)M(ais feucht-b)'!$M54</f>
        <v>208.48888475099315</v>
      </c>
      <c r="AQ48" s="2866">
        <f>'26)M(ais feucht-b)'!$N54</f>
        <v>165.57004585098841</v>
      </c>
      <c r="AR48" s="2867">
        <f>'26)M(ais feucht-b)'!$O54</f>
        <v>153.76491050418531</v>
      </c>
      <c r="AS48" s="2868">
        <f>'27)Silomais Biogas ab Feld-(b)'!M54</f>
        <v>34.102585796763982</v>
      </c>
      <c r="AT48" s="2866">
        <f>'27)Silomais Biogas ab Feld-(b)'!N54</f>
        <v>22.886962726864937</v>
      </c>
      <c r="AU48" s="2867">
        <f>'27)Silomais Biogas ab Feld-(b)'!O54</f>
        <v>19.942044422955632</v>
      </c>
      <c r="AV48" s="2869">
        <f>'28)Silomais Biogas ex Silo (b)'!M54</f>
        <v>53.627257718761214</v>
      </c>
      <c r="AW48" s="2866">
        <f>'28)Silomais Biogas ex Silo (b)'!N54</f>
        <v>46.810361521175494</v>
      </c>
      <c r="AX48" s="2867">
        <f>'28)Silomais Biogas ex Silo (b)'!O54</f>
        <v>42.048848060961625</v>
      </c>
      <c r="AY48" s="2869">
        <f>'29)Triticale-GPS Biogas Feld(b)'!M54</f>
        <v>34.082463437724464</v>
      </c>
      <c r="AZ48" s="2866">
        <f>'29)Triticale-GPS Biogas Feld(b)'!N54</f>
        <v>23.493469084813324</v>
      </c>
      <c r="BA48" s="2867">
        <f>'29)Triticale-GPS Biogas Feld(b)'!O54</f>
        <v>20.99262106744219</v>
      </c>
      <c r="BB48" s="2869">
        <f>'30)Tritic-GPS Biogas ex Silo(b)'!M54</f>
        <v>53.534345637561749</v>
      </c>
      <c r="BC48" s="2866">
        <f>'30)Tritic-GPS Biogas ex Silo(b)'!N54</f>
        <v>47.165252663879926</v>
      </c>
      <c r="BD48" s="2867">
        <f>'30)Tritic-GPS Biogas ex Silo(b)'!O54</f>
        <v>39.016166704875374</v>
      </c>
      <c r="BE48" s="2875">
        <f>'33)Kleegrassil 4N Biogas aF(b)'!M54</f>
        <v>36.847082047651242</v>
      </c>
      <c r="BF48" s="2867">
        <f>'33)Kleegrassil 4N Biogas aF(b)'!N54</f>
        <v>22.659523693613096</v>
      </c>
      <c r="BG48" s="2867">
        <f>'33)Kleegrassil 4N Biogas aF(b)'!O54</f>
        <v>19.868893256789775</v>
      </c>
      <c r="BH48" s="2867">
        <f>'34)Kleegrassil 4N Biog ex S(b)'!M54</f>
        <v>67.142507407681762</v>
      </c>
      <c r="BI48" s="2867">
        <f>'34)Kleegrassil 4N Biog ex S(b)'!N54</f>
        <v>51.179501626954249</v>
      </c>
      <c r="BJ48" s="2867">
        <f>'34)Kleegrassil 4N Biog ex S(b)'!O54</f>
        <v>46.714707772996576</v>
      </c>
      <c r="BK48" s="2871">
        <f>'36)GS 3Nutz. Biogas Feld-(b)'!$M$58</f>
        <v>14.794917804008117</v>
      </c>
      <c r="BL48" s="2871">
        <f>'37)GS 3Nutz. Biogas ex Silo (b)'!$M$58</f>
        <v>46.181065047005809</v>
      </c>
      <c r="BM48" s="2867">
        <f>'40)GrünroggenVFBiogas ex S(b)'!M54</f>
        <v>27.194976279676482</v>
      </c>
      <c r="BN48" s="2867">
        <f>'40)GrünroggenVFBiogas ex S(b)'!N54</f>
        <v>25.400559056490589</v>
      </c>
      <c r="BO48" s="2867">
        <f>'40)GrünroggenVFBiogas ex S(b)'!O54</f>
        <v>24.118832468500678</v>
      </c>
      <c r="BP48" s="2867">
        <f>'42)Grürog.+Silom. Biog ex S(b)'!M54</f>
        <v>47.479543342477491</v>
      </c>
      <c r="BQ48" s="2867">
        <f>'42)Grürog.+Silom. Biog ex S(b)'!N54</f>
        <v>40.335576485626405</v>
      </c>
      <c r="BR48" s="2867">
        <f>'42)Grürog.+Silom. Biog ex S(b)'!O54</f>
        <v>37.535214745938546</v>
      </c>
      <c r="BS48" s="2867">
        <f>'44)Sudangras HF Biogas ex S(b)'!M54</f>
        <v>55.577670149053354</v>
      </c>
      <c r="BT48" s="2867">
        <f>'44)Sudangras HF Biogas ex S(b)'!N54</f>
        <v>42.254417507775273</v>
      </c>
      <c r="BU48" s="2867">
        <f>'44)Sudangras HF Biogas ex S(b)'!O54</f>
        <v>38.066191907485809</v>
      </c>
      <c r="BV48" s="2867">
        <f>'51) GPS Weidelgras Biog aF (b)'!M54</f>
        <v>35.028984131602442</v>
      </c>
      <c r="BW48" s="2867">
        <f>'51) GPS Weidelgras Biog aF (b)'!N54</f>
        <v>31.056912852450967</v>
      </c>
      <c r="BX48" s="2867">
        <f>'51) GPS Weidelgras Biog aF (b)'!O54</f>
        <v>28.219719081628472</v>
      </c>
      <c r="BY48" s="2867">
        <f>'48)Zuhirse HF Biogas ex S(b)'!M54</f>
        <v>53.612243727453198</v>
      </c>
      <c r="BZ48" s="2867">
        <f>'48)Zuhirse HF Biogas ex S(b)'!N54</f>
        <v>40.520127644226562</v>
      </c>
      <c r="CA48" s="2867">
        <f>'48)Zuhirse HF Biogas ex S(b)'!O54</f>
        <v>36.476362392719267</v>
      </c>
      <c r="CB48" s="2867">
        <f>'46)GPS+Sudangr Biogas ex S(b)'!M54</f>
        <v>43.472557913844547</v>
      </c>
      <c r="CC48" s="2867">
        <f>'46)GPS+Sudangr Biogas ex S(b)'!N54</f>
        <v>37.928182640332885</v>
      </c>
      <c r="CD48" s="2867">
        <f>'46)GPS+Sudangr Biogas ex S(b)'!O54</f>
        <v>36.559546895058112</v>
      </c>
      <c r="CE48" s="2867">
        <f>'48)Zuhirse HF Biogas ex S(b)'!M54</f>
        <v>53.612243727453198</v>
      </c>
      <c r="CF48" s="2867">
        <f>'48)Zuhirse HF Biogas ex S(b)'!N54</f>
        <v>40.520127644226562</v>
      </c>
      <c r="CG48" s="2867">
        <f>'48)Zuhirse HF Biogas ex S(b)'!O54</f>
        <v>36.476362392719267</v>
      </c>
      <c r="CH48" s="2867">
        <f>'54)Dw. Silphie Biogas ex S(b)'!M54</f>
        <v>45.913460996282907</v>
      </c>
      <c r="CI48" s="2867">
        <f>'54)Dw. Silphie Biogas ex S(b)'!N54</f>
        <v>34.30947296233127</v>
      </c>
      <c r="CJ48" s="2867">
        <f>'54)Dw. Silphie Biogas ex S(b)'!O54</f>
        <v>31.662243599006249</v>
      </c>
    </row>
    <row r="49" spans="1:88" s="3515" customFormat="1" ht="17.100000000000001" customHeight="1" x14ac:dyDescent="0.2">
      <c r="A49" s="3501"/>
      <c r="B49" s="3502"/>
      <c r="C49" s="3503"/>
      <c r="D49" s="3504" t="s">
        <v>1461</v>
      </c>
      <c r="E49" s="3505">
        <f>'1)Grünf. 3Nutz.(b)'!$M$59</f>
        <v>0.32411204777731489</v>
      </c>
      <c r="F49" s="3506">
        <f>'2)Grünf. 4Nutz.(b)'!$M$59</f>
        <v>0.33676891480745774</v>
      </c>
      <c r="G49" s="3507">
        <f>'3)Grünf. 5Nutz.(b)'!$M$59</f>
        <v>0.3369933123864392</v>
      </c>
      <c r="H49" s="3508">
        <f>'4)GS 3Nutz.eig.mech.(b)'!$M$59</f>
        <v>0.51683003456603882</v>
      </c>
      <c r="I49" s="3509">
        <f>'5)GS 4Nutz.eig.mech(b)'!$M$59</f>
        <v>0.48847902145439115</v>
      </c>
      <c r="J49" s="3506">
        <f>'6)GS 5Nutz.eig.mech.(b)'!$M$59</f>
        <v>0.44268918749600461</v>
      </c>
      <c r="K49" s="3509">
        <f>'7)GS3Nutz.Fremdmech(b)'!$M$59</f>
        <v>0.48013868533352216</v>
      </c>
      <c r="L49" s="3509">
        <f>'8)GS4Nutz.Fremdmech(b)'!$M$59</f>
        <v>0.44853046371353528</v>
      </c>
      <c r="M49" s="3509">
        <f>'9)GS 5Nutz.Fremd(b)'!$M$59</f>
        <v>0.42328834573303886</v>
      </c>
      <c r="N49" s="3505">
        <f>'10) GS 3Nutz. Ballensil.(b)'!$M$59</f>
        <v>0.48288013530504353</v>
      </c>
      <c r="O49" s="3508">
        <f>'11)Heu 2Nutz.-(b)'!$M$59</f>
        <v>0.51797779823658863</v>
      </c>
      <c r="P49" s="3509">
        <f>'12)Heu 3Nutz.(b)'!$M$59</f>
        <v>0.4976239487878798</v>
      </c>
      <c r="Q49" s="3510">
        <f>'13)Grascobs 5Nutz.(b)'!$M$59</f>
        <v>0.62546186154475447</v>
      </c>
      <c r="R49" s="3506">
        <f>'14)Weide_ext.(b)'!$M$59</f>
        <v>0.41312982643961721</v>
      </c>
      <c r="S49" s="3509">
        <f>'15)Weide int. 4Nutz.(b)'!$M$59</f>
        <v>0.34926243133055968</v>
      </c>
      <c r="T49" s="3508">
        <f>'17)Kleegras-GrünFu-Eig.mech(b)'!$M$59</f>
        <v>0.25684143961641381</v>
      </c>
      <c r="U49" s="3506">
        <f>'18)Kleegrassi-Fremnernt(b)'!$M$59</f>
        <v>0.3891120504814467</v>
      </c>
      <c r="V49" s="3507">
        <f>'19)LuzerneSil-Fremdernte(b)'!$M$59</f>
        <v>0.36813619854065005</v>
      </c>
      <c r="W49" s="3509">
        <f>'20)Silomais int(b)'!$M55</f>
        <v>0.39809459815871467</v>
      </c>
      <c r="X49" s="3506">
        <f>'20)Silomais int(b)'!$N55</f>
        <v>0.3189531250874062</v>
      </c>
      <c r="Y49" s="3512">
        <f>'20)Silomais int(b)'!$O55</f>
        <v>0.29610986563726616</v>
      </c>
      <c r="Z49" s="3508">
        <f>'21)Futterrüben(b)'!$M55</f>
        <v>0.5490525380614385</v>
      </c>
      <c r="AA49" s="3506">
        <f>'21)Futterrüben(b)'!$N55</f>
        <v>0.47124486080199346</v>
      </c>
      <c r="AB49" s="3507">
        <f>'21)Futterrüben(b)'!$O55</f>
        <v>0.44608371161991311</v>
      </c>
      <c r="AC49" s="3513">
        <f>'22)ZWF-Raps-(b)'!M55</f>
        <v>0.16213984909848242</v>
      </c>
      <c r="AD49" s="3506">
        <f>'22)ZWF-Raps-(b)'!N55</f>
        <v>0.17353765038799251</v>
      </c>
      <c r="AE49" s="3514">
        <f>'22)ZWF-Raps-(b)'!O55</f>
        <v>0.181678937023357</v>
      </c>
      <c r="AF49" s="3511"/>
      <c r="AG49" s="3509">
        <f>'23)GPS-(b)'!M55</f>
        <v>0.45521569728432798</v>
      </c>
      <c r="AH49" s="3506">
        <f>'23)GPS-(b)'!N55</f>
        <v>0.3633892071462087</v>
      </c>
      <c r="AI49" s="3507">
        <f>'23)GPS-(b)'!O55</f>
        <v>0.34190373083834541</v>
      </c>
      <c r="AJ49" s="3509">
        <f>'24)Mais LKS-(b)'!M55</f>
        <v>0.36265015217756985</v>
      </c>
      <c r="AK49" s="3506">
        <f>'24)Mais LKS-(b)'!N55</f>
        <v>0.29296503622677261</v>
      </c>
      <c r="AL49" s="3507">
        <f>'24)Mais LKS-(b)'!O55</f>
        <v>0.27397391744770933</v>
      </c>
      <c r="AM49" s="3509">
        <f>'25)Mais CCM-(b)'!M55</f>
        <v>0.3253294932902433</v>
      </c>
      <c r="AN49" s="3506">
        <f>'25)Mais CCM-(b)'!N55</f>
        <v>0.25720658846582251</v>
      </c>
      <c r="AO49" s="3507">
        <f>'25)Mais CCM-(b)'!O55</f>
        <v>0.24037112747932904</v>
      </c>
      <c r="AP49" s="3508">
        <f>'26)M(ais feucht-b)'!$M55</f>
        <v>0.38087813944535548</v>
      </c>
      <c r="AQ49" s="3506">
        <f>'26)M(ais feucht-b)'!$N55</f>
        <v>0.30247181324282207</v>
      </c>
      <c r="AR49" s="3507">
        <f>'26)M(ais feucht-b)'!$O55</f>
        <v>0.28090558925845432</v>
      </c>
      <c r="AS49" s="3508">
        <f>'27)Silomais Biogas ab Feld-(b)'!M55</f>
        <v>0.43498196169341818</v>
      </c>
      <c r="AT49" s="3506">
        <f>'27)Silomais Biogas ab Feld-(b)'!N55</f>
        <v>0.29192554498552215</v>
      </c>
      <c r="AU49" s="3507">
        <f>'27)Silomais Biogas ab Feld-(b)'!O55</f>
        <v>0.25436281151729118</v>
      </c>
      <c r="AV49" s="3509">
        <f>'28)Silomais Biogas ex Silo (b)'!M55</f>
        <v>0.68402114437195427</v>
      </c>
      <c r="AW49" s="3506">
        <f>'28)Silomais Biogas ex Silo (b)'!N55</f>
        <v>0.59707093777009557</v>
      </c>
      <c r="AX49" s="3507">
        <f>'28)Silomais Biogas ex Silo (b)'!O55</f>
        <v>0.53633734771634711</v>
      </c>
      <c r="AY49" s="3509">
        <f>'29)Triticale-GPS Biogas Feld(b)'!M55</f>
        <v>0.47238341563027664</v>
      </c>
      <c r="AZ49" s="3506">
        <f>'29)Triticale-GPS Biogas Feld(b)'!N55</f>
        <v>0.32561980713531979</v>
      </c>
      <c r="BA49" s="3507">
        <f>'29)Triticale-GPS Biogas Feld(b)'!O55</f>
        <v>0.29095801895276774</v>
      </c>
      <c r="BB49" s="3509">
        <f>'30)Tritic-GPS Biogas ex Silo(b)'!M55</f>
        <v>0.74198677252337841</v>
      </c>
      <c r="BC49" s="3506">
        <f>'30)Tritic-GPS Biogas ex Silo(b)'!N55</f>
        <v>0.65371105563243137</v>
      </c>
      <c r="BD49" s="3507">
        <f>'30)Tritic-GPS Biogas ex Silo(b)'!O55</f>
        <v>0.54076461129418407</v>
      </c>
      <c r="BE49" s="3514">
        <f>'33)Kleegrassil 4N Biogas aF(b)'!M55</f>
        <v>0.58391040263139016</v>
      </c>
      <c r="BF49" s="3507">
        <f>'33)Kleegrassil 4N Biogas aF(b)'!N55</f>
        <v>0.35908220863357465</v>
      </c>
      <c r="BG49" s="3507">
        <f>'33)Kleegrassil 4N Biogas aF(b)'!O55</f>
        <v>0.31485948999730246</v>
      </c>
      <c r="BH49" s="3507">
        <f>'34)Kleegrassil 4N Biog ex S(b)'!M55</f>
        <v>1.0014095484978189</v>
      </c>
      <c r="BI49" s="3507">
        <f>'34)Kleegrassil 4N Biog ex S(b)'!N55</f>
        <v>0.76332629797986884</v>
      </c>
      <c r="BJ49" s="3507">
        <f>'34)Kleegrassil 4N Biog ex S(b)'!O55</f>
        <v>0.69673529073196183</v>
      </c>
      <c r="BK49" s="3510">
        <f>'36)GS 3Nutz. Biogas Feld-(b)'!$M$59</f>
        <v>0.22980611686871877</v>
      </c>
      <c r="BL49" s="3510">
        <f>'37)GS 3Nutz. Biogas ex Silo (b)'!$M$59</f>
        <v>0.71732005354156259</v>
      </c>
      <c r="BM49" s="3507">
        <f>'40)GrünroggenVFBiogas ex S(b)'!M55</f>
        <v>0.5152515399711346</v>
      </c>
      <c r="BN49" s="3507">
        <f>'40)GrünroggenVFBiogas ex S(b)'!N55</f>
        <v>0.48125348723930644</v>
      </c>
      <c r="BO49" s="3507">
        <f>'40)GrünroggenVFBiogas ex S(b)'!O55</f>
        <v>0.45696916385942926</v>
      </c>
      <c r="BP49" s="3507">
        <f>'42)Grürog.+Silom. Biog ex S(b)'!M55</f>
        <v>0.70528139249075317</v>
      </c>
      <c r="BQ49" s="3507">
        <f>'42)Grürog.+Silom. Biog ex S(b)'!N55</f>
        <v>0.59916186104614377</v>
      </c>
      <c r="BR49" s="3507">
        <f>'42)Grürog.+Silom. Biog ex S(b)'!O55</f>
        <v>0.55756409307692434</v>
      </c>
      <c r="BS49" s="3507">
        <f>'44)Sudangras HF Biogas ex S(b)'!M55</f>
        <v>0.97299842697922556</v>
      </c>
      <c r="BT49" s="3507">
        <f>'44)Sudangras HF Biogas ex S(b)'!N55</f>
        <v>0.73974820566833466</v>
      </c>
      <c r="BU49" s="3507">
        <f>'44)Sudangras HF Biogas ex S(b)'!O55</f>
        <v>0.66642492835234257</v>
      </c>
      <c r="BV49" s="3507">
        <f>'51) GPS Weidelgras Biog aF (b)'!M55</f>
        <v>0.68643903844018106</v>
      </c>
      <c r="BW49" s="3507">
        <f>'51) GPS Weidelgras Biog aF (b)'!N55</f>
        <v>0.6086010749059565</v>
      </c>
      <c r="BX49" s="3507">
        <f>'51) GPS Weidelgras Biog aF (b)'!O55</f>
        <v>0.55300252952436746</v>
      </c>
      <c r="BY49" s="3507">
        <f>'48)Zuhirse HF Biogas ex S(b)'!M55</f>
        <v>0.93858970111087547</v>
      </c>
      <c r="BZ49" s="3507">
        <f>'48)Zuhirse HF Biogas ex S(b)'!N55</f>
        <v>0.7093859881692326</v>
      </c>
      <c r="CA49" s="3507">
        <f>'48)Zuhirse HF Biogas ex S(b)'!O55</f>
        <v>0.63859177858402072</v>
      </c>
      <c r="CB49" s="3507">
        <f>'46)GPS+Sudangr Biogas ex S(b)'!M55</f>
        <v>0.66802750497640528</v>
      </c>
      <c r="CC49" s="3507">
        <f>'46)GPS+Sudangr Biogas ex S(b)'!N55</f>
        <v>0.58282904051160023</v>
      </c>
      <c r="CD49" s="3507">
        <f>'46)GPS+Sudangr Biogas ex S(b)'!O55</f>
        <v>0.56179769646349065</v>
      </c>
      <c r="CE49" s="3507">
        <f>'48)Zuhirse HF Biogas ex S(b)'!M55</f>
        <v>0.93858970111087547</v>
      </c>
      <c r="CF49" s="3507">
        <f>'48)Zuhirse HF Biogas ex S(b)'!N55</f>
        <v>0.7093859881692326</v>
      </c>
      <c r="CG49" s="3507">
        <f>'48)Zuhirse HF Biogas ex S(b)'!O55</f>
        <v>0.63859177858402072</v>
      </c>
      <c r="CH49" s="3507">
        <f>'54)Dw. Silphie Biogas ex S(b)'!M55</f>
        <v>0.9789650532256482</v>
      </c>
      <c r="CI49" s="3507">
        <f>'54)Dw. Silphie Biogas ex S(b)'!N55</f>
        <v>0.73154526572134904</v>
      </c>
      <c r="CJ49" s="3507">
        <f>'54)Dw. Silphie Biogas ex S(b)'!O55</f>
        <v>0.67510114283595402</v>
      </c>
    </row>
    <row r="50" spans="1:88" ht="17.100000000000001" customHeight="1" x14ac:dyDescent="0.2">
      <c r="A50" s="233"/>
      <c r="B50" s="2244"/>
      <c r="C50" s="2567"/>
      <c r="D50" s="2891" t="s">
        <v>711</v>
      </c>
      <c r="E50" s="1295">
        <f>'1)Grünf. 3Nutz.(b)'!$M$62</f>
        <v>0.19446722866638894</v>
      </c>
      <c r="F50" s="1293">
        <f>'2)Grünf. 4Nutz.(b)'!$M$62</f>
        <v>0.20206134888447463</v>
      </c>
      <c r="G50" s="1298">
        <f>'3)Grünf. 5Nutz.(b)'!$M$62</f>
        <v>0.20219598743186351</v>
      </c>
      <c r="H50" s="1295">
        <f>'4)GS 3Nutz.eig.mech.(b)'!$M$62</f>
        <v>0.31009802073962328</v>
      </c>
      <c r="I50" s="1293">
        <f>'5)GS 4Nutz.eig.mech(b)'!$M$62</f>
        <v>0.29308741287263468</v>
      </c>
      <c r="J50" s="1294">
        <f>'6)GS 5Nutz.eig.mech.(b)'!$M$62</f>
        <v>0.26561351249760273</v>
      </c>
      <c r="K50" s="1293">
        <f>'7)GS3Nutz.Fremdmech(b)'!$M$62</f>
        <v>0.28808321120011332</v>
      </c>
      <c r="L50" s="1293">
        <f>'8)GS4Nutz.Fremdmech(b)'!$M$62</f>
        <v>0.26911827822812118</v>
      </c>
      <c r="M50" s="1293">
        <f>'9)GS 5Nutz.Fremd(b)'!$M$62</f>
        <v>0.25397300743982332</v>
      </c>
      <c r="N50" s="2308">
        <f>'10) GS 3Nutz. Ballensil.(b)'!$M$62</f>
        <v>0.28972808118302612</v>
      </c>
      <c r="O50" s="1295">
        <f>'11)Heu 2Nutz.-(b)'!$M$62</f>
        <v>0.31078667894195317</v>
      </c>
      <c r="P50" s="1293">
        <f>'12)Heu 3Nutz.(b)'!$M$62</f>
        <v>0.29857436927272785</v>
      </c>
      <c r="Q50" s="2254">
        <f>'13)Grascobs 5Nutz.(b)'!$M$62</f>
        <v>0.37527711692685262</v>
      </c>
      <c r="R50" s="1294">
        <f>'14)Weide_ext.(b)'!$M$62</f>
        <v>0.24787789586377032</v>
      </c>
      <c r="S50" s="1293">
        <f>'15)Weide int. 4Nutz.(b)'!$M$62</f>
        <v>0.20955745879833582</v>
      </c>
      <c r="T50" s="1295">
        <f>'17)Kleegras-GrünFu-Eig.mech(b)'!$M$62</f>
        <v>0.15410486376984828</v>
      </c>
      <c r="U50" s="1294">
        <f>'18)Kleegrassi-Fremnernt(b)'!$M$62</f>
        <v>0.23346723028886801</v>
      </c>
      <c r="V50" s="1298">
        <f>'19)LuzerneSil-Fremdernte(b)'!$M$62</f>
        <v>0.22088171912439003</v>
      </c>
      <c r="W50" s="1293">
        <f>'20)Silomais int(b)'!$M56</f>
        <v>0.23885675889522878</v>
      </c>
      <c r="X50" s="1294">
        <f>'20)Silomais int(b)'!$N56</f>
        <v>0.19137187505244371</v>
      </c>
      <c r="Y50" s="1296">
        <f>'20)Silomais int(b)'!$O56</f>
        <v>0.1776659193823597</v>
      </c>
      <c r="Z50" s="1295">
        <f>'21)Futterrüben(b)'!$M56</f>
        <v>0.32943152283686317</v>
      </c>
      <c r="AA50" s="1294">
        <f>'21)Futterrüben(b)'!$N56</f>
        <v>0.28274691648119604</v>
      </c>
      <c r="AB50" s="1298">
        <f>'21)Futterrüben(b)'!$O56</f>
        <v>0.26765022697194785</v>
      </c>
      <c r="AC50" s="1299">
        <f>'22)ZWF-Raps-(b)'!M56</f>
        <v>9.7283909459089449E-2</v>
      </c>
      <c r="AD50" s="1294">
        <f>'22)ZWF-Raps-(b)'!N56</f>
        <v>0.10412259023279551</v>
      </c>
      <c r="AE50" s="1297">
        <f>'22)ZWF-Raps-(b)'!O56</f>
        <v>0.10900736221401419</v>
      </c>
      <c r="AF50" s="2776"/>
      <c r="AG50" s="1293">
        <f>'23)GPS-(b)'!M56</f>
        <v>0.27312941837059679</v>
      </c>
      <c r="AH50" s="1294">
        <f>'23)GPS-(b)'!N56</f>
        <v>0.21803352428772518</v>
      </c>
      <c r="AI50" s="1298">
        <f>'23)GPS-(b)'!O56</f>
        <v>0.20514223850300722</v>
      </c>
      <c r="AJ50" s="1293">
        <f>'24)Mais LKS-(b)'!M56</f>
        <v>0.21759009130654189</v>
      </c>
      <c r="AK50" s="1294">
        <f>'24)Mais LKS-(b)'!N56</f>
        <v>0.17577902173606358</v>
      </c>
      <c r="AL50" s="1298">
        <f>'24)Mais LKS-(b)'!O56</f>
        <v>0.16438435046862562</v>
      </c>
      <c r="AM50" s="1293">
        <f>'25)Mais CCM-(b)'!M56</f>
        <v>0.19519769597414596</v>
      </c>
      <c r="AN50" s="1294">
        <f>'25)Mais CCM-(b)'!N56</f>
        <v>0.15432395307949351</v>
      </c>
      <c r="AO50" s="1298">
        <f>'25)Mais CCM-(b)'!O56</f>
        <v>0.1442226764875974</v>
      </c>
      <c r="AP50" s="1295">
        <f>'26)M(ais feucht-b)'!$M56</f>
        <v>0.22852688366721324</v>
      </c>
      <c r="AQ50" s="1294">
        <f>'26)M(ais feucht-b)'!$N56</f>
        <v>0.18148308794569326</v>
      </c>
      <c r="AR50" s="1298">
        <f>'26)M(ais feucht-b)'!$O56</f>
        <v>0.16854335355507255</v>
      </c>
      <c r="AS50" s="2892">
        <f>'27)Silomais Biogas ab Feld-(b)'!M56</f>
        <v>12.082832269261617</v>
      </c>
      <c r="AT50" s="2893">
        <f>'27)Silomais Biogas ab Feld-(b)'!N56</f>
        <v>8.1090429162645048</v>
      </c>
      <c r="AU50" s="2894">
        <f>'27)Silomais Biogas ab Feld-(b)'!O56</f>
        <v>7.0656336532580895</v>
      </c>
      <c r="AV50" s="2895">
        <f>'28)Silomais Biogas ex Silo (b)'!M56</f>
        <v>19.000587343665398</v>
      </c>
      <c r="AW50" s="2893">
        <f>'28)Silomais Biogas ex Silo (b)'!N56</f>
        <v>16.585303826947101</v>
      </c>
      <c r="AX50" s="2894">
        <f>'28)Silomais Biogas ex Silo (b)'!O56</f>
        <v>14.898259658787422</v>
      </c>
      <c r="AY50" s="2895">
        <f>'29)Triticale-GPS Biogas Feld(b)'!M56</f>
        <v>13.121761545285466</v>
      </c>
      <c r="AZ50" s="2893">
        <f>'29)Triticale-GPS Biogas Feld(b)'!N56</f>
        <v>9.0449946426477723</v>
      </c>
      <c r="BA50" s="2894">
        <f>'29)Triticale-GPS Biogas Feld(b)'!O56</f>
        <v>8.0821671931324399</v>
      </c>
      <c r="BB50" s="2895">
        <f>'30)Tritic-GPS Biogas ex Silo(b)'!M56</f>
        <v>20.610743681204962</v>
      </c>
      <c r="BC50" s="2893">
        <f>'30)Tritic-GPS Biogas ex Silo(b)'!N56</f>
        <v>18.158640434234204</v>
      </c>
      <c r="BD50" s="2894">
        <f>'30)Tritic-GPS Biogas ex Silo(b)'!O56</f>
        <v>15.021239202616227</v>
      </c>
      <c r="BE50" s="2896">
        <f>'33)Kleegrassil 4N Biogas aF(b)'!M56</f>
        <v>16.219733406427508</v>
      </c>
      <c r="BF50" s="2894">
        <f>'33)Kleegrassil 4N Biogas aF(b)'!N56</f>
        <v>9.9745057953770768</v>
      </c>
      <c r="BG50" s="2894">
        <f>'33)Kleegrassil 4N Biogas aF(b)'!O56</f>
        <v>8.7460969443695138</v>
      </c>
      <c r="BH50" s="2894">
        <f>'34)Kleegrassil 4N Biog ex S(b)'!M56</f>
        <v>27.816931902717194</v>
      </c>
      <c r="BI50" s="2894">
        <f>'34)Kleegrassil 4N Biog ex S(b)'!N56</f>
        <v>21.203508277218582</v>
      </c>
      <c r="BJ50" s="2894">
        <f>'34)Kleegrassil 4N Biog ex S(b)'!O56</f>
        <v>19.353758075887828</v>
      </c>
      <c r="BK50" s="2897">
        <f>'36)GS 3Nutz. Biogas Feld-(b)'!$M$62</f>
        <v>6.3835032463533006</v>
      </c>
      <c r="BL50" s="2897">
        <f>'37)GS 3Nutz. Biogas ex Silo (b)'!$M$62</f>
        <v>19.925557042821186</v>
      </c>
      <c r="BM50" s="2894">
        <f>'40)GrünroggenVFBiogas ex S(b)'!M56</f>
        <v>14.312542776975963</v>
      </c>
      <c r="BN50" s="2894">
        <f>'40)GrünroggenVFBiogas ex S(b)'!N56</f>
        <v>13.36815242331407</v>
      </c>
      <c r="BO50" s="2894">
        <f>'40)GrünroggenVFBiogas ex S(b)'!O56</f>
        <v>12.693587884984147</v>
      </c>
      <c r="BP50" s="2894">
        <f>'42)Grürog.+Silom. Biog ex S(b)'!M56</f>
        <v>19.591149791409812</v>
      </c>
      <c r="BQ50" s="2894">
        <f>'42)Grürog.+Silom. Biog ex S(b)'!N56</f>
        <v>16.643385029059552</v>
      </c>
      <c r="BR50" s="2894">
        <f>'42)Grürog.+Silom. Biog ex S(b)'!O56</f>
        <v>15.487891474359012</v>
      </c>
      <c r="BS50" s="2894">
        <f>'44)Sudangras HF Biogas ex S(b)'!M56</f>
        <v>27.027734082756265</v>
      </c>
      <c r="BT50" s="2894">
        <f>'44)Sudangras HF Biogas ex S(b)'!N56</f>
        <v>20.54856126856485</v>
      </c>
      <c r="BU50" s="2894">
        <f>'44)Sudangras HF Biogas ex S(b)'!O56</f>
        <v>18.511803565342852</v>
      </c>
      <c r="BV50" s="2894">
        <f>'51) GPS Weidelgras Biog aF (b)'!M56</f>
        <v>19.067751067782808</v>
      </c>
      <c r="BW50" s="2894">
        <f>'51) GPS Weidelgras Biog aF (b)'!N56</f>
        <v>16.905585414054347</v>
      </c>
      <c r="BX50" s="2894">
        <f>'51) GPS Weidelgras Biog aF (b)'!O56</f>
        <v>15.361181375676873</v>
      </c>
      <c r="BY50" s="2894">
        <f>'48)Zuhirse HF Biogas ex S(b)'!M56</f>
        <v>26.071936141968763</v>
      </c>
      <c r="BZ50" s="2894">
        <f>'48)Zuhirse HF Biogas ex S(b)'!N56</f>
        <v>19.705166338034235</v>
      </c>
      <c r="CA50" s="2894">
        <f>'48)Zuhirse HF Biogas ex S(b)'!O56</f>
        <v>17.738660516222797</v>
      </c>
      <c r="CB50" s="2894">
        <f>'46)GPS+Sudangr Biogas ex S(b)'!M56</f>
        <v>18.556319582677926</v>
      </c>
      <c r="CC50" s="2894">
        <f>'46)GPS+Sudangr Biogas ex S(b)'!N56</f>
        <v>16.189695569766673</v>
      </c>
      <c r="CD50" s="2894">
        <f>'46)GPS+Sudangr Biogas ex S(b)'!O56</f>
        <v>15.605491568430297</v>
      </c>
      <c r="CE50" s="2894">
        <f>'48)Zuhirse HF Biogas ex S(b)'!M56</f>
        <v>26.071936141968763</v>
      </c>
      <c r="CF50" s="2894">
        <f>'48)Zuhirse HF Biogas ex S(b)'!N56</f>
        <v>19.705166338034235</v>
      </c>
      <c r="CG50" s="2894">
        <f>'48)Zuhirse HF Biogas ex S(b)'!O56</f>
        <v>17.738660516222797</v>
      </c>
      <c r="CH50" s="2894">
        <f>'54)Dw. Silphie Biogas ex S(b)'!M56</f>
        <v>27.193473700712453</v>
      </c>
      <c r="CI50" s="2894">
        <f>'54)Dw. Silphie Biogas ex S(b)'!N56</f>
        <v>20.32070182559303</v>
      </c>
      <c r="CJ50" s="2894">
        <f>'54)Dw. Silphie Biogas ex S(b)'!O56</f>
        <v>18.752809523220947</v>
      </c>
    </row>
    <row r="51" spans="1:88" ht="18.75" hidden="1" customHeight="1" x14ac:dyDescent="0.2">
      <c r="A51" s="890"/>
      <c r="B51" s="2245" t="s">
        <v>190</v>
      </c>
      <c r="C51" s="2568"/>
      <c r="D51" s="2214" t="s">
        <v>266</v>
      </c>
      <c r="E51" s="1218">
        <f>'1)Grünf. 3Nutz.(b)'!$M$63</f>
        <v>1397.125495950088</v>
      </c>
      <c r="F51" s="1220">
        <f>'2)Grünf. 4Nutz.(b)'!$M$63</f>
        <v>1760.7373365107014</v>
      </c>
      <c r="G51" s="1217">
        <f>'3)Grünf. 5Nutz.(b)'!$M$63</f>
        <v>2477.1114668605696</v>
      </c>
      <c r="H51" s="1219">
        <f>'4)GS 3Nutz.eig.mech.(b)'!$M$63</f>
        <v>1770.0598510135831</v>
      </c>
      <c r="I51" s="1216">
        <f>'5)GS 4Nutz.eig.mech(b)'!$M$63</f>
        <v>2177.3146842563424</v>
      </c>
      <c r="J51" s="1220">
        <f>'6)GS 5Nutz.eig.mech.(b)'!$M$63</f>
        <v>2668.3728205186626</v>
      </c>
      <c r="K51" s="1216">
        <f>'7)GS3Nutz.Fremdmech(b)'!$M$63</f>
        <v>1632.6936311522238</v>
      </c>
      <c r="L51" s="1216">
        <f>'8)GS4Nutz.Fremdmech(b)'!$M$63</f>
        <v>1983.0711241264144</v>
      </c>
      <c r="M51" s="1216">
        <f>'9)GS 5Nutz.Fremd(b)'!$M$63</f>
        <v>2539.3894766943713</v>
      </c>
      <c r="N51" s="1218">
        <f>'10) GS 3Nutz. Ballensil.(b)'!$M$63</f>
        <v>1871.8154304905511</v>
      </c>
      <c r="O51" s="1219">
        <f>'11)Heu 2Nutz.-(b)'!$M$63</f>
        <v>1223.4156687559196</v>
      </c>
      <c r="P51" s="1216">
        <f>'12)Heu 3Nutz.(b)'!$M$63</f>
        <v>1849.0767044803092</v>
      </c>
      <c r="Q51" s="2248">
        <f>'13)Grascobs 5Nutz.(b)'!$M$63</f>
        <v>4569.899522681043</v>
      </c>
      <c r="R51" s="1220">
        <f>'14)Weide_ext.(b)'!$M$63</f>
        <v>1074.7985564653081</v>
      </c>
      <c r="S51" s="1216">
        <f>'15)Weide int. 4Nutz.(b)'!$M$63</f>
        <v>1556.5928039540383</v>
      </c>
      <c r="T51" s="1219">
        <f>'17)Kleegras-GrünFu-Eig.mech(b)'!$M$63</f>
        <v>1664.0756872747452</v>
      </c>
      <c r="U51" s="1220">
        <f>'18)Kleegrassi-Fremnernt(b)'!$M$63</f>
        <v>2111.4411517976077</v>
      </c>
      <c r="V51" s="1217">
        <f>'19)LuzerneSil-Fremdernte(b)'!$M$63</f>
        <v>1848.799632177816</v>
      </c>
      <c r="W51" s="1216">
        <f>'20)Silomais int(b)'!$M58</f>
        <v>2651.0803226059234</v>
      </c>
      <c r="X51" s="1220">
        <f>'20)Silomais int(b)'!$N58</f>
        <v>2552.0050950480154</v>
      </c>
      <c r="Y51" s="1222">
        <f>'20)Silomais int(b)'!$O58</f>
        <v>2753.3893970751087</v>
      </c>
      <c r="Z51" s="1219">
        <f>'21)Futterrüben(b)'!$M58</f>
        <v>3177.1737586768586</v>
      </c>
      <c r="AA51" s="1220">
        <f>'21)Futterrüben(b)'!$N58</f>
        <v>3129.2796607855744</v>
      </c>
      <c r="AB51" s="1217">
        <f>'21)Futterrüben(b)'!$O58</f>
        <v>3377.2936102315675</v>
      </c>
      <c r="AC51" s="1223">
        <f>'22)ZWF-Raps-(b)'!M58</f>
        <v>242.60174921360431</v>
      </c>
      <c r="AD51" s="1220">
        <f>'22)ZWF-Raps-(b)'!N58</f>
        <v>332.35930802308326</v>
      </c>
      <c r="AE51" s="1221">
        <f>'22)ZWF-Raps-(b)'!O58</f>
        <v>434.93937523391662</v>
      </c>
      <c r="AF51" s="2778"/>
      <c r="AG51" s="1216">
        <f>'23)GPS-(b)'!M58</f>
        <v>2052.4745230532462</v>
      </c>
      <c r="AH51" s="1220">
        <f>'23)GPS-(b)'!N58</f>
        <v>1909.4398066531571</v>
      </c>
      <c r="AI51" s="1217">
        <f>'23)GPS-(b)'!O58</f>
        <v>2040.5958345155677</v>
      </c>
      <c r="AJ51" s="1216">
        <f>'24)Mais LKS-(b)'!M58</f>
        <v>2399.8050282127197</v>
      </c>
      <c r="AK51" s="1220">
        <f>'24)Mais LKS-(b)'!N58</f>
        <v>2207.673848938492</v>
      </c>
      <c r="AL51" s="1217">
        <f>'24)Mais LKS-(b)'!O58</f>
        <v>2325.5426696642644</v>
      </c>
      <c r="AM51" s="1216">
        <f>'25)Mais CCM-(b)'!M58</f>
        <v>2138.591350999282</v>
      </c>
      <c r="AN51" s="1220">
        <f>'25)Mais CCM-(b)'!N58</f>
        <v>1955.6155233824836</v>
      </c>
      <c r="AO51" s="1217">
        <f>'25)Mais CCM-(b)'!O58</f>
        <v>2082.6396957656862</v>
      </c>
      <c r="AP51" s="1219">
        <f>'26)M(ais feucht-b)'!$M58</f>
        <v>2379.8260008214183</v>
      </c>
      <c r="AQ51" s="1220">
        <f>'26)M(ais feucht-b)'!$N58</f>
        <v>2229.6636891708904</v>
      </c>
      <c r="AR51" s="1217">
        <f>'26)M(ais feucht-b)'!$O58</f>
        <v>2391.7765087703629</v>
      </c>
      <c r="AS51" s="1219">
        <f>'27)Silomais Biogas ab Feld-(b)'!M58</f>
        <v>1555.0779123324378</v>
      </c>
      <c r="AT51" s="1220">
        <f>'27)Silomais Biogas ab Feld-(b)'!N58</f>
        <v>1304.5568754313015</v>
      </c>
      <c r="AU51" s="1217">
        <f>'27)Silomais Biogas ab Feld-(b)'!O58</f>
        <v>1364.0358385301652</v>
      </c>
      <c r="AV51" s="1216">
        <f>'28)Silomais Biogas ex Silo (b)'!M58</f>
        <v>2205.5999216724808</v>
      </c>
      <c r="AW51" s="1220">
        <f>'28)Silomais Biogas ex Silo (b)'!N58</f>
        <v>2368.4368188282151</v>
      </c>
      <c r="AX51" s="1217">
        <f>'28)Silomais Biogas ex Silo (b)'!O58</f>
        <v>2516.4366619152293</v>
      </c>
      <c r="AY51" s="1216">
        <f>'29)Triticale-GPS Biogas Feld(b)'!M58</f>
        <v>1319.3668798553626</v>
      </c>
      <c r="AZ51" s="1220">
        <f>'29)Triticale-GPS Biogas Feld(b)'!N58</f>
        <v>1091.3473455947378</v>
      </c>
      <c r="BA51" s="1217">
        <f>'29)Triticale-GPS Biogas Feld(b)'!O58</f>
        <v>1137.7040457091125</v>
      </c>
      <c r="BB51" s="1216">
        <f>'30)Tritic-GPS Biogas ex Silo(b)'!M58</f>
        <v>1869.4587992475394</v>
      </c>
      <c r="BC51" s="1220">
        <f>'30)Tritic-GPS Biogas ex Silo(b)'!N58</f>
        <v>1947.4856663653491</v>
      </c>
      <c r="BD51" s="1217">
        <f>'30)Tritic-GPS Biogas ex Silo(b)'!O58</f>
        <v>1830.4234241081597</v>
      </c>
      <c r="BE51" s="1221">
        <f>'33)Kleegrassil 4N Biogas aF(b)'!M58</f>
        <v>1346.4594342918147</v>
      </c>
      <c r="BF51" s="1217">
        <f>'33)Kleegrassil 4N Biogas aF(b)'!N58</f>
        <v>1012.0247289355648</v>
      </c>
      <c r="BG51" s="1217">
        <f>'33)Kleegrassil 4N Biogas aF(b)'!O58</f>
        <v>1048.7324149855651</v>
      </c>
      <c r="BH51" s="1217">
        <f>'34)Kleegrassil 4N Biog ex S(b)'!M58</f>
        <v>2353.6195476003527</v>
      </c>
      <c r="BI51" s="1217">
        <f>'34)Kleegrassil 4N Biog ex S(b)'!N58</f>
        <v>2092.3374567429451</v>
      </c>
      <c r="BJ51" s="1217">
        <f>'34)Kleegrassil 4N Biog ex S(b)'!O58</f>
        <v>2202.1977572917876</v>
      </c>
      <c r="BK51" s="2248">
        <f>'36)GS 3Nutz. Biogas Feld-(b)'!$M$63</f>
        <v>441.59830675139085</v>
      </c>
      <c r="BL51" s="2248">
        <f>'37)GS 3Nutz. Biogas ex Silo (b)'!$M$63</f>
        <v>1213.5465980528024</v>
      </c>
      <c r="BM51" s="1217">
        <f>'40)GrünroggenVFBiogas ex S(b)'!M58</f>
        <v>660.07586656852118</v>
      </c>
      <c r="BN51" s="1217">
        <f>'40)GrünroggenVFBiogas ex S(b)'!N58</f>
        <v>739.82617339811338</v>
      </c>
      <c r="BO51" s="1217">
        <f>'40)GrünroggenVFBiogas ex S(b)'!O58</f>
        <v>819.57648022770559</v>
      </c>
      <c r="BP51" s="1217">
        <f>'42)Grürog.+Silom. Biog ex S(b)'!M58</f>
        <v>2779.5589317776466</v>
      </c>
      <c r="BQ51" s="1217">
        <f>'42)Grürog.+Silom. Biog ex S(b)'!N58</f>
        <v>2601.2772655331778</v>
      </c>
      <c r="BR51" s="1217">
        <f>'42)Grürog.+Silom. Biog ex S(b)'!O58</f>
        <v>2769.4445100225739</v>
      </c>
      <c r="BS51" s="1217">
        <f>'44)Sudangras HF Biogas ex S(b)'!M58</f>
        <v>2164.5555919945414</v>
      </c>
      <c r="BT51" s="1217">
        <f>'44)Sudangras HF Biogas ex S(b)'!N58</f>
        <v>2063.8035528703576</v>
      </c>
      <c r="BU51" s="1217">
        <f>'44)Sudangras HF Biogas ex S(b)'!O58</f>
        <v>2249.846513746174</v>
      </c>
      <c r="BV51" s="1217">
        <f>'51) GPS Weidelgras Biog aF (b)'!M58</f>
        <v>1717.1033386422459</v>
      </c>
      <c r="BW51" s="1217">
        <f>'51) GPS Weidelgras Biog aF (b)'!N58</f>
        <v>1782.0061512016212</v>
      </c>
      <c r="BX51" s="1217">
        <f>'51) GPS Weidelgras Biog aF (b)'!O58</f>
        <v>1846.9089637609959</v>
      </c>
      <c r="BY51" s="1217">
        <f>'48)Zuhirse HF Biogas ex S(b)'!M58</f>
        <v>2079.4352859414171</v>
      </c>
      <c r="BZ51" s="1217">
        <f>'48)Zuhirse HF Biogas ex S(b)'!N58</f>
        <v>1966.1604831262953</v>
      </c>
      <c r="CA51" s="1217">
        <f>'48)Zuhirse HF Biogas ex S(b)'!O58</f>
        <v>2139.6806803111745</v>
      </c>
      <c r="CB51" s="1217">
        <f>'46)GPS+Sudangr Biogas ex S(b)'!M58</f>
        <v>2686.6826222787599</v>
      </c>
      <c r="CC51" s="1217">
        <f>'46)GPS+Sudangr Biogas ex S(b)'!N58</f>
        <v>2548.6204221860658</v>
      </c>
      <c r="CD51" s="1217">
        <f>'46)GPS+Sudangr Biogas ex S(b)'!O58</f>
        <v>2684.934456468372</v>
      </c>
      <c r="CE51" s="1217">
        <f>'48)Zuhirse HF Biogas ex S(b)'!M58</f>
        <v>2079.4352859414171</v>
      </c>
      <c r="CF51" s="1217">
        <f>'48)Zuhirse HF Biogas ex S(b)'!N58</f>
        <v>1966.1604831262953</v>
      </c>
      <c r="CG51" s="1217">
        <f>'48)Zuhirse HF Biogas ex S(b)'!O58</f>
        <v>2139.6806803111745</v>
      </c>
      <c r="CH51" s="1217">
        <f>'54)Dw. Silphie Biogas ex S(b)'!M58</f>
        <v>1696.1240614388546</v>
      </c>
      <c r="CI51" s="1217">
        <f>'54)Dw. Silphie Biogas ex S(b)'!N58</f>
        <v>1570.3060200421708</v>
      </c>
      <c r="CJ51" s="1217">
        <f>'54)Dw. Silphie Biogas ex S(b)'!O58</f>
        <v>1754.4879786454871</v>
      </c>
    </row>
    <row r="52" spans="1:88" ht="18.75" hidden="1" customHeight="1" x14ac:dyDescent="0.2">
      <c r="A52" s="890"/>
      <c r="B52" s="2245" t="s">
        <v>193</v>
      </c>
      <c r="C52" s="2568"/>
      <c r="D52" s="2214" t="s">
        <v>271</v>
      </c>
      <c r="E52" s="1240">
        <f>'1)Grünf. 3Nutz.(b)'!$M$65</f>
        <v>0.32411204777731489</v>
      </c>
      <c r="F52" s="1242">
        <f>'2)Grünf. 4Nutz.(b)'!$M$65</f>
        <v>0.33676891480745774</v>
      </c>
      <c r="G52" s="1239">
        <f>'3)Grünf. 5Nutz.(b)'!$M$65</f>
        <v>0.3369933123864392</v>
      </c>
      <c r="H52" s="1241">
        <f>'4)GS 3Nutz.eig.mech.(b)'!$M$65</f>
        <v>0.47279370591652148</v>
      </c>
      <c r="I52" s="1238">
        <f>'5)GS 4Nutz.eig.mech(b)'!$M$65</f>
        <v>0.44779132613635797</v>
      </c>
      <c r="J52" s="1242">
        <f>'6)GS 5Nutz.eig.mech.(b)'!$M$65</f>
        <v>0.40135941060733799</v>
      </c>
      <c r="K52" s="1238">
        <f>'7)GS3Nutz.Fremdmech(b)'!$M$65</f>
        <v>0.43610235668400488</v>
      </c>
      <c r="L52" s="1238">
        <f>'8)GS4Nutz.Fremdmech(b)'!$M$65</f>
        <v>0.4078427683955021</v>
      </c>
      <c r="M52" s="1238">
        <f>'9)GS 5Nutz.Fremd(b)'!$M$65</f>
        <v>0.38195856884437224</v>
      </c>
      <c r="N52" s="1240">
        <f>'10) GS 3Nutz. Ballensil.(b)'!$M$65</f>
        <v>0.48288013530504353</v>
      </c>
      <c r="O52" s="1241">
        <f>'11)Heu 2Nutz.-(b)'!$M$65</f>
        <v>0.47696517300425711</v>
      </c>
      <c r="P52" s="1238">
        <f>'12)Heu 3Nutz.(b)'!$M$65</f>
        <v>0.46050845084006853</v>
      </c>
      <c r="Q52" s="2255">
        <f>'13)Grascobs 5Nutz.(b)'!$M$65</f>
        <v>0.59023565033013148</v>
      </c>
      <c r="R52" s="1242">
        <f>'14)Weide_ext.(b)'!$M$65</f>
        <v>0.41312982643961721</v>
      </c>
      <c r="S52" s="1238">
        <f>'15)Weide int. 4Nutz.(b)'!$M$65</f>
        <v>0.34926243133055968</v>
      </c>
      <c r="T52" s="1241">
        <f>'17)Kleegras-GrünFu-Eig.mech(b)'!$M$65</f>
        <v>0.25684143961641381</v>
      </c>
      <c r="U52" s="1242">
        <f>'18)Kleegrassi-Fremnernt(b)'!$M$65</f>
        <v>0.35041932858309938</v>
      </c>
      <c r="V52" s="1239">
        <f>'19)LuzerneSil-Fremdernte(b)'!$M$65</f>
        <v>0.3279915185183282</v>
      </c>
      <c r="W52" s="1238">
        <f>'20)Silomais int(b)'!$M60</f>
        <v>0.36507206513618162</v>
      </c>
      <c r="X52" s="1242">
        <f>'20)Silomais int(b)'!$N60</f>
        <v>0.28643093347430548</v>
      </c>
      <c r="Y52" s="1244">
        <f>'20)Silomais int(b)'!$O60</f>
        <v>0.2635876740241655</v>
      </c>
      <c r="Z52" s="1241">
        <f>'21)Futterrüben(b)'!$M60</f>
        <v>0.46702882700546944</v>
      </c>
      <c r="AA52" s="1242">
        <f>'21)Futterrüben(b)'!$N60</f>
        <v>0.3892211497460244</v>
      </c>
      <c r="AB52" s="1239">
        <f>'21)Futterrüben(b)'!$O60</f>
        <v>0.364060000563944</v>
      </c>
      <c r="AC52" s="1245">
        <f>'22)ZWF-Raps-(b)'!M60</f>
        <v>0.16213984909848242</v>
      </c>
      <c r="AD52" s="1242">
        <f>'22)ZWF-Raps-(b)'!N60</f>
        <v>0.17353765038799251</v>
      </c>
      <c r="AE52" s="1243">
        <f>'22)ZWF-Raps-(b)'!O60</f>
        <v>0.181678937023357</v>
      </c>
      <c r="AF52" s="2781"/>
      <c r="AG52" s="1238">
        <f>'23)GPS-(b)'!M60</f>
        <v>0.42233550276620246</v>
      </c>
      <c r="AH52" s="1242">
        <f>'23)GPS-(b)'!N60</f>
        <v>0.33106630406059373</v>
      </c>
      <c r="AI52" s="1239">
        <f>'23)GPS-(b)'!O60</f>
        <v>0.30958082775273044</v>
      </c>
      <c r="AJ52" s="1238">
        <f>'24)Mais LKS-(b)'!M60</f>
        <v>0.3483329503603681</v>
      </c>
      <c r="AK52" s="1242">
        <f>'24)Mais LKS-(b)'!N60</f>
        <v>0.27864783440957086</v>
      </c>
      <c r="AL52" s="1239">
        <f>'24)Mais LKS-(b)'!O60</f>
        <v>0.25965671563050752</v>
      </c>
      <c r="AM52" s="1238">
        <f>'25)Mais CCM-(b)'!M60</f>
        <v>0.31510159157436241</v>
      </c>
      <c r="AN52" s="1242">
        <f>'25)Mais CCM-(b)'!N60</f>
        <v>0.24697868674994161</v>
      </c>
      <c r="AO52" s="1239">
        <f>'25)Mais CCM-(b)'!O60</f>
        <v>0.23014322576344812</v>
      </c>
      <c r="AP52" s="1241">
        <f>'26)M(ais feucht-b)'!$M60</f>
        <v>0.37154129106321943</v>
      </c>
      <c r="AQ52" s="1242">
        <f>'26)M(ais feucht-b)'!$N60</f>
        <v>0.29313496486068608</v>
      </c>
      <c r="AR52" s="1239">
        <f>'26)M(ais feucht-b)'!$O60</f>
        <v>0.27156874087631833</v>
      </c>
      <c r="AS52" s="1241">
        <f>'27)Silomais Biogas ab Feld-(b)'!M60</f>
        <v>0.43498196169341818</v>
      </c>
      <c r="AT52" s="1242">
        <f>'27)Silomais Biogas ab Feld-(b)'!N60</f>
        <v>0.29192554498552215</v>
      </c>
      <c r="AU52" s="1239">
        <f>'27)Silomais Biogas ab Feld-(b)'!O60</f>
        <v>0.25436281151729118</v>
      </c>
      <c r="AV52" s="1238">
        <f>'28)Silomais Biogas ex Silo (b)'!M60</f>
        <v>0.61694412416993405</v>
      </c>
      <c r="AW52" s="1242">
        <f>'28)Silomais Biogas ex Silo (b)'!N60</f>
        <v>0.52999391756807535</v>
      </c>
      <c r="AX52" s="1239">
        <f>'28)Silomais Biogas ex Silo (b)'!O60</f>
        <v>0.46926032751432695</v>
      </c>
      <c r="AY52" s="1238">
        <f>'29)Triticale-GPS Biogas Feld(b)'!M60</f>
        <v>0.47238341563027664</v>
      </c>
      <c r="AZ52" s="1242">
        <f>'29)Triticale-GPS Biogas Feld(b)'!N60</f>
        <v>0.32561980713531979</v>
      </c>
      <c r="BA52" s="1239">
        <f>'29)Triticale-GPS Biogas Feld(b)'!O60</f>
        <v>0.29095801895276774</v>
      </c>
      <c r="BB52" s="1238">
        <f>'30)Tritic-GPS Biogas ex Silo(b)'!M60</f>
        <v>0.6693371998738058</v>
      </c>
      <c r="BC52" s="1242">
        <f>'30)Tritic-GPS Biogas ex Silo(b)'!N60</f>
        <v>0.58106148298285865</v>
      </c>
      <c r="BD52" s="1239">
        <f>'30)Tritic-GPS Biogas ex Silo(b)'!O60</f>
        <v>0.4681150386446114</v>
      </c>
      <c r="BE52" s="1243">
        <f>'33)Kleegrassil 4N Biogas aF(b)'!M60</f>
        <v>0.58391040263139016</v>
      </c>
      <c r="BF52" s="1239">
        <f>'33)Kleegrassil 4N Biogas aF(b)'!N60</f>
        <v>0.35908220863357465</v>
      </c>
      <c r="BG52" s="1239">
        <f>'33)Kleegrassil 4N Biogas aF(b)'!O60</f>
        <v>0.31485948999730246</v>
      </c>
      <c r="BH52" s="1239">
        <f>'34)Kleegrassil 4N Biog ex S(b)'!M60</f>
        <v>0.91861114595177995</v>
      </c>
      <c r="BI52" s="1239">
        <f>'34)Kleegrassil 4N Biog ex S(b)'!N60</f>
        <v>0.68052789543382997</v>
      </c>
      <c r="BJ52" s="1239">
        <f>'34)Kleegrassil 4N Biog ex S(b)'!O60</f>
        <v>0.61393688818592307</v>
      </c>
      <c r="BK52" s="2255">
        <f>'36)GS 3Nutz. Biogas Feld-(b)'!$M$65</f>
        <v>0.22980611686871877</v>
      </c>
      <c r="BL52" s="2255">
        <f>'37)GS 3Nutz. Biogas ex Silo (b)'!$M$65</f>
        <v>0.63152513737957183</v>
      </c>
      <c r="BM52" s="1239">
        <f>'40)GrünroggenVFBiogas ex S(b)'!M60</f>
        <v>0.5152515399711346</v>
      </c>
      <c r="BN52" s="1239">
        <f>'40)GrünroggenVFBiogas ex S(b)'!N60</f>
        <v>0.48125348723930644</v>
      </c>
      <c r="BO52" s="1239">
        <f>'40)GrünroggenVFBiogas ex S(b)'!O60</f>
        <v>0.45696916385942926</v>
      </c>
      <c r="BP52" s="1239">
        <f>'42)Grürog.+Silom. Biog ex S(b)'!M60</f>
        <v>0.62266105102545843</v>
      </c>
      <c r="BQ52" s="1239">
        <f>'42)Grürog.+Silom. Biog ex S(b)'!N60</f>
        <v>0.51654151958084915</v>
      </c>
      <c r="BR52" s="1239">
        <f>'42)Grürog.+Silom. Biog ex S(b)'!O60</f>
        <v>0.47494375161162966</v>
      </c>
      <c r="BS52" s="1239">
        <f>'44)Sudangras HF Biogas ex S(b)'!M60</f>
        <v>0.87499215457779189</v>
      </c>
      <c r="BT52" s="1239">
        <f>'44)Sudangras HF Biogas ex S(b)'!N60</f>
        <v>0.64174193326690099</v>
      </c>
      <c r="BU52" s="1239">
        <f>'44)Sudangras HF Biogas ex S(b)'!O60</f>
        <v>0.56841865595090901</v>
      </c>
      <c r="BV52" s="1239">
        <f>'51) GPS Weidelgras Biog aF (b)'!M60</f>
        <v>0.57585892427583762</v>
      </c>
      <c r="BW52" s="1239">
        <f>'51) GPS Weidelgras Biog aF (b)'!N60</f>
        <v>0.49802096074161301</v>
      </c>
      <c r="BX52" s="1239">
        <f>'51) GPS Weidelgras Biog aF (b)'!O60</f>
        <v>0.44242241536002391</v>
      </c>
      <c r="BY52" s="1239">
        <f>'48)Zuhirse HF Biogas ex S(b)'!M60</f>
        <v>0.84058342870944192</v>
      </c>
      <c r="BZ52" s="1239">
        <f>'48)Zuhirse HF Biogas ex S(b)'!N60</f>
        <v>0.61137971576779893</v>
      </c>
      <c r="CA52" s="1239">
        <f>'48)Zuhirse HF Biogas ex S(b)'!O60</f>
        <v>0.54058550618258705</v>
      </c>
      <c r="CB52" s="1239">
        <f>'46)GPS+Sudangr Biogas ex S(b)'!M60</f>
        <v>0.58255818621920397</v>
      </c>
      <c r="CC52" s="1239">
        <f>'46)GPS+Sudangr Biogas ex S(b)'!N60</f>
        <v>0.49735972175439885</v>
      </c>
      <c r="CD52" s="1239">
        <f>'46)GPS+Sudangr Biogas ex S(b)'!O60</f>
        <v>0.47632837770628922</v>
      </c>
      <c r="CE52" s="1239">
        <f>'48)Zuhirse HF Biogas ex S(b)'!M60</f>
        <v>0.84058342870944192</v>
      </c>
      <c r="CF52" s="1239">
        <f>'48)Zuhirse HF Biogas ex S(b)'!N60</f>
        <v>0.61137971576779893</v>
      </c>
      <c r="CG52" s="1239">
        <f>'48)Zuhirse HF Biogas ex S(b)'!O60</f>
        <v>0.54058550618258705</v>
      </c>
      <c r="CH52" s="1239">
        <f>'54)Dw. Silphie Biogas ex S(b)'!M60</f>
        <v>0.8596021901218126</v>
      </c>
      <c r="CI52" s="1239">
        <f>'54)Dw. Silphie Biogas ex S(b)'!N60</f>
        <v>0.61218240261751344</v>
      </c>
      <c r="CJ52" s="1239">
        <f>'54)Dw. Silphie Biogas ex S(b)'!O60</f>
        <v>0.55573827973211831</v>
      </c>
    </row>
    <row r="53" spans="1:88" ht="18.75" hidden="1" customHeight="1" x14ac:dyDescent="0.2">
      <c r="A53" s="237"/>
      <c r="B53" s="2242" t="s">
        <v>194</v>
      </c>
      <c r="C53" s="2569"/>
      <c r="D53" s="2213" t="s">
        <v>272</v>
      </c>
      <c r="E53" s="1248">
        <f>'1)Grünf. 3Nutz.(b)'!$M$66</f>
        <v>0.19446722866638894</v>
      </c>
      <c r="F53" s="1250">
        <f>'2)Grünf. 4Nutz.(b)'!$M$66</f>
        <v>0.20206134888447463</v>
      </c>
      <c r="G53" s="1247">
        <f>'3)Grünf. 5Nutz.(b)'!$M$66</f>
        <v>0.20219598743186351</v>
      </c>
      <c r="H53" s="1249">
        <f>'4)GS 3Nutz.eig.mech.(b)'!$M$66</f>
        <v>0.2836762235499129</v>
      </c>
      <c r="I53" s="1246">
        <f>'5)GS 4Nutz.eig.mech(b)'!$M$66</f>
        <v>0.26867479568181474</v>
      </c>
      <c r="J53" s="1250">
        <f>'6)GS 5Nutz.eig.mech.(b)'!$M$66</f>
        <v>0.24081564636440275</v>
      </c>
      <c r="K53" s="1246">
        <f>'7)GS3Nutz.Fremdmech(b)'!$M$66</f>
        <v>0.26166141401040294</v>
      </c>
      <c r="L53" s="1246">
        <f>'8)GS4Nutz.Fremdmech(b)'!$M$66</f>
        <v>0.24470566103730121</v>
      </c>
      <c r="M53" s="1246">
        <f>'9)GS 5Nutz.Fremd(b)'!$M$66</f>
        <v>0.22917514130662331</v>
      </c>
      <c r="N53" s="1248">
        <f>'10) GS 3Nutz. Ballensil.(b)'!$M$66</f>
        <v>0.28972808118302612</v>
      </c>
      <c r="O53" s="1249">
        <f>'11)Heu 2Nutz.-(b)'!$M$66</f>
        <v>0.28617910380255429</v>
      </c>
      <c r="P53" s="1246">
        <f>'12)Heu 3Nutz.(b)'!$M$66</f>
        <v>0.27630507050404107</v>
      </c>
      <c r="Q53" s="2256">
        <f>'13)Grascobs 5Nutz.(b)'!$M$66</f>
        <v>0.35414139019807883</v>
      </c>
      <c r="R53" s="1250">
        <f>'14)Weide_ext.(b)'!$M$66</f>
        <v>0.24787789586377032</v>
      </c>
      <c r="S53" s="1246">
        <f>'15)Weide int. 4Nutz.(b)'!$M$66</f>
        <v>0.20955745879833582</v>
      </c>
      <c r="T53" s="1249">
        <f>'17)Kleegras-GrünFu-Eig.mech(b)'!$M$66</f>
        <v>0.15410486376984828</v>
      </c>
      <c r="U53" s="1250">
        <f>'18)Kleegrassi-Fremnernt(b)'!$M$66</f>
        <v>0.21025159714985961</v>
      </c>
      <c r="V53" s="1247">
        <f>'19)LuzerneSil-Fremdernte(b)'!$M$66</f>
        <v>0.19679491111099692</v>
      </c>
      <c r="W53" s="1246">
        <f>'20)Silomais int(b)'!$M62</f>
        <v>0.21904323908170895</v>
      </c>
      <c r="X53" s="1250">
        <f>'20)Silomais int(b)'!$N62</f>
        <v>0.17185856008458328</v>
      </c>
      <c r="Y53" s="1252">
        <f>'20)Silomais int(b)'!$O62</f>
        <v>0.1581526044144993</v>
      </c>
      <c r="Z53" s="1249">
        <f>'21)Futterrüben(b)'!$M62</f>
        <v>0.28021729620328167</v>
      </c>
      <c r="AA53" s="1250">
        <f>'21)Futterrüben(b)'!$N62</f>
        <v>0.23353268984761461</v>
      </c>
      <c r="AB53" s="1247">
        <f>'21)Futterrüben(b)'!$O62</f>
        <v>0.21843600033836638</v>
      </c>
      <c r="AC53" s="1253">
        <f>'22)ZWF-Raps-(b)'!M62</f>
        <v>9.7283909459089449E-2</v>
      </c>
      <c r="AD53" s="1250">
        <f>'22)ZWF-Raps-(b)'!N62</f>
        <v>0.10412259023279551</v>
      </c>
      <c r="AE53" s="1251">
        <f>'22)ZWF-Raps-(b)'!O62</f>
        <v>0.10900736221401419</v>
      </c>
      <c r="AF53" s="2781"/>
      <c r="AG53" s="1246">
        <f>'23)GPS-(b)'!M62</f>
        <v>0.25340130165972147</v>
      </c>
      <c r="AH53" s="1250">
        <f>'23)GPS-(b)'!N62</f>
        <v>0.19863978243635622</v>
      </c>
      <c r="AI53" s="1247">
        <f>'23)GPS-(b)'!O62</f>
        <v>0.18574849665163826</v>
      </c>
      <c r="AJ53" s="1246">
        <f>'24)Mais LKS-(b)'!M62</f>
        <v>0.20899977021622082</v>
      </c>
      <c r="AK53" s="1250">
        <f>'24)Mais LKS-(b)'!N62</f>
        <v>0.16718870064574251</v>
      </c>
      <c r="AL53" s="1247">
        <f>'24)Mais LKS-(b)'!O62</f>
        <v>0.15579402937830453</v>
      </c>
      <c r="AM53" s="1246">
        <f>'25)Mais CCM-(b)'!M62</f>
        <v>0.18906095494461742</v>
      </c>
      <c r="AN53" s="1250">
        <f>'25)Mais CCM-(b)'!N62</f>
        <v>0.14818721204996496</v>
      </c>
      <c r="AO53" s="1247">
        <f>'25)Mais CCM-(b)'!O62</f>
        <v>0.13808593545806885</v>
      </c>
      <c r="AP53" s="1249">
        <f>'26)M(ais feucht-b)'!$M62</f>
        <v>0.22292477463793162</v>
      </c>
      <c r="AQ53" s="1250">
        <f>'26)M(ais feucht-b)'!$N62</f>
        <v>0.17588097891641163</v>
      </c>
      <c r="AR53" s="1247">
        <f>'26)M(ais feucht-b)'!$O62</f>
        <v>0.16294124452579095</v>
      </c>
      <c r="AS53" s="1249">
        <f>'27)Silomais Biogas ab Feld-(b)'!M62</f>
        <v>12.082832269261617</v>
      </c>
      <c r="AT53" s="1250">
        <f>'27)Silomais Biogas ab Feld-(b)'!N62</f>
        <v>8.1090429162645048</v>
      </c>
      <c r="AU53" s="1247">
        <f>'27)Silomais Biogas ab Feld-(b)'!O62</f>
        <v>7.0656336532580895</v>
      </c>
      <c r="AV53" s="1246">
        <f>'28)Silomais Biogas ex Silo (b)'!M62</f>
        <v>17.137336782498167</v>
      </c>
      <c r="AW53" s="1250">
        <f>'28)Silomais Biogas ex Silo (b)'!N62</f>
        <v>14.72205326577987</v>
      </c>
      <c r="AX53" s="1247">
        <f>'28)Silomais Biogas ex Silo (b)'!O62</f>
        <v>13.035009097620195</v>
      </c>
      <c r="AY53" s="1246">
        <f>'29)Triticale-GPS Biogas Feld(b)'!M62</f>
        <v>13.121761545285466</v>
      </c>
      <c r="AZ53" s="1250">
        <f>'29)Triticale-GPS Biogas Feld(b)'!N62</f>
        <v>9.0449946426477723</v>
      </c>
      <c r="BA53" s="1247">
        <f>'29)Triticale-GPS Biogas Feld(b)'!O62</f>
        <v>8.0821671931324399</v>
      </c>
      <c r="BB53" s="1246">
        <f>'30)Tritic-GPS Biogas ex Silo(b)'!M62</f>
        <v>18.592699996494609</v>
      </c>
      <c r="BC53" s="1250">
        <f>'30)Tritic-GPS Biogas ex Silo(b)'!N62</f>
        <v>16.140596749523851</v>
      </c>
      <c r="BD53" s="1247">
        <f>'30)Tritic-GPS Biogas ex Silo(b)'!O62</f>
        <v>13.003195517905876</v>
      </c>
      <c r="BE53" s="1251">
        <f>'33)Kleegrassil 4N Biogas aF(b)'!M62</f>
        <v>16.219733406427508</v>
      </c>
      <c r="BF53" s="1247">
        <f>'33)Kleegrassil 4N Biogas aF(b)'!N62</f>
        <v>9.9745057953770768</v>
      </c>
      <c r="BG53" s="1247">
        <f>'33)Kleegrassil 4N Biogas aF(b)'!O62</f>
        <v>8.7460969443695138</v>
      </c>
      <c r="BH53" s="1247">
        <f>'34)Kleegrassil 4N Biog ex S(b)'!M62</f>
        <v>25.516976276438335</v>
      </c>
      <c r="BI53" s="1247">
        <f>'34)Kleegrassil 4N Biog ex S(b)'!N62</f>
        <v>18.903552650939726</v>
      </c>
      <c r="BJ53" s="1247">
        <f>'34)Kleegrassil 4N Biog ex S(b)'!O62</f>
        <v>17.053802449608977</v>
      </c>
      <c r="BK53" s="2256">
        <f>'36)GS 3Nutz. Biogas Feld-(b)'!$M$67</f>
        <v>6.3835032463533006</v>
      </c>
      <c r="BL53" s="2256">
        <f>'37)GS 3Nutz. Biogas ex Silo (b)'!$M$67</f>
        <v>17.542364927210333</v>
      </c>
      <c r="BM53" s="1247">
        <f>'40)GrünroggenVFBiogas ex S(b)'!M62</f>
        <v>14.312542776975963</v>
      </c>
      <c r="BN53" s="1247">
        <f>'40)GrünroggenVFBiogas ex S(b)'!N62</f>
        <v>13.36815242331407</v>
      </c>
      <c r="BO53" s="1247">
        <f>'40)GrünroggenVFBiogas ex S(b)'!O62</f>
        <v>12.693587884984147</v>
      </c>
      <c r="BP53" s="1247">
        <f>'42)Grürog.+Silom. Biog ex S(b)'!M62</f>
        <v>17.296140306262739</v>
      </c>
      <c r="BQ53" s="1247">
        <f>'42)Grürog.+Silom. Biog ex S(b)'!N62</f>
        <v>14.34837554391248</v>
      </c>
      <c r="BR53" s="1247">
        <f>'42)Grürog.+Silom. Biog ex S(b)'!O62</f>
        <v>13.192881989211937</v>
      </c>
      <c r="BS53" s="1247">
        <f>'44)Sudangras HF Biogas ex S(b)'!M62</f>
        <v>24.305337627160885</v>
      </c>
      <c r="BT53" s="1247">
        <f>'44)Sudangras HF Biogas ex S(b)'!N62</f>
        <v>17.82616481296947</v>
      </c>
      <c r="BU53" s="1247">
        <f>'44)Sudangras HF Biogas ex S(b)'!O62</f>
        <v>15.789407109747472</v>
      </c>
      <c r="BV53" s="1247">
        <f>'51) GPS Weidelgras Biog aF (b)'!M62</f>
        <v>15.996081229884378</v>
      </c>
      <c r="BW53" s="1247">
        <f>'51) GPS Weidelgras Biog aF (b)'!N62</f>
        <v>13.833915576155917</v>
      </c>
      <c r="BX53" s="1247">
        <f>'51) GPS Weidelgras Biog aF (b)'!O62</f>
        <v>12.289511537778441</v>
      </c>
      <c r="BY53" s="1247">
        <f>'48)Zuhirse HF Biogas ex S(b)'!M62</f>
        <v>23.349539686373383</v>
      </c>
      <c r="BZ53" s="1247">
        <f>'48)Zuhirse HF Biogas ex S(b)'!N62</f>
        <v>16.982769882438859</v>
      </c>
      <c r="CA53" s="1247">
        <f>'48)Zuhirse HF Biogas ex S(b)'!O62</f>
        <v>15.016264060627419</v>
      </c>
      <c r="CB53" s="1247">
        <f>'46)GPS+Sudangr Biogas ex S(b)'!M62</f>
        <v>16.182171839422335</v>
      </c>
      <c r="CC53" s="1247">
        <f>'46)GPS+Sudangr Biogas ex S(b)'!N62</f>
        <v>13.81554782651108</v>
      </c>
      <c r="CD53" s="1247">
        <f>'46)GPS+Sudangr Biogas ex S(b)'!O62</f>
        <v>13.231343825174704</v>
      </c>
      <c r="CE53" s="1247">
        <f>'48)Zuhirse HF Biogas ex S(b)'!M62</f>
        <v>23.349539686373383</v>
      </c>
      <c r="CF53" s="1247">
        <f>'48)Zuhirse HF Biogas ex S(b)'!N62</f>
        <v>16.982769882438859</v>
      </c>
      <c r="CG53" s="1247">
        <f>'48)Zuhirse HF Biogas ex S(b)'!O62</f>
        <v>15.016264060627419</v>
      </c>
      <c r="CH53" s="1247">
        <f>'54)Dw. Silphie Biogas ex S(b)'!M62</f>
        <v>23.877838614494795</v>
      </c>
      <c r="CI53" s="1247">
        <f>'54)Dw. Silphie Biogas ex S(b)'!N62</f>
        <v>17.005066739375373</v>
      </c>
      <c r="CJ53" s="1247">
        <f>'54)Dw. Silphie Biogas ex S(b)'!O62</f>
        <v>15.437174437003288</v>
      </c>
    </row>
    <row r="54" spans="1:88" ht="21.75" customHeight="1" x14ac:dyDescent="0.2">
      <c r="A54" s="1292"/>
      <c r="B54" s="3432" t="s">
        <v>1354</v>
      </c>
      <c r="C54" s="2566"/>
      <c r="D54" s="2215" t="s">
        <v>266</v>
      </c>
      <c r="E54" s="1803">
        <f>'1)Grünf. 3Nutz.(b)'!M55</f>
        <v>1397.125495950088</v>
      </c>
      <c r="F54" s="1797">
        <f>'2)Grünf. 4Nutz.(b)'!M55</f>
        <v>1760.7373365107014</v>
      </c>
      <c r="G54" s="1798">
        <f>'3)Grünf. 5Nutz.(b)'!M55</f>
        <v>2477.1114668605696</v>
      </c>
      <c r="H54" s="1804">
        <f>'4)GS 3Nutz.eig.mech.(b)'!M55</f>
        <v>1934.9244343469163</v>
      </c>
      <c r="I54" s="1799">
        <f>'5)GS 4Nutz.eig.mech(b)'!M55</f>
        <v>2375.1521842563425</v>
      </c>
      <c r="J54" s="1797">
        <f>'6)GS 5Nutz.eig.mech.(b)'!M55</f>
        <v>2943.1471260742182</v>
      </c>
      <c r="K54" s="1799">
        <f>'7)GS3Nutz.Fremdmech(b)'!M55</f>
        <v>1797.5582144855571</v>
      </c>
      <c r="L54" s="1799">
        <f>'8)GS4Nutz.Fremdmech(b)'!M55</f>
        <v>2180.9086241264145</v>
      </c>
      <c r="M54" s="1799">
        <f>'9)GS 5Nutz.Fremd(b)'!M55</f>
        <v>2814.163782249927</v>
      </c>
      <c r="N54" s="1803">
        <f>'10) GS 3Nutz. Ballensil.(b)'!M55</f>
        <v>1871.8154304905511</v>
      </c>
      <c r="O54" s="1804">
        <f>'11)Heu 2Nutz.-(b)'!M55</f>
        <v>1328.6130524768498</v>
      </c>
      <c r="P54" s="1799">
        <f>'12)Heu 3Nutz.(b)'!M55</f>
        <v>1998.1063314182938</v>
      </c>
      <c r="Q54" s="2327">
        <f>'13)Grascobs 5Nutz.(b)'!M55</f>
        <v>4842.6384630102611</v>
      </c>
      <c r="R54" s="1797">
        <f>'14)Weide_ext.(b)'!M55</f>
        <v>1074.7985564653081</v>
      </c>
      <c r="S54" s="1799">
        <f>'15)Weide int. 4Nutz.(b)'!M55</f>
        <v>1556.5928039540383</v>
      </c>
      <c r="T54" s="1804">
        <f>'17)Kleegras-GrünFu-Eig.mech(b)'!M55</f>
        <v>1664.0756872747452</v>
      </c>
      <c r="U54" s="1797">
        <f>'18)Kleegrassi-Fremnernt(b)'!M55</f>
        <v>2344.5829868144428</v>
      </c>
      <c r="V54" s="1798">
        <f>'19)LuzerneSil-Fremdernte(b)'!M55</f>
        <v>2075.0843544000381</v>
      </c>
      <c r="W54" s="1799">
        <f>'20)Silomais int(b)'!$M58</f>
        <v>2651.0803226059234</v>
      </c>
      <c r="X54" s="1797">
        <f>'20)Silomais int(b)'!$N58</f>
        <v>2552.0050950480154</v>
      </c>
      <c r="Y54" s="1801">
        <f>'20)Silomais int(b)'!$O58</f>
        <v>2753.3893970751087</v>
      </c>
      <c r="Z54" s="1804">
        <f>'21)Futterrüben(b)'!$M58</f>
        <v>3177.1737586768586</v>
      </c>
      <c r="AA54" s="1797">
        <f>'21)Futterrüben(b)'!$N58</f>
        <v>3129.2796607855744</v>
      </c>
      <c r="AB54" s="1798">
        <f>'21)Futterrüben(b)'!$O58</f>
        <v>3377.2936102315675</v>
      </c>
      <c r="AC54" s="1802">
        <f>'22)ZWF-Raps-(b)'!M58</f>
        <v>242.60174921360431</v>
      </c>
      <c r="AD54" s="1797">
        <f>'22)ZWF-Raps-(b)'!N58</f>
        <v>332.35930802308326</v>
      </c>
      <c r="AE54" s="1800">
        <f>'22)ZWF-Raps-(b)'!O58</f>
        <v>434.93937523391662</v>
      </c>
      <c r="AF54" s="2780"/>
      <c r="AG54" s="1799">
        <f>'23)GPS-(b)'!M58</f>
        <v>2052.4745230532462</v>
      </c>
      <c r="AH54" s="1797">
        <f>'23)GPS-(b)'!N58</f>
        <v>1909.4398066531571</v>
      </c>
      <c r="AI54" s="1798">
        <f>'23)GPS-(b)'!O58</f>
        <v>2040.5958345155677</v>
      </c>
      <c r="AJ54" s="1799">
        <f>'24)Mais LKS-(b)'!M58</f>
        <v>2399.8050282127197</v>
      </c>
      <c r="AK54" s="1797">
        <f>'24)Mais LKS-(b)'!N58</f>
        <v>2207.673848938492</v>
      </c>
      <c r="AL54" s="1798">
        <f>'24)Mais LKS-(b)'!O58</f>
        <v>2325.5426696642644</v>
      </c>
      <c r="AM54" s="1799">
        <f>'25)Mais CCM-(b)'!M58</f>
        <v>2138.591350999282</v>
      </c>
      <c r="AN54" s="1797">
        <f>'25)Mais CCM-(b)'!N58</f>
        <v>1955.6155233824836</v>
      </c>
      <c r="AO54" s="1798">
        <f>'25)Mais CCM-(b)'!O58</f>
        <v>2082.6396957656862</v>
      </c>
      <c r="AP54" s="1804">
        <f>'26)M(ais feucht-b)'!$M58</f>
        <v>2379.8260008214183</v>
      </c>
      <c r="AQ54" s="1797">
        <f>'26)M(ais feucht-b)'!$N58</f>
        <v>2229.6636891708904</v>
      </c>
      <c r="AR54" s="1798">
        <f>'26)M(ais feucht-b)'!$O58</f>
        <v>2391.7765087703629</v>
      </c>
      <c r="AS54" s="1804">
        <f>'27)Silomais Biogas ab Feld-(b)'!M58</f>
        <v>1555.0779123324378</v>
      </c>
      <c r="AT54" s="1797">
        <f>'27)Silomais Biogas ab Feld-(b)'!N58</f>
        <v>1304.5568754313015</v>
      </c>
      <c r="AU54" s="1798">
        <f>'27)Silomais Biogas ab Feld-(b)'!O58</f>
        <v>1364.0358385301652</v>
      </c>
      <c r="AV54" s="1799">
        <f>'28)Silomais Biogas ex Silo (b)'!M58</f>
        <v>2205.5999216724808</v>
      </c>
      <c r="AW54" s="1797">
        <f>'28)Silomais Biogas ex Silo (b)'!N58</f>
        <v>2368.4368188282151</v>
      </c>
      <c r="AX54" s="1798">
        <f>'28)Silomais Biogas ex Silo (b)'!O58</f>
        <v>2516.4366619152293</v>
      </c>
      <c r="AY54" s="1799">
        <f>'29)Triticale-GPS Biogas Feld(b)'!M58</f>
        <v>1319.3668798553626</v>
      </c>
      <c r="AZ54" s="1797">
        <f>'29)Triticale-GPS Biogas Feld(b)'!N58</f>
        <v>1091.3473455947378</v>
      </c>
      <c r="BA54" s="1798">
        <f>'29)Triticale-GPS Biogas Feld(b)'!O58</f>
        <v>1137.7040457091125</v>
      </c>
      <c r="BB54" s="1799">
        <f>'30)Tritic-GPS Biogas ex Silo(b)'!M58</f>
        <v>1869.4587992475394</v>
      </c>
      <c r="BC54" s="1797">
        <f>'30)Tritic-GPS Biogas ex Silo(b)'!N58</f>
        <v>1947.4856663653491</v>
      </c>
      <c r="BD54" s="1798">
        <f>'30)Tritic-GPS Biogas ex Silo(b)'!O58</f>
        <v>1830.4234241081597</v>
      </c>
      <c r="BE54" s="1800">
        <f>'33)Kleegrassil 4N Biogas aF(b)'!M58</f>
        <v>1346.4594342918147</v>
      </c>
      <c r="BF54" s="1798">
        <f>'33)Kleegrassil 4N Biogas aF(b)'!N58</f>
        <v>1012.0247289355648</v>
      </c>
      <c r="BG54" s="1798">
        <f>'33)Kleegrassil 4N Biogas aF(b)'!O58</f>
        <v>1048.7324149855651</v>
      </c>
      <c r="BH54" s="1798">
        <f>'34)Kleegrassil 4N Biog ex S(b)'!M58</f>
        <v>2353.6195476003527</v>
      </c>
      <c r="BI54" s="1798">
        <f>'34)Kleegrassil 4N Biog ex S(b)'!N58</f>
        <v>2092.3374567429451</v>
      </c>
      <c r="BJ54" s="1798">
        <f>'34)Kleegrassil 4N Biog ex S(b)'!O58</f>
        <v>2202.1977572917876</v>
      </c>
      <c r="BK54" s="2327">
        <f>'36)GS 3Nutz. Biogas Feld-(b)'!M58</f>
        <v>14.794917804008117</v>
      </c>
      <c r="BL54" s="2327">
        <f>'37)GS 3Nutz. Biogas ex Silo (b)'!M58</f>
        <v>46.181065047005809</v>
      </c>
      <c r="BM54" s="1798">
        <f>'40)GrünroggenVFBiogas ex S(b)'!M58</f>
        <v>660.07586656852118</v>
      </c>
      <c r="BN54" s="1798">
        <f>'40)GrünroggenVFBiogas ex S(b)'!N58</f>
        <v>739.82617339811338</v>
      </c>
      <c r="BO54" s="1798">
        <f>'40)GrünroggenVFBiogas ex S(b)'!O58</f>
        <v>819.57648022770559</v>
      </c>
      <c r="BP54" s="1798">
        <f>'42)Grürog.+Silom. Biog ex S(b)'!M58</f>
        <v>2779.5589317776466</v>
      </c>
      <c r="BQ54" s="1798">
        <f>'42)Grürog.+Silom. Biog ex S(b)'!N58</f>
        <v>2601.2772655331778</v>
      </c>
      <c r="BR54" s="1798">
        <f>'42)Grürog.+Silom. Biog ex S(b)'!O58</f>
        <v>2769.4445100225739</v>
      </c>
      <c r="BS54" s="1798">
        <f>'44)Sudangras HF Biogas ex S(b)'!M58</f>
        <v>2164.5555919945414</v>
      </c>
      <c r="BT54" s="1798">
        <f>'44)Sudangras HF Biogas ex S(b)'!M58</f>
        <v>2164.5555919945414</v>
      </c>
      <c r="BU54" s="1798">
        <f>'44)Sudangras HF Biogas ex S(b)'!M58</f>
        <v>2164.5555919945414</v>
      </c>
      <c r="BV54" s="1798">
        <f>'51) GPS Weidelgras Biog aF (b)'!M58</f>
        <v>1717.1033386422459</v>
      </c>
      <c r="BW54" s="1798">
        <f>'51) GPS Weidelgras Biog aF (b)'!M58</f>
        <v>1717.1033386422459</v>
      </c>
      <c r="BX54" s="1798">
        <f>'51) GPS Weidelgras Biog aF (b)'!M58</f>
        <v>1717.1033386422459</v>
      </c>
      <c r="BY54" s="1798">
        <f>'48)Zuhirse HF Biogas ex S(b)'!M58</f>
        <v>2079.4352859414171</v>
      </c>
      <c r="BZ54" s="1798">
        <f>'48)Zuhirse HF Biogas ex S(b)'!M58</f>
        <v>2079.4352859414171</v>
      </c>
      <c r="CA54" s="1798">
        <f>'48)Zuhirse HF Biogas ex S(b)'!M58</f>
        <v>2079.4352859414171</v>
      </c>
      <c r="CB54" s="1798">
        <f>'46)GPS+Sudangr Biogas ex S(b)'!M58</f>
        <v>2686.6826222787599</v>
      </c>
      <c r="CC54" s="1798">
        <f>'46)GPS+Sudangr Biogas ex S(b)'!N58</f>
        <v>2548.6204221860658</v>
      </c>
      <c r="CD54" s="1798">
        <f>'46)GPS+Sudangr Biogas ex S(b)'!O58</f>
        <v>2684.934456468372</v>
      </c>
      <c r="CE54" s="1798">
        <f>'48)Zuhirse HF Biogas ex S(b)'!M58</f>
        <v>2079.4352859414171</v>
      </c>
      <c r="CF54" s="1798">
        <f>'48)Zuhirse HF Biogas ex S(b)'!N58</f>
        <v>1966.1604831262953</v>
      </c>
      <c r="CG54" s="1798">
        <f>'48)Zuhirse HF Biogas ex S(b)'!O58</f>
        <v>2139.6806803111745</v>
      </c>
      <c r="CH54" s="1798">
        <f>'54)Dw. Silphie Biogas ex S(b)'!M58</f>
        <v>1696.1240614388546</v>
      </c>
      <c r="CI54" s="1798">
        <f>'54)Dw. Silphie Biogas ex S(b)'!N58</f>
        <v>1570.3060200421708</v>
      </c>
      <c r="CJ54" s="1798">
        <f>'54)Dw. Silphie Biogas ex S(b)'!O58</f>
        <v>1754.4879786454871</v>
      </c>
    </row>
    <row r="55" spans="1:88" s="3515" customFormat="1" ht="18.2" customHeight="1" x14ac:dyDescent="0.2">
      <c r="A55" s="3516">
        <v>0</v>
      </c>
      <c r="B55" s="3502" t="s">
        <v>1355</v>
      </c>
      <c r="C55" s="3517"/>
      <c r="D55" s="3518" t="s">
        <v>1462</v>
      </c>
      <c r="E55" s="3519">
        <f>'1)Grünf. 3Nutz.(b)'!M65</f>
        <v>0.32411204777731489</v>
      </c>
      <c r="F55" s="3520">
        <f>'2)Grünf. 4Nutz.(b)'!M65</f>
        <v>0.33676891480745774</v>
      </c>
      <c r="G55" s="3521">
        <f>'3)Grünf. 5Nutz.(b)'!M65</f>
        <v>0.3369933123864392</v>
      </c>
      <c r="H55" s="3522">
        <f>'4)GS 3Nutz.eig.mech.(b)'!M65</f>
        <v>0.47279370591652148</v>
      </c>
      <c r="I55" s="3523">
        <f>'5)GS 4Nutz.eig.mech(b)'!M65</f>
        <v>0.44779132613635797</v>
      </c>
      <c r="J55" s="3520">
        <f>'6)GS 5Nutz.eig.mech.(b)'!M65</f>
        <v>0.40135941060733799</v>
      </c>
      <c r="K55" s="3523">
        <f>'7)GS3Nutz.Fremdmech(b)'!M65</f>
        <v>0.43610235668400488</v>
      </c>
      <c r="L55" s="3523">
        <f>'8)GS4Nutz.Fremdmech(b)'!M65</f>
        <v>0.4078427683955021</v>
      </c>
      <c r="M55" s="3523">
        <f>'9)GS 5Nutz.Fremd(b)'!M65</f>
        <v>0.38195856884437224</v>
      </c>
      <c r="N55" s="3519">
        <f>'10) GS 3Nutz. Ballensil.(b)'!M65</f>
        <v>0.48288013530504353</v>
      </c>
      <c r="O55" s="3522">
        <f>'11)Heu 2Nutz.-(b)'!M65</f>
        <v>0.47696517300425711</v>
      </c>
      <c r="P55" s="3523">
        <f>'12)Heu 3Nutz.(b)'!M65</f>
        <v>0.46050845084006853</v>
      </c>
      <c r="Q55" s="3524">
        <f>'13)Grascobs 5Nutz.(b)'!M65</f>
        <v>0.59023565033013148</v>
      </c>
      <c r="R55" s="3520">
        <f>'14)Weide_ext.(b)'!M65</f>
        <v>0.41312982643961721</v>
      </c>
      <c r="S55" s="3523">
        <f>'15)Weide int. 4Nutz.(b)'!M65</f>
        <v>0.34926243133055968</v>
      </c>
      <c r="T55" s="3522">
        <f>'17)Kleegras-GrünFu-Eig.mech(b)'!M65</f>
        <v>0.25684143961641381</v>
      </c>
      <c r="U55" s="3520">
        <f>'18)Kleegrassi-Fremnernt(b)'!M65</f>
        <v>0.35041932858309938</v>
      </c>
      <c r="V55" s="3521">
        <f>'19)LuzerneSil-Fremdernte(b)'!M65</f>
        <v>0.3279915185183282</v>
      </c>
      <c r="W55" s="3523">
        <f>'20)Silomais int(b)'!$M60</f>
        <v>0.36507206513618162</v>
      </c>
      <c r="X55" s="3520">
        <f>'20)Silomais int(b)'!$N60</f>
        <v>0.28643093347430548</v>
      </c>
      <c r="Y55" s="3526">
        <f>'20)Silomais int(b)'!$O60</f>
        <v>0.2635876740241655</v>
      </c>
      <c r="Z55" s="3522">
        <f>'21)Futterrüben(b)'!$M60</f>
        <v>0.46702882700546944</v>
      </c>
      <c r="AA55" s="3520">
        <f>'21)Futterrüben(b)'!$N60</f>
        <v>0.3892211497460244</v>
      </c>
      <c r="AB55" s="3521">
        <f>'21)Futterrüben(b)'!$O60</f>
        <v>0.364060000563944</v>
      </c>
      <c r="AC55" s="3527">
        <f>'22)ZWF-Raps-(b)'!M60</f>
        <v>0.16213984909848242</v>
      </c>
      <c r="AD55" s="3520">
        <f>'22)ZWF-Raps-(b)'!N60</f>
        <v>0.17353765038799251</v>
      </c>
      <c r="AE55" s="3528">
        <f>'22)ZWF-Raps-(b)'!O60</f>
        <v>0.181678937023357</v>
      </c>
      <c r="AF55" s="3525"/>
      <c r="AG55" s="3523">
        <f>'23)GPS-(b)'!M60</f>
        <v>0.42233550276620246</v>
      </c>
      <c r="AH55" s="3520">
        <f>'23)GPS-(b)'!N60</f>
        <v>0.33106630406059373</v>
      </c>
      <c r="AI55" s="3521">
        <f>'23)GPS-(b)'!O60</f>
        <v>0.30958082775273044</v>
      </c>
      <c r="AJ55" s="3523">
        <f>'24)Mais LKS-(b)'!M60</f>
        <v>0.3483329503603681</v>
      </c>
      <c r="AK55" s="3520">
        <f>'24)Mais LKS-(b)'!N60</f>
        <v>0.27864783440957086</v>
      </c>
      <c r="AL55" s="3521">
        <f>'24)Mais LKS-(b)'!O60</f>
        <v>0.25965671563050752</v>
      </c>
      <c r="AM55" s="3523">
        <f>'25)Mais CCM-(b)'!M60</f>
        <v>0.31510159157436241</v>
      </c>
      <c r="AN55" s="3520">
        <f>'25)Mais CCM-(b)'!N60</f>
        <v>0.24697868674994161</v>
      </c>
      <c r="AO55" s="3521">
        <f>'25)Mais CCM-(b)'!O60</f>
        <v>0.23014322576344812</v>
      </c>
      <c r="AP55" s="3522">
        <f>'26)M(ais feucht-b)'!$M60</f>
        <v>0.37154129106321943</v>
      </c>
      <c r="AQ55" s="3520">
        <f>'26)M(ais feucht-b)'!$N60</f>
        <v>0.29313496486068608</v>
      </c>
      <c r="AR55" s="3521">
        <f>'26)M(ais feucht-b)'!$O60</f>
        <v>0.27156874087631833</v>
      </c>
      <c r="AS55" s="3522">
        <f>'27)Silomais Biogas ab Feld-(b)'!M60</f>
        <v>0.43498196169341818</v>
      </c>
      <c r="AT55" s="3520">
        <f>'27)Silomais Biogas ab Feld-(b)'!N60</f>
        <v>0.29192554498552215</v>
      </c>
      <c r="AU55" s="3521">
        <f>'27)Silomais Biogas ab Feld-(b)'!O60</f>
        <v>0.25436281151729118</v>
      </c>
      <c r="AV55" s="3523">
        <f>'28)Silomais Biogas ex Silo (b)'!M60</f>
        <v>0.61694412416993405</v>
      </c>
      <c r="AW55" s="3520">
        <f>'28)Silomais Biogas ex Silo (b)'!N60</f>
        <v>0.52999391756807535</v>
      </c>
      <c r="AX55" s="3521">
        <f>'28)Silomais Biogas ex Silo (b)'!O60</f>
        <v>0.46926032751432695</v>
      </c>
      <c r="AY55" s="3523">
        <f>'29)Triticale-GPS Biogas Feld(b)'!M60</f>
        <v>0.47238341563027664</v>
      </c>
      <c r="AZ55" s="3520">
        <f>'29)Triticale-GPS Biogas Feld(b)'!N60</f>
        <v>0.32561980713531979</v>
      </c>
      <c r="BA55" s="3521">
        <f>'29)Triticale-GPS Biogas Feld(b)'!O60</f>
        <v>0.29095801895276774</v>
      </c>
      <c r="BB55" s="3523">
        <f>'30)Tritic-GPS Biogas ex Silo(b)'!M60</f>
        <v>0.6693371998738058</v>
      </c>
      <c r="BC55" s="3520">
        <f>'30)Tritic-GPS Biogas ex Silo(b)'!N60</f>
        <v>0.58106148298285865</v>
      </c>
      <c r="BD55" s="3521">
        <f>'30)Tritic-GPS Biogas ex Silo(b)'!O60</f>
        <v>0.4681150386446114</v>
      </c>
      <c r="BE55" s="3528">
        <f>'33)Kleegrassil 4N Biogas aF(b)'!M60</f>
        <v>0.58391040263139016</v>
      </c>
      <c r="BF55" s="3521">
        <f>'33)Kleegrassil 4N Biogas aF(b)'!N60</f>
        <v>0.35908220863357465</v>
      </c>
      <c r="BG55" s="3521">
        <f>'33)Kleegrassil 4N Biogas aF(b)'!O60</f>
        <v>0.31485948999730246</v>
      </c>
      <c r="BH55" s="3521">
        <f>'34)Kleegrassil 4N Biog ex S(b)'!M60</f>
        <v>0.91861114595177995</v>
      </c>
      <c r="BI55" s="3521">
        <f>'34)Kleegrassil 4N Biog ex S(b)'!N60</f>
        <v>0.68052789543382997</v>
      </c>
      <c r="BJ55" s="3521">
        <f>'34)Kleegrassil 4N Biog ex S(b)'!O60</f>
        <v>0.61393688818592307</v>
      </c>
      <c r="BK55" s="3524">
        <f>'36)GS 3Nutz. Biogas Feld-(b)'!M65</f>
        <v>0.22980611686871877</v>
      </c>
      <c r="BL55" s="3524">
        <f>'37)GS 3Nutz. Biogas ex Silo (b)'!M65</f>
        <v>0.63152513737957183</v>
      </c>
      <c r="BM55" s="3521">
        <f>'40)GrünroggenVFBiogas ex S(b)'!M60</f>
        <v>0.5152515399711346</v>
      </c>
      <c r="BN55" s="3521">
        <f>'40)GrünroggenVFBiogas ex S(b)'!N60</f>
        <v>0.48125348723930644</v>
      </c>
      <c r="BO55" s="3521">
        <f>'40)GrünroggenVFBiogas ex S(b)'!O60</f>
        <v>0.45696916385942926</v>
      </c>
      <c r="BP55" s="3521">
        <f>'42)Grürog.+Silom. Biog ex S(b)'!M60</f>
        <v>0.62266105102545843</v>
      </c>
      <c r="BQ55" s="3521">
        <f>'42)Grürog.+Silom. Biog ex S(b)'!N60</f>
        <v>0.51654151958084915</v>
      </c>
      <c r="BR55" s="3521">
        <f>'42)Grürog.+Silom. Biog ex S(b)'!O60</f>
        <v>0.47494375161162966</v>
      </c>
      <c r="BS55" s="3521">
        <f>'44)Sudangras HF Biogas ex S(b)'!M60</f>
        <v>0.87499215457779189</v>
      </c>
      <c r="BT55" s="3521">
        <f>'44)Sudangras HF Biogas ex S(b)'!M60</f>
        <v>0.87499215457779189</v>
      </c>
      <c r="BU55" s="3521">
        <f>'44)Sudangras HF Biogas ex S(b)'!M60</f>
        <v>0.87499215457779189</v>
      </c>
      <c r="BV55" s="3521">
        <f>'51) GPS Weidelgras Biog aF (b)'!M60</f>
        <v>0.57585892427583762</v>
      </c>
      <c r="BW55" s="3521">
        <f>'51) GPS Weidelgras Biog aF (b)'!M60</f>
        <v>0.57585892427583762</v>
      </c>
      <c r="BX55" s="3521">
        <f>'51) GPS Weidelgras Biog aF (b)'!M60</f>
        <v>0.57585892427583762</v>
      </c>
      <c r="BY55" s="3521">
        <f>'48)Zuhirse HF Biogas ex S(b)'!M60</f>
        <v>0.84058342870944192</v>
      </c>
      <c r="BZ55" s="3521">
        <f>'48)Zuhirse HF Biogas ex S(b)'!M60</f>
        <v>0.84058342870944192</v>
      </c>
      <c r="CA55" s="3521">
        <f>'48)Zuhirse HF Biogas ex S(b)'!M60</f>
        <v>0.84058342870944192</v>
      </c>
      <c r="CB55" s="3521">
        <f>'46)GPS+Sudangr Biogas ex S(b)'!M60</f>
        <v>0.58255818621920397</v>
      </c>
      <c r="CC55" s="3521">
        <f>'46)GPS+Sudangr Biogas ex S(b)'!N60</f>
        <v>0.49735972175439885</v>
      </c>
      <c r="CD55" s="3521">
        <f>'46)GPS+Sudangr Biogas ex S(b)'!O60</f>
        <v>0.47632837770628922</v>
      </c>
      <c r="CE55" s="3521">
        <f>'48)Zuhirse HF Biogas ex S(b)'!M60</f>
        <v>0.84058342870944192</v>
      </c>
      <c r="CF55" s="3521">
        <f>'48)Zuhirse HF Biogas ex S(b)'!N60</f>
        <v>0.61137971576779893</v>
      </c>
      <c r="CG55" s="3521">
        <f>'48)Zuhirse HF Biogas ex S(b)'!O60</f>
        <v>0.54058550618258705</v>
      </c>
      <c r="CH55" s="3521">
        <f>'54)Dw. Silphie Biogas ex S(b)'!M60</f>
        <v>0.8596021901218126</v>
      </c>
      <c r="CI55" s="3521">
        <f>'54)Dw. Silphie Biogas ex S(b)'!N60</f>
        <v>0.61218240261751344</v>
      </c>
      <c r="CJ55" s="3521">
        <f>'54)Dw. Silphie Biogas ex S(b)'!O60</f>
        <v>0.55573827973211831</v>
      </c>
    </row>
    <row r="56" spans="1:88" ht="18.2" customHeight="1" thickBot="1" x14ac:dyDescent="0.25">
      <c r="A56" s="2106"/>
      <c r="B56" s="2289"/>
      <c r="C56" s="2561"/>
      <c r="D56" s="2891" t="s">
        <v>711</v>
      </c>
      <c r="E56" s="2370">
        <f>'1)Grünf. 3Nutz.(b)'!M66</f>
        <v>0.19446722866638894</v>
      </c>
      <c r="F56" s="2371">
        <f>'2)Grünf. 4Nutz.(b)'!M66</f>
        <v>0.20206134888447463</v>
      </c>
      <c r="G56" s="2373">
        <f>'3)Grünf. 5Nutz.(b)'!M66</f>
        <v>0.20219598743186351</v>
      </c>
      <c r="H56" s="2372">
        <f>'4)GS 3Nutz.eig.mech.(b)'!M66</f>
        <v>0.2836762235499129</v>
      </c>
      <c r="I56" s="2374">
        <f>'5)GS 4Nutz.eig.mech(b)'!M66</f>
        <v>0.26867479568181474</v>
      </c>
      <c r="J56" s="2371">
        <f>'6)GS 5Nutz.eig.mech.(b)'!M66</f>
        <v>0.24081564636440275</v>
      </c>
      <c r="K56" s="2374">
        <f>'7)GS3Nutz.Fremdmech(b)'!M66</f>
        <v>0.26166141401040294</v>
      </c>
      <c r="L56" s="2374">
        <f>'8)GS4Nutz.Fremdmech(b)'!M66</f>
        <v>0.24470566103730121</v>
      </c>
      <c r="M56" s="2374">
        <f>'9)GS 5Nutz.Fremd(b)'!M66</f>
        <v>0.22917514130662331</v>
      </c>
      <c r="N56" s="2370">
        <f>'10) GS 3Nutz. Ballensil.(b)'!M66</f>
        <v>0.28972808118302612</v>
      </c>
      <c r="O56" s="2372">
        <f>'11)Heu 2Nutz.-(b)'!M66</f>
        <v>0.28617910380255429</v>
      </c>
      <c r="P56" s="2374">
        <f>'12)Heu 3Nutz.(b)'!M66</f>
        <v>0.27630507050404107</v>
      </c>
      <c r="Q56" s="2375">
        <f>'13)Grascobs 5Nutz.(b)'!M66</f>
        <v>0.35414139019807883</v>
      </c>
      <c r="R56" s="2371">
        <f>'14)Weide_ext.(b)'!M66</f>
        <v>0.24787789586377032</v>
      </c>
      <c r="S56" s="2374">
        <f>'15)Weide int. 4Nutz.(b)'!M66</f>
        <v>0.20955745879833582</v>
      </c>
      <c r="T56" s="2372">
        <f>'17)Kleegras-GrünFu-Eig.mech(b)'!M66</f>
        <v>0.15410486376984828</v>
      </c>
      <c r="U56" s="2371">
        <f>'18)Kleegrassi-Fremnernt(b)'!M66</f>
        <v>0.21025159714985961</v>
      </c>
      <c r="V56" s="2373">
        <f>'19)LuzerneSil-Fremdernte(b)'!M66</f>
        <v>0.19679491111099692</v>
      </c>
      <c r="W56" s="2374">
        <f>'20)Silomais int(b)'!$M62</f>
        <v>0.21904323908170895</v>
      </c>
      <c r="X56" s="2371">
        <f>'20)Silomais int(b)'!$N62</f>
        <v>0.17185856008458328</v>
      </c>
      <c r="Y56" s="2376">
        <f>'20)Silomais int(b)'!$O62</f>
        <v>0.1581526044144993</v>
      </c>
      <c r="Z56" s="2372">
        <f>'21)Futterrüben(b)'!$M62</f>
        <v>0.28021729620328167</v>
      </c>
      <c r="AA56" s="2371">
        <f>'21)Futterrüben(b)'!$N62</f>
        <v>0.23353268984761461</v>
      </c>
      <c r="AB56" s="2373">
        <f>'21)Futterrüben(b)'!$O62</f>
        <v>0.21843600033836638</v>
      </c>
      <c r="AC56" s="2377">
        <f>'22)ZWF-Raps-(b)'!M62</f>
        <v>9.7283909459089449E-2</v>
      </c>
      <c r="AD56" s="2371">
        <f>'22)ZWF-Raps-(b)'!N62</f>
        <v>0.10412259023279551</v>
      </c>
      <c r="AE56" s="2378">
        <f>'22)ZWF-Raps-(b)'!O62</f>
        <v>0.10900736221401419</v>
      </c>
      <c r="AF56" s="2784"/>
      <c r="AG56" s="2374">
        <f>'23)GPS-(b)'!M62</f>
        <v>0.25340130165972147</v>
      </c>
      <c r="AH56" s="2371">
        <f>'23)GPS-(b)'!N62</f>
        <v>0.19863978243635622</v>
      </c>
      <c r="AI56" s="2373">
        <f>'23)GPS-(b)'!O62</f>
        <v>0.18574849665163826</v>
      </c>
      <c r="AJ56" s="2374">
        <f>'24)Mais LKS-(b)'!M62</f>
        <v>0.20899977021622082</v>
      </c>
      <c r="AK56" s="2371">
        <f>'24)Mais LKS-(b)'!N62</f>
        <v>0.16718870064574251</v>
      </c>
      <c r="AL56" s="2373">
        <f>'24)Mais LKS-(b)'!O62</f>
        <v>0.15579402937830453</v>
      </c>
      <c r="AM56" s="2374">
        <f>'25)Mais CCM-(b)'!M62</f>
        <v>0.18906095494461742</v>
      </c>
      <c r="AN56" s="2371">
        <f>'25)Mais CCM-(b)'!N62</f>
        <v>0.14818721204996496</v>
      </c>
      <c r="AO56" s="2373">
        <f>'25)Mais CCM-(b)'!O62</f>
        <v>0.13808593545806885</v>
      </c>
      <c r="AP56" s="2372">
        <f>'26)M(ais feucht-b)'!$M62</f>
        <v>0.22292477463793162</v>
      </c>
      <c r="AQ56" s="2371">
        <f>'26)M(ais feucht-b)'!$N62</f>
        <v>0.17588097891641163</v>
      </c>
      <c r="AR56" s="2373">
        <f>'26)M(ais feucht-b)'!$O62</f>
        <v>0.16294124452579095</v>
      </c>
      <c r="AS56" s="2372">
        <f>'27)Silomais Biogas ab Feld-(b)'!M62</f>
        <v>12.082832269261617</v>
      </c>
      <c r="AT56" s="2371">
        <f>'27)Silomais Biogas ab Feld-(b)'!N62</f>
        <v>8.1090429162645048</v>
      </c>
      <c r="AU56" s="2373">
        <f>'27)Silomais Biogas ab Feld-(b)'!O62</f>
        <v>7.0656336532580895</v>
      </c>
      <c r="AV56" s="2374">
        <f>'28)Silomais Biogas ex Silo (b)'!M62</f>
        <v>17.137336782498167</v>
      </c>
      <c r="AW56" s="2371">
        <f>'28)Silomais Biogas ex Silo (b)'!N62</f>
        <v>14.72205326577987</v>
      </c>
      <c r="AX56" s="2373">
        <f>'28)Silomais Biogas ex Silo (b)'!O62</f>
        <v>13.035009097620195</v>
      </c>
      <c r="AY56" s="2374">
        <f>'29)Triticale-GPS Biogas Feld(b)'!M62</f>
        <v>13.121761545285466</v>
      </c>
      <c r="AZ56" s="2371">
        <f>'29)Triticale-GPS Biogas Feld(b)'!N62</f>
        <v>9.0449946426477723</v>
      </c>
      <c r="BA56" s="2373">
        <f>'29)Triticale-GPS Biogas Feld(b)'!O62</f>
        <v>8.0821671931324399</v>
      </c>
      <c r="BB56" s="2374">
        <f>'30)Tritic-GPS Biogas ex Silo(b)'!M62</f>
        <v>18.592699996494609</v>
      </c>
      <c r="BC56" s="2371">
        <f>'30)Tritic-GPS Biogas ex Silo(b)'!N62</f>
        <v>16.140596749523851</v>
      </c>
      <c r="BD56" s="2373">
        <f>'30)Tritic-GPS Biogas ex Silo(b)'!O62</f>
        <v>13.003195517905876</v>
      </c>
      <c r="BE56" s="2378">
        <f>'33)Kleegrassil 4N Biogas aF(b)'!M62</f>
        <v>16.219733406427508</v>
      </c>
      <c r="BF56" s="2373">
        <f>'33)Kleegrassil 4N Biogas aF(b)'!N62</f>
        <v>9.9745057953770768</v>
      </c>
      <c r="BG56" s="2373">
        <f>'33)Kleegrassil 4N Biogas aF(b)'!O62</f>
        <v>8.7460969443695138</v>
      </c>
      <c r="BH56" s="2373">
        <f>'34)Kleegrassil 4N Biog ex S(b)'!M62</f>
        <v>25.516976276438335</v>
      </c>
      <c r="BI56" s="2373">
        <f>'34)Kleegrassil 4N Biog ex S(b)'!N62</f>
        <v>18.903552650939726</v>
      </c>
      <c r="BJ56" s="2373">
        <f>'34)Kleegrassil 4N Biog ex S(b)'!O62</f>
        <v>17.053802449608977</v>
      </c>
      <c r="BK56" s="2375">
        <f>'36)GS 3Nutz. Biogas Feld-(b)'!M63</f>
        <v>441.59830675139085</v>
      </c>
      <c r="BL56" s="2375">
        <f>'37)GS 3Nutz. Biogas ex Silo (b)'!M63</f>
        <v>1213.5465980528024</v>
      </c>
      <c r="BM56" s="2373">
        <f>'40)GrünroggenVFBiogas ex S(b)'!M62</f>
        <v>14.312542776975963</v>
      </c>
      <c r="BN56" s="2373">
        <f>'40)GrünroggenVFBiogas ex S(b)'!N62</f>
        <v>13.36815242331407</v>
      </c>
      <c r="BO56" s="2373">
        <f>'40)GrünroggenVFBiogas ex S(b)'!O62</f>
        <v>12.693587884984147</v>
      </c>
      <c r="BP56" s="2373">
        <f>'42)Grürog.+Silom. Biog ex S(b)'!M62</f>
        <v>17.296140306262739</v>
      </c>
      <c r="BQ56" s="2373">
        <f>'42)Grürog.+Silom. Biog ex S(b)'!N62</f>
        <v>14.34837554391248</v>
      </c>
      <c r="BR56" s="2373">
        <f>'42)Grürog.+Silom. Biog ex S(b)'!O62</f>
        <v>13.192881989211937</v>
      </c>
      <c r="BS56" s="2373">
        <f>'44)Sudangras HF Biogas ex S(b)'!M62</f>
        <v>24.305337627160885</v>
      </c>
      <c r="BT56" s="2373">
        <f>'44)Sudangras HF Biogas ex S(b)'!M62</f>
        <v>24.305337627160885</v>
      </c>
      <c r="BU56" s="2373">
        <f>'44)Sudangras HF Biogas ex S(b)'!M62</f>
        <v>24.305337627160885</v>
      </c>
      <c r="BV56" s="2373">
        <f>'51) GPS Weidelgras Biog aF (b)'!M62</f>
        <v>15.996081229884378</v>
      </c>
      <c r="BW56" s="2373">
        <f>'51) GPS Weidelgras Biog aF (b)'!M62</f>
        <v>15.996081229884378</v>
      </c>
      <c r="BX56" s="2373">
        <f>'51) GPS Weidelgras Biog aF (b)'!M62</f>
        <v>15.996081229884378</v>
      </c>
      <c r="BY56" s="2373">
        <f>'48)Zuhirse HF Biogas ex S(b)'!M62</f>
        <v>23.349539686373383</v>
      </c>
      <c r="BZ56" s="2373">
        <f>'48)Zuhirse HF Biogas ex S(b)'!M62</f>
        <v>23.349539686373383</v>
      </c>
      <c r="CA56" s="2373">
        <f>'48)Zuhirse HF Biogas ex S(b)'!M62</f>
        <v>23.349539686373383</v>
      </c>
      <c r="CB56" s="2373">
        <f>'46)GPS+Sudangr Biogas ex S(b)'!M62</f>
        <v>16.182171839422335</v>
      </c>
      <c r="CC56" s="2373">
        <f>'46)GPS+Sudangr Biogas ex S(b)'!N62</f>
        <v>13.81554782651108</v>
      </c>
      <c r="CD56" s="2373">
        <f>'46)GPS+Sudangr Biogas ex S(b)'!O62</f>
        <v>13.231343825174704</v>
      </c>
      <c r="CE56" s="2373">
        <f>'48)Zuhirse HF Biogas ex S(b)'!M62</f>
        <v>23.349539686373383</v>
      </c>
      <c r="CF56" s="2373">
        <f>'48)Zuhirse HF Biogas ex S(b)'!N62</f>
        <v>16.982769882438859</v>
      </c>
      <c r="CG56" s="2373">
        <f>'48)Zuhirse HF Biogas ex S(b)'!O62</f>
        <v>15.016264060627419</v>
      </c>
      <c r="CH56" s="2373">
        <f>'54)Dw. Silphie Biogas ex S(b)'!M62</f>
        <v>23.877838614494795</v>
      </c>
      <c r="CI56" s="2373">
        <f>'54)Dw. Silphie Biogas ex S(b)'!N62</f>
        <v>17.005066739375373</v>
      </c>
      <c r="CJ56" s="2373">
        <f>'54)Dw. Silphie Biogas ex S(b)'!O62</f>
        <v>15.437174437003288</v>
      </c>
    </row>
    <row r="57" spans="1:88" ht="18.2" customHeight="1" x14ac:dyDescent="0.2">
      <c r="A57" s="2106"/>
      <c r="B57" s="2434" t="s">
        <v>761</v>
      </c>
      <c r="C57" s="2570"/>
      <c r="D57" s="2455" t="s">
        <v>266</v>
      </c>
      <c r="E57" s="2435">
        <f>'1)Grünf. 3Nutz.(b)'!M68</f>
        <v>538.8354251997913</v>
      </c>
      <c r="F57" s="2436">
        <f>'2)Grünf. 4Nutz.(b)'!$M$68</f>
        <v>696.6843478559648</v>
      </c>
      <c r="G57" s="2437">
        <f>'3)Grünf. 5Nutz.(b)'!$M$68</f>
        <v>1059.4944683550325</v>
      </c>
      <c r="H57" s="2438">
        <f>'4)GS 3Nutz.eig.mech.(b)'!$M$68</f>
        <v>581.05294328197965</v>
      </c>
      <c r="I57" s="2439">
        <f>'5)GS 4Nutz.eig.mech(b)'!$M$68</f>
        <v>738.97440333119391</v>
      </c>
      <c r="J57" s="2436">
        <f>'6)GS 5Nutz.eig.mech.(b)'!$M$68</f>
        <v>1101.0849445568024</v>
      </c>
      <c r="K57" s="2439">
        <f>'7)GS3Nutz.Fremdmech(b)'!$M$68</f>
        <v>582.2725902426638</v>
      </c>
      <c r="L57" s="3693">
        <f>'8)GS4Nutz.Fremdmech(b)'!M68</f>
        <v>740.7206046840148</v>
      </c>
      <c r="M57" s="2439">
        <f>'9)GS 5Nutz.Fremd(b)'!$M$68</f>
        <v>1103.2767728883709</v>
      </c>
      <c r="N57" s="2435">
        <f>'10) GS 3Nutz. Ballensil.(b)'!$M$68</f>
        <v>541.77325359259135</v>
      </c>
      <c r="O57" s="2438">
        <f>'11)Heu 2Nutz.-(b)'!$M$68</f>
        <v>327.13815885582687</v>
      </c>
      <c r="P57" s="2439">
        <f>'12)Heu 3Nutz.(b)'!$M$68</f>
        <v>569.52754962249026</v>
      </c>
      <c r="Q57" s="2440">
        <f>'13)Grascobs 5Nutz.(b)'!$M$68</f>
        <v>1079.7321370764846</v>
      </c>
      <c r="R57" s="2436">
        <f>'14)Weide_ext.(b)'!$M$68</f>
        <v>382.23921178518248</v>
      </c>
      <c r="S57" s="2439">
        <f>'15)Weide int. 4Nutz.(b)'!$M$68</f>
        <v>678.80451928511241</v>
      </c>
      <c r="T57" s="2438">
        <f>'17)Kleegras-GrünFu-Eig.mech(b)'!$M$68</f>
        <v>746.79667111402523</v>
      </c>
      <c r="U57" s="2436">
        <f>'18)Kleegrassi-Fremnernt(b)'!$M$68</f>
        <v>791.58694670888769</v>
      </c>
      <c r="V57" s="2437">
        <f>'19)LuzerneSil-Fremdernte(b)'!$M$68</f>
        <v>528.94542708909614</v>
      </c>
      <c r="W57" s="2439">
        <f>'20)Silomais int(b)'!$M64</f>
        <v>958.52530170531054</v>
      </c>
      <c r="X57" s="2436">
        <f>'20)Silomais int(b)'!$N64</f>
        <v>1083.1499353088846</v>
      </c>
      <c r="Y57" s="2441">
        <f>'20)Silomais int(b)'!$O64</f>
        <v>1207.3900984974587</v>
      </c>
      <c r="Z57" s="2438">
        <f>'21)Futterrüben(b)'!$M64</f>
        <v>1256.1395313371659</v>
      </c>
      <c r="AA57" s="2436">
        <f>'21)Futterrüben(b)'!$N64</f>
        <v>1394.9361927713251</v>
      </c>
      <c r="AB57" s="2437">
        <f>'21)Futterrüben(b)'!$O64</f>
        <v>1533.7328542054843</v>
      </c>
      <c r="AC57" s="2442">
        <f>'22)ZWF-Raps-(b)'!M64</f>
        <v>222.86956605360416</v>
      </c>
      <c r="AD57" s="2436">
        <f>'22)ZWF-Raps-(b)'!N64</f>
        <v>264.03115926308328</v>
      </c>
      <c r="AE57" s="2443">
        <f>'22)ZWF-Raps-(b)'!O64</f>
        <v>311.0729800739166</v>
      </c>
      <c r="AF57" s="2777"/>
      <c r="AG57" s="2439">
        <f>'23)GPS-(b)'!M64</f>
        <v>609.44135969385491</v>
      </c>
      <c r="AH57" s="2436">
        <f>'23)GPS-(b)'!N64</f>
        <v>720.09869456869899</v>
      </c>
      <c r="AI57" s="2437">
        <f>'23)GPS-(b)'!O64</f>
        <v>794.94677370604313</v>
      </c>
      <c r="AJ57" s="2439">
        <f>'24)Mais LKS-(b)'!M64</f>
        <v>815.4105944461395</v>
      </c>
      <c r="AK57" s="2436">
        <f>'24)Mais LKS-(b)'!N64</f>
        <v>883.32906999878412</v>
      </c>
      <c r="AL57" s="2437">
        <f>'24)Mais LKS-(b)'!O64</f>
        <v>951.24754555142863</v>
      </c>
      <c r="AM57" s="2439">
        <f>'25)Mais CCM-(b)'!M64</f>
        <v>808.25780958663574</v>
      </c>
      <c r="AN57" s="2436">
        <f>'25)Mais CCM-(b)'!N64</f>
        <v>882.68201452535118</v>
      </c>
      <c r="AO57" s="2437">
        <f>'25)Mais CCM-(b)'!O64</f>
        <v>957.10621946406684</v>
      </c>
      <c r="AP57" s="2438">
        <f>'26)M(ais feucht-b)'!$M64</f>
        <v>670.34916550183937</v>
      </c>
      <c r="AQ57" s="2436">
        <f>'26)M(ais feucht-b)'!$N64</f>
        <v>739.30540959371376</v>
      </c>
      <c r="AR57" s="2437">
        <f>'26)M(ais feucht-b)'!$O64</f>
        <v>808.27578493558804</v>
      </c>
      <c r="AS57" s="2438">
        <f>'27)Silomais Biogas ab Feld-(b)'!M64</f>
        <v>403.60567608249391</v>
      </c>
      <c r="AT57" s="2436">
        <f>'27)Silomais Biogas ab Feld-(b)'!N64</f>
        <v>429.092559635903</v>
      </c>
      <c r="AU57" s="2437">
        <f>'27)Silomais Biogas ab Feld-(b)'!O64</f>
        <v>454.57944318931203</v>
      </c>
      <c r="AV57" s="2439">
        <f>'28)Silomais Biogas ex Silo (b)'!M64</f>
        <v>465.58209399764951</v>
      </c>
      <c r="AW57" s="2436">
        <f>'28)Silomais Biogas ex Silo (b)'!N64</f>
        <v>491.4332566445795</v>
      </c>
      <c r="AX57" s="2437">
        <f>'28)Silomais Biogas ex Silo (b)'!O64</f>
        <v>517.28274193704533</v>
      </c>
      <c r="AY57" s="2439">
        <f>'29)Triticale-GPS Biogas Feld(b)'!M64</f>
        <v>222.31332666156999</v>
      </c>
      <c r="AZ57" s="2436">
        <f>'29)Triticale-GPS Biogas Feld(b)'!N64</f>
        <v>281.21802640094512</v>
      </c>
      <c r="BA57" s="2437">
        <f>'29)Triticale-GPS Biogas Feld(b)'!O64</f>
        <v>304.49896051531994</v>
      </c>
      <c r="BB57" s="2439">
        <f>'30)Tritic-GPS Biogas ex Silo(b)'!M64</f>
        <v>283.95591171990651</v>
      </c>
      <c r="BC57" s="2436">
        <f>'30)Tritic-GPS Biogas ex Silo(b)'!N64</f>
        <v>322.76609097094888</v>
      </c>
      <c r="BD57" s="2437">
        <f>'30)Tritic-GPS Biogas ex Silo(b)'!O64</f>
        <v>356.48716084699106</v>
      </c>
      <c r="BE57" s="2443">
        <f>'33)Kleegrassil 4N Biogas aF(b)'!M64</f>
        <v>123.55412338929499</v>
      </c>
      <c r="BF57" s="2437">
        <f>'33)Kleegrassil 4N Biogas aF(b)'!N64</f>
        <v>75.779115033044945</v>
      </c>
      <c r="BG57" s="2437">
        <f>'33)Kleegrassil 4N Biogas aF(b)'!O64</f>
        <v>89.146498083045117</v>
      </c>
      <c r="BH57" s="2437">
        <f>'34)Kleegrassil 4N Biog ex S(b)'!M64</f>
        <v>175.08730520120571</v>
      </c>
      <c r="BI57" s="2437">
        <f>'34)Kleegrassil 4N Biog ex S(b)'!N64</f>
        <v>127.64429007447981</v>
      </c>
      <c r="BJ57" s="2437">
        <f>'34)Kleegrassil 4N Biog ex S(b)'!O64</f>
        <v>141.34366635400391</v>
      </c>
      <c r="BK57" s="2440">
        <f>'36)GS 3Nutz. Biogas Feld-(b)'!$M$69</f>
        <v>79.801972426912229</v>
      </c>
      <c r="BL57" s="2440">
        <f>'37)GS 3Nutz. Biogas ex Silo (b)'!$M$69</f>
        <v>124.07494701706288</v>
      </c>
      <c r="BM57" s="2437">
        <f>'40)GrünroggenVFBiogas ex S(b)'!M64</f>
        <v>191.92610242123303</v>
      </c>
      <c r="BN57" s="2437">
        <f>'40)GrünroggenVFBiogas ex S(b)'!N64</f>
        <v>198.70536224408767</v>
      </c>
      <c r="BO57" s="2437">
        <f>'40)GrünroggenVFBiogas ex S(b)'!O64</f>
        <v>205.48462206694222</v>
      </c>
      <c r="BP57" s="2437">
        <f>'42)Grürog.+Silom. Biog ex S(b)'!M64</f>
        <v>610.98947539922437</v>
      </c>
      <c r="BQ57" s="2437">
        <f>'42)Grürog.+Silom. Biog ex S(b)'!N64</f>
        <v>627.52061932129823</v>
      </c>
      <c r="BR57" s="2437">
        <f>'42)Grürog.+Silom. Biog ex S(b)'!O64</f>
        <v>650.41006331052324</v>
      </c>
      <c r="BS57" s="2437">
        <f>'44)Sudangras HF Biogas ex S(b)'!M64</f>
        <v>251.99241192511568</v>
      </c>
      <c r="BT57" s="2437">
        <f>'44)Sudangras HF Biogas ex S(b)'!N64</f>
        <v>272.12610430074187</v>
      </c>
      <c r="BU57" s="2437">
        <f>'44)Sudangras HF Biogas ex S(b)'!O64</f>
        <v>292.25979667636807</v>
      </c>
      <c r="BV57" s="2437">
        <f>'51) GPS Weidelgras Biog aF (b)'!M64</f>
        <v>467.41894675212001</v>
      </c>
      <c r="BW57" s="2437">
        <f>'51) GPS Weidelgras Biog aF (b)'!N64</f>
        <v>496.36507631149516</v>
      </c>
      <c r="BX57" s="2437">
        <f>'51) GPS Weidelgras Biog aF (b)'!O64</f>
        <v>525.31120587087003</v>
      </c>
      <c r="BY57" s="2437">
        <f>'48)Zuhirse HF Biogas ex S(b)'!M64</f>
        <v>354.29710587199071</v>
      </c>
      <c r="BZ57" s="2437">
        <f>'48)Zuhirse HF Biogas ex S(b)'!N64</f>
        <v>382.73303455667934</v>
      </c>
      <c r="CA57" s="2437">
        <f>'48)Zuhirse HF Biogas ex S(b)'!O64</f>
        <v>411.16896324136809</v>
      </c>
      <c r="CB57" s="2437">
        <f>'46)GPS+Sudangr Biogas ex S(b)'!M64</f>
        <v>452.38385066200414</v>
      </c>
      <c r="CC57" s="2437">
        <f>'46)GPS+Sudangr Biogas ex S(b)'!N64</f>
        <v>511.4498052358623</v>
      </c>
      <c r="CD57" s="2437">
        <f>'46)GPS+Sudangr Biogas ex S(b)'!O64</f>
        <v>534.89199418472072</v>
      </c>
      <c r="CE57" s="2437">
        <f>'48)Zuhirse HF Biogas ex S(b)'!M64</f>
        <v>354.29710587199071</v>
      </c>
      <c r="CF57" s="2437">
        <f>'48)Zuhirse HF Biogas ex S(b)'!N64</f>
        <v>382.73303455667934</v>
      </c>
      <c r="CG57" s="2437">
        <f>'48)Zuhirse HF Biogas ex S(b)'!O64</f>
        <v>411.16896324136809</v>
      </c>
      <c r="CH57" s="2437">
        <f>'54)Dw. Silphie Biogas ex S(b)'!M64</f>
        <v>243.76739513905545</v>
      </c>
      <c r="CI57" s="2437">
        <f>'54)Dw. Silphie Biogas ex S(b)'!N64</f>
        <v>258.39185024218165</v>
      </c>
      <c r="CJ57" s="2437">
        <f>'54)Dw. Silphie Biogas ex S(b)'!O64</f>
        <v>273.0163053453079</v>
      </c>
    </row>
    <row r="58" spans="1:88" ht="18.2" customHeight="1" x14ac:dyDescent="0.2">
      <c r="A58" s="2106"/>
      <c r="B58" s="2444"/>
      <c r="C58" s="2571"/>
      <c r="D58" s="2456" t="s">
        <v>266</v>
      </c>
      <c r="E58" s="2445"/>
      <c r="F58" s="2446"/>
      <c r="G58" s="2447"/>
      <c r="H58" s="2448"/>
      <c r="I58" s="2449"/>
      <c r="J58" s="2446"/>
      <c r="K58" s="2449"/>
      <c r="L58" s="2449"/>
      <c r="M58" s="2449"/>
      <c r="N58" s="2445"/>
      <c r="O58" s="2448"/>
      <c r="P58" s="2449"/>
      <c r="Q58" s="2450"/>
      <c r="R58" s="2446"/>
      <c r="S58" s="2449"/>
      <c r="T58" s="2448"/>
      <c r="U58" s="2446"/>
      <c r="V58" s="2447"/>
      <c r="W58" s="2449"/>
      <c r="X58" s="2446"/>
      <c r="Y58" s="2451"/>
      <c r="Z58" s="2448"/>
      <c r="AA58" s="2446"/>
      <c r="AB58" s="2447"/>
      <c r="AC58" s="2452"/>
      <c r="AD58" s="2446"/>
      <c r="AE58" s="2453"/>
      <c r="AF58" s="2777"/>
      <c r="AG58" s="2449"/>
      <c r="AH58" s="2446"/>
      <c r="AI58" s="2447"/>
      <c r="AJ58" s="2449"/>
      <c r="AK58" s="2446"/>
      <c r="AL58" s="2447"/>
      <c r="AM58" s="2449"/>
      <c r="AN58" s="2446"/>
      <c r="AO58" s="2447"/>
      <c r="AP58" s="2448"/>
      <c r="AQ58" s="2446"/>
      <c r="AR58" s="2447"/>
      <c r="AS58" s="2448"/>
      <c r="AT58" s="2446"/>
      <c r="AU58" s="2447"/>
      <c r="AV58" s="2449"/>
      <c r="AW58" s="2446"/>
      <c r="AX58" s="2447"/>
      <c r="AY58" s="2449"/>
      <c r="AZ58" s="2446"/>
      <c r="BA58" s="2447"/>
      <c r="BB58" s="2449"/>
      <c r="BC58" s="2446"/>
      <c r="BD58" s="2447"/>
      <c r="BE58" s="2453"/>
      <c r="BF58" s="2447"/>
      <c r="BG58" s="2447"/>
      <c r="BH58" s="2447"/>
      <c r="BI58" s="2447"/>
      <c r="BJ58" s="2447"/>
      <c r="BK58" s="2450"/>
      <c r="BL58" s="2450"/>
      <c r="BM58" s="2447"/>
      <c r="BN58" s="2447"/>
      <c r="BO58" s="2447"/>
      <c r="BP58" s="2447"/>
      <c r="BQ58" s="2447"/>
      <c r="BR58" s="2447"/>
      <c r="BS58" s="2447"/>
      <c r="BT58" s="2447"/>
      <c r="BU58" s="2447"/>
      <c r="BV58" s="2447"/>
      <c r="BW58" s="2447"/>
      <c r="BX58" s="2447"/>
      <c r="BY58" s="2447"/>
      <c r="BZ58" s="2447"/>
      <c r="CA58" s="2447"/>
      <c r="CB58" s="2447"/>
      <c r="CC58" s="2447"/>
      <c r="CD58" s="2447"/>
      <c r="CE58" s="2447"/>
      <c r="CF58" s="2447"/>
      <c r="CG58" s="2447"/>
      <c r="CH58" s="2447"/>
      <c r="CI58" s="2447"/>
      <c r="CJ58" s="2447"/>
    </row>
    <row r="59" spans="1:88" ht="18.2" customHeight="1" thickBot="1" x14ac:dyDescent="0.25">
      <c r="A59" s="2106"/>
      <c r="B59" s="2454" t="s">
        <v>762</v>
      </c>
      <c r="C59" s="2572"/>
      <c r="D59" s="2457" t="s">
        <v>266</v>
      </c>
      <c r="E59" s="2766">
        <f>'1)Grünf. 3Nutz.(b)'!M70</f>
        <v>840.47007075029683</v>
      </c>
      <c r="F59" s="2760">
        <f>'2)Grünf. 4Nutz.(b)'!$M$70</f>
        <v>926.2329886547368</v>
      </c>
      <c r="G59" s="2761">
        <f>'3)Grünf. 5Nutz.(b)'!$M$70</f>
        <v>1279.7969985055367</v>
      </c>
      <c r="H59" s="2759">
        <f>'4)GS 3Nutz.eig.mech.(b)'!$M$70</f>
        <v>1171.1869077316037</v>
      </c>
      <c r="I59" s="2762">
        <f>'5)GS 4Nutz.eig.mech(b)'!$M$70</f>
        <v>1300.5202809251487</v>
      </c>
      <c r="J59" s="2760">
        <f>'6)GS 5Nutz.eig.mech.(b)'!$M$70</f>
        <v>1429.4678759618603</v>
      </c>
      <c r="K59" s="2762">
        <f>'7)GS3Nutz.Fremdmech(b)'!$M$70</f>
        <v>912.60104090955997</v>
      </c>
      <c r="L59" s="2762">
        <f>'8)GS4Nutz.Fremdmech(b)'!$M$70</f>
        <v>1104.5305194424</v>
      </c>
      <c r="M59" s="2762">
        <f>'9)GS 5Nutz.Fremd(b)'!$M$70</f>
        <v>1298.2927038060002</v>
      </c>
      <c r="N59" s="2766">
        <f>'10) GS 3Nutz. Ballensil.(b)'!$M$70</f>
        <v>1192.2221768979598</v>
      </c>
      <c r="O59" s="2759">
        <f>'11)Heu 2Nutz.-(b)'!$M$70</f>
        <v>878.45750990009276</v>
      </c>
      <c r="P59" s="2762">
        <f>'12)Heu 3Nutz.(b)'!$M$70</f>
        <v>1141.7291548578191</v>
      </c>
      <c r="Q59" s="2767">
        <f>'13)Grascobs 5Nutz.(b)'!$M$70</f>
        <v>3352.3473856045584</v>
      </c>
      <c r="R59" s="2760">
        <f>'14)Weide_ext.(b)'!$M$70</f>
        <v>674.7393446801259</v>
      </c>
      <c r="S59" s="2762">
        <f>'15)Weide int. 4Nutz.(b)'!$M$70</f>
        <v>739.96828466892589</v>
      </c>
      <c r="T59" s="2759">
        <f>'17)Kleegras-GrünFu-Eig.mech(b)'!$M$70</f>
        <v>989.45901616072001</v>
      </c>
      <c r="U59" s="2760">
        <f>'18)Kleegrassi-Fremnernt(b)'!$M$70</f>
        <v>1392.03420508872</v>
      </c>
      <c r="V59" s="2761">
        <f>'19)LuzerneSil-Fremdernte(b)'!$M$70</f>
        <v>1392.03420508872</v>
      </c>
      <c r="W59" s="2762">
        <f>'20)Silomais int(b)'!$M66</f>
        <v>1485.8395764057977</v>
      </c>
      <c r="X59" s="2760">
        <f>'20)Silomais int(b)'!$N66</f>
        <v>1541.0351597391314</v>
      </c>
      <c r="Y59" s="2769">
        <f>'20)Silomais int(b)'!$O66</f>
        <v>1618.1792985776494</v>
      </c>
      <c r="Z59" s="2759">
        <f>'21)Futterrüben(b)'!$M66</f>
        <v>1731.1069591385092</v>
      </c>
      <c r="AA59" s="2760">
        <f>'21)Futterrüben(b)'!$N66</f>
        <v>1806.5234680142489</v>
      </c>
      <c r="AB59" s="2761">
        <f>'21)Futterrüben(b)'!$O66</f>
        <v>1915.7407560260833</v>
      </c>
      <c r="AC59" s="2770">
        <f>'22)ZWF-Raps-(b)'!M66</f>
        <v>319.41721126000004</v>
      </c>
      <c r="AD59" s="2760">
        <f>'22)ZWF-Raps-(b)'!N66</f>
        <v>338.32814875999998</v>
      </c>
      <c r="AE59" s="2771">
        <f>'22)ZWF-Raps-(b)'!O66</f>
        <v>393.86639515999997</v>
      </c>
      <c r="AF59" s="2785"/>
      <c r="AG59" s="2762">
        <f>'23)GPS-(b)'!M66</f>
        <v>1220.6099183344579</v>
      </c>
      <c r="AH59" s="2760">
        <f>'23)GPS-(b)'!N66</f>
        <v>1261.5211120844581</v>
      </c>
      <c r="AI59" s="2761">
        <f>'23)GPS-(b)'!O66</f>
        <v>1317.8290608095244</v>
      </c>
      <c r="AJ59" s="2762">
        <f>'24)Mais LKS-(b)'!M66</f>
        <v>1358.418091439708</v>
      </c>
      <c r="AK59" s="2760">
        <f>'24)Mais LKS-(b)'!N66</f>
        <v>1396.5247789397079</v>
      </c>
      <c r="AL59" s="2761">
        <f>'24)Mais LKS-(b)'!O66</f>
        <v>1446.4751241128361</v>
      </c>
      <c r="AM59" s="2762">
        <f>'25)Mais CCM-(b)'!M66</f>
        <v>1102.2892588571326</v>
      </c>
      <c r="AN59" s="2760">
        <f>'25)Mais CCM-(b)'!N66</f>
        <v>1145.1135088571325</v>
      </c>
      <c r="AO59" s="2761">
        <f>'25)Mais CCM-(b)'!O66</f>
        <v>1197.7134763016193</v>
      </c>
      <c r="AP59" s="2448">
        <f>'26)M(ais feucht-b)'!$M66</f>
        <v>1478.7077872694847</v>
      </c>
      <c r="AQ59" s="2446">
        <f>'26)M(ais feucht-b)'!$N66</f>
        <v>1562.538279577177</v>
      </c>
      <c r="AR59" s="2761">
        <f>'26)M(ais feucht-b)'!$O66</f>
        <v>1655.6807238347744</v>
      </c>
      <c r="AS59" s="2759">
        <f>'27)Silomais Biogas ab Feld-(b)'!M66</f>
        <v>913.65223624994405</v>
      </c>
      <c r="AT59" s="2760">
        <f>'27)Silomais Biogas ab Feld-(b)'!N66</f>
        <v>947.6443157953986</v>
      </c>
      <c r="AU59" s="2761">
        <f>'27)Silomais Biogas ab Feld-(b)'!O66</f>
        <v>981.63639534085314</v>
      </c>
      <c r="AV59" s="2762">
        <f>'28)Silomais Biogas ex Silo (b)'!M66</f>
        <v>1539.6574826381811</v>
      </c>
      <c r="AW59" s="2760">
        <f>'28)Silomais Biogas ex Silo (b)'!N66</f>
        <v>1639.1835621836356</v>
      </c>
      <c r="AX59" s="2761">
        <f>'28)Silomais Biogas ex Silo (b)'!O66</f>
        <v>1761.333919978184</v>
      </c>
      <c r="AY59" s="2762">
        <f>'29)Triticale-GPS Biogas Feld(b)'!M66</f>
        <v>859.23355319379266</v>
      </c>
      <c r="AZ59" s="2760">
        <f>'29)Triticale-GPS Biogas Feld(b)'!N66</f>
        <v>882.30931919379259</v>
      </c>
      <c r="BA59" s="2761">
        <f>'29)Triticale-GPS Biogas Feld(b)'!O66</f>
        <v>905.38508519379263</v>
      </c>
      <c r="BB59" s="2762">
        <f>'30)Tritic-GPS Biogas ex Silo(b)'!M66</f>
        <v>1371.1446093944007</v>
      </c>
      <c r="BC59" s="2760">
        <f>'30)Tritic-GPS Biogas ex Silo(b)'!N66</f>
        <v>1446.8995753944005</v>
      </c>
      <c r="BD59" s="2761">
        <f>'30)Tritic-GPS Biogas ex Silo(b)'!O66</f>
        <v>1546.1162632611686</v>
      </c>
      <c r="BE59" s="2771">
        <f>'33)Kleegrassil 4N Biogas aF(b)'!M66</f>
        <v>985.08531090251984</v>
      </c>
      <c r="BF59" s="2761">
        <f>'33)Kleegrassil 4N Biogas aF(b)'!N66</f>
        <v>1008.4256139025199</v>
      </c>
      <c r="BG59" s="2761">
        <f>'33)Kleegrassil 4N Biogas aF(b)'!O66</f>
        <v>1031.7659169025201</v>
      </c>
      <c r="BH59" s="2761">
        <f>'34)Kleegrassil 4N Biog ex S(b)'!M66</f>
        <v>1975.0599280605109</v>
      </c>
      <c r="BI59" s="2761">
        <f>'34)Kleegrassil 4N Biog ex S(b)'!N66</f>
        <v>2036.8731666684653</v>
      </c>
      <c r="BJ59" s="2761">
        <f>'34)Kleegrassil 4N Biog ex S(b)'!O66</f>
        <v>2133.0340909377837</v>
      </c>
      <c r="BK59" s="2767">
        <f>'36)GS 3Nutz. Biogas Feld-(b)'!$M$71</f>
        <v>433.97633432447856</v>
      </c>
      <c r="BL59" s="2767">
        <f>'37)GS 3Nutz. Biogas ex Silo (b)'!$M$71</f>
        <v>1161.6516510357399</v>
      </c>
      <c r="BM59" s="2761">
        <f>'40)GrünroggenVFBiogas ex S(b)'!M66</f>
        <v>754.57296945402572</v>
      </c>
      <c r="BN59" s="2761">
        <f>'40)GrünroggenVFBiogas ex S(b)'!N66</f>
        <v>811.12081115402566</v>
      </c>
      <c r="BO59" s="2761">
        <f>'40)GrünroggenVFBiogas ex S(b)'!O66</f>
        <v>884.09185816076319</v>
      </c>
      <c r="BP59" s="2761">
        <f>'42)Grürog.+Silom. Biog ex S(b)'!M66</f>
        <v>1959.3297372602667</v>
      </c>
      <c r="BQ59" s="2761">
        <f>'42)Grürog.+Silom. Biog ex S(b)'!N66</f>
        <v>2045.9366462118794</v>
      </c>
      <c r="BR59" s="2761">
        <f>'42)Grürog.+Silom. Biog ex S(b)'!O66</f>
        <v>2191.2144467120511</v>
      </c>
      <c r="BS59" s="2761">
        <f>'44)Sudangras HF Biogas ex S(b)'!M66</f>
        <v>1718.7339085696158</v>
      </c>
      <c r="BT59" s="2761">
        <f>'44)Sudangras HF Biogas ex S(b)'!N66</f>
        <v>1863.8574485696158</v>
      </c>
      <c r="BU59" s="2761">
        <f>'44)Sudangras HF Biogas ex S(b)'!O66</f>
        <v>2029.766717069806</v>
      </c>
      <c r="BV59" s="2761">
        <f>'51) GPS Weidelgras Biog aF (b)'!M66</f>
        <v>1011.8643918901259</v>
      </c>
      <c r="BW59" s="2761">
        <f>'51) GPS Weidelgras Biog aF (b)'!N66</f>
        <v>1047.8210748901261</v>
      </c>
      <c r="BX59" s="2761">
        <f>'51) GPS Weidelgras Biog aF (b)'!O66</f>
        <v>1083.7777578901259</v>
      </c>
      <c r="BY59" s="2761">
        <f>'48)Zuhirse HF Biogas ex S(b)'!M66</f>
        <v>1531.3089085696158</v>
      </c>
      <c r="BZ59" s="2761">
        <f>'48)Zuhirse HF Biogas ex S(b)'!N66</f>
        <v>1655.6074485696158</v>
      </c>
      <c r="CA59" s="2761">
        <f>'48)Zuhirse HF Biogas ex S(b)'!O66</f>
        <v>1800.6917170698059</v>
      </c>
      <c r="CB59" s="2761">
        <f>'46)GPS+Sudangr Biogas ex S(b)'!M66</f>
        <v>2022.9678124340742</v>
      </c>
      <c r="CC59" s="2761">
        <f>'46)GPS+Sudangr Biogas ex S(b)'!N66</f>
        <v>2109.3506169502034</v>
      </c>
      <c r="CD59" s="2761">
        <f>'46)GPS+Sudangr Biogas ex S(b)'!O66</f>
        <v>2222.2224622836511</v>
      </c>
      <c r="CE59" s="2761">
        <f>'48)Zuhirse HF Biogas ex S(b)'!M66</f>
        <v>1531.3089085696158</v>
      </c>
      <c r="CF59" s="2761">
        <f>'48)Zuhirse HF Biogas ex S(b)'!N66</f>
        <v>1655.6074485696158</v>
      </c>
      <c r="CG59" s="2761">
        <f>'48)Zuhirse HF Biogas ex S(b)'!O66</f>
        <v>1800.6917170698059</v>
      </c>
      <c r="CH59" s="2761">
        <f>'54)Dw. Silphie Biogas ex S(b)'!M66</f>
        <v>1258.5273947999895</v>
      </c>
      <c r="CI59" s="2761">
        <f>'54)Dw. Silphie Biogas ex S(b)'!N66</f>
        <v>1384.0941697999892</v>
      </c>
      <c r="CJ59" s="2761">
        <f>'54)Dw. Silphie Biogas ex S(b)'!O66</f>
        <v>1553.6516733001793</v>
      </c>
    </row>
    <row r="60" spans="1:88" s="907" customFormat="1" ht="15.75" customHeight="1" x14ac:dyDescent="0.2">
      <c r="A60" s="1325"/>
      <c r="B60" s="2820" t="s">
        <v>783</v>
      </c>
      <c r="C60" s="2821"/>
      <c r="D60" s="2822"/>
      <c r="E60" s="2763" t="s">
        <v>165</v>
      </c>
      <c r="F60" s="2768"/>
      <c r="G60" s="2764"/>
      <c r="H60" s="2764"/>
      <c r="I60" s="2764"/>
      <c r="J60" s="2764"/>
      <c r="K60" s="2764"/>
      <c r="L60" s="2764"/>
      <c r="M60" s="2764"/>
      <c r="N60" s="2764"/>
      <c r="O60" s="2764"/>
      <c r="P60" s="2764"/>
      <c r="Q60" s="2764"/>
      <c r="R60" s="2764"/>
      <c r="S60" s="2764"/>
      <c r="T60" s="3689" t="s">
        <v>165</v>
      </c>
      <c r="U60" s="2764"/>
      <c r="V60" s="2764"/>
      <c r="W60" s="2764"/>
      <c r="X60" s="2764"/>
      <c r="Y60" s="2764"/>
      <c r="Z60" s="2764"/>
      <c r="AA60" s="2764"/>
      <c r="AB60" s="2764"/>
      <c r="AC60" s="2764"/>
      <c r="AD60" s="2764"/>
      <c r="AE60" s="2764"/>
      <c r="AF60" s="2798"/>
      <c r="AG60" s="2764"/>
      <c r="AH60" s="2764"/>
      <c r="AI60" s="2764"/>
      <c r="AJ60" s="2764"/>
      <c r="AK60" s="2764"/>
      <c r="AL60" s="2764"/>
      <c r="AM60" s="2764"/>
      <c r="AN60" s="2764"/>
      <c r="AO60" s="2764"/>
      <c r="AP60" s="3688"/>
      <c r="AR60" s="2765"/>
      <c r="AS60" s="2797" t="s">
        <v>164</v>
      </c>
      <c r="AT60" s="2764"/>
      <c r="AU60" s="2765"/>
      <c r="AV60" s="2764"/>
      <c r="AW60" s="2764"/>
      <c r="AX60" s="2764"/>
      <c r="AY60" s="2764"/>
      <c r="AZ60" s="2764"/>
      <c r="BA60" s="2764"/>
      <c r="BB60" s="2764"/>
      <c r="BC60" s="2764"/>
      <c r="BD60" s="2764"/>
      <c r="BE60" s="2763"/>
      <c r="BF60" s="2764"/>
      <c r="BG60" s="2764"/>
      <c r="BH60" s="2764"/>
      <c r="BI60" s="2764"/>
      <c r="BJ60" s="2765"/>
      <c r="BK60" s="2797" t="s">
        <v>164</v>
      </c>
      <c r="BL60" s="2765"/>
      <c r="BM60" s="2765"/>
      <c r="BN60" s="2765"/>
      <c r="BO60" s="2765"/>
      <c r="BP60" s="2765"/>
      <c r="BQ60" s="2765"/>
      <c r="BR60" s="2765"/>
      <c r="BS60" s="2765"/>
      <c r="BT60" s="2765"/>
      <c r="BU60" s="2765"/>
      <c r="BV60" s="2765"/>
      <c r="BW60" s="2765"/>
      <c r="BX60" s="2765"/>
      <c r="BY60" s="2765"/>
      <c r="BZ60" s="2765"/>
      <c r="CA60" s="2765"/>
      <c r="CB60" s="2765"/>
      <c r="CC60" s="2765"/>
      <c r="CD60" s="2765"/>
      <c r="CE60" s="2765"/>
      <c r="CF60" s="2765"/>
      <c r="CG60" s="2765"/>
      <c r="CH60" s="2765"/>
      <c r="CI60" s="2765"/>
      <c r="CJ60" s="2765"/>
    </row>
    <row r="61" spans="1:88" ht="15.75" customHeight="1" thickBot="1" x14ac:dyDescent="0.25">
      <c r="B61" s="2646"/>
      <c r="C61" s="2647"/>
      <c r="D61" s="2648"/>
      <c r="E61" s="2793" t="s">
        <v>1457</v>
      </c>
      <c r="F61" s="2794"/>
      <c r="G61" s="2794"/>
      <c r="H61" s="2795"/>
      <c r="I61" s="2794"/>
      <c r="J61" s="2795"/>
      <c r="K61" s="2795"/>
      <c r="L61" s="2795"/>
      <c r="M61" s="2795"/>
      <c r="N61" s="2795"/>
      <c r="O61" s="2795"/>
      <c r="P61" s="2795"/>
      <c r="Q61" s="2795"/>
      <c r="R61" s="2795"/>
      <c r="S61" s="2795"/>
      <c r="T61" s="3690" t="s">
        <v>1457</v>
      </c>
      <c r="U61" s="2795"/>
      <c r="V61" s="2795"/>
      <c r="W61" s="2795"/>
      <c r="X61" s="2795"/>
      <c r="Y61" s="2795"/>
      <c r="Z61" s="2795"/>
      <c r="AA61" s="2795"/>
      <c r="AB61" s="2794"/>
      <c r="AC61" s="2794"/>
      <c r="AD61" s="2794"/>
      <c r="AE61" s="2794"/>
      <c r="AF61" s="2800"/>
      <c r="AG61" s="2794"/>
      <c r="AH61" s="2794"/>
      <c r="AI61" s="2794"/>
      <c r="AJ61" s="2794"/>
      <c r="AK61" s="2794"/>
      <c r="AL61" s="2794"/>
      <c r="AM61" s="2794"/>
      <c r="AN61" s="2794"/>
      <c r="AO61" s="2794"/>
      <c r="AP61" s="3686"/>
      <c r="AQ61" s="3686"/>
      <c r="AR61" s="3687"/>
      <c r="AS61" s="2799" t="s">
        <v>1457</v>
      </c>
      <c r="AT61" s="2794"/>
      <c r="AU61" s="2794"/>
      <c r="AV61" s="2794"/>
      <c r="AW61" s="2794"/>
      <c r="AX61" s="2794"/>
      <c r="AY61" s="2794"/>
      <c r="AZ61" s="2794"/>
      <c r="BA61" s="2794"/>
      <c r="BB61" s="2794"/>
      <c r="BC61" s="2794"/>
      <c r="BD61" s="2794"/>
      <c r="BE61" s="2793"/>
      <c r="BF61" s="2794"/>
      <c r="BG61" s="2794"/>
      <c r="BH61" s="2794"/>
      <c r="BI61" s="2794"/>
      <c r="BJ61" s="2800"/>
      <c r="BK61" s="2799" t="s">
        <v>1457</v>
      </c>
      <c r="BL61" s="2796"/>
      <c r="BM61" s="2796"/>
      <c r="BN61" s="2796"/>
      <c r="BO61" s="2796"/>
      <c r="BP61" s="2796"/>
      <c r="BQ61" s="2796"/>
      <c r="BR61" s="2796"/>
      <c r="BS61" s="2796"/>
      <c r="BT61" s="2796"/>
      <c r="BU61" s="2796"/>
      <c r="BV61" s="2796"/>
      <c r="BW61" s="2796"/>
      <c r="BX61" s="2796"/>
      <c r="BY61" s="2796"/>
      <c r="BZ61" s="2796"/>
      <c r="CA61" s="2796"/>
      <c r="CB61" s="2796"/>
      <c r="CC61" s="2796"/>
      <c r="CD61" s="2796"/>
      <c r="CE61" s="2796"/>
      <c r="CF61" s="2796"/>
      <c r="CG61" s="2796"/>
      <c r="CH61" s="2796"/>
      <c r="CI61" s="2796"/>
      <c r="CJ61" s="2796"/>
    </row>
  </sheetData>
  <sheetProtection sheet="1" objects="1" scenarios="1"/>
  <mergeCells count="26">
    <mergeCell ref="BM3:BO3"/>
    <mergeCell ref="BP3:BR3"/>
    <mergeCell ref="CB3:CD3"/>
    <mergeCell ref="CE3:CG3"/>
    <mergeCell ref="CH3:CJ3"/>
    <mergeCell ref="AV3:AX3"/>
    <mergeCell ref="AY3:BA3"/>
    <mergeCell ref="BB3:BD3"/>
    <mergeCell ref="BE3:BG3"/>
    <mergeCell ref="BH3:BJ3"/>
    <mergeCell ref="E3:G3"/>
    <mergeCell ref="O3:P3"/>
    <mergeCell ref="H3:N3"/>
    <mergeCell ref="R3:S3"/>
    <mergeCell ref="BK2:CA2"/>
    <mergeCell ref="AS2:BJ2"/>
    <mergeCell ref="AG2:AR2"/>
    <mergeCell ref="Z3:AB3"/>
    <mergeCell ref="T2:AE2"/>
    <mergeCell ref="W3:Y3"/>
    <mergeCell ref="AC3:AE3"/>
    <mergeCell ref="AG3:AI3"/>
    <mergeCell ref="AJ3:AL3"/>
    <mergeCell ref="AM3:AO3"/>
    <mergeCell ref="AP3:AR3"/>
    <mergeCell ref="AS3:AU3"/>
  </mergeCells>
  <phoneticPr fontId="0" type="noConversion"/>
  <hyperlinks>
    <hyperlink ref="E4" location="'1)Grünf. 3Nutz.(a)'!A1" display="3 Nutz. "/>
    <hyperlink ref="F4" location="'2)Grünf. 4Nutz.(a)'!A1" display="4 Nutz."/>
    <hyperlink ref="G4" location="'3)Grünf. 5Nutz.(a)'!A1" display="5 Nutz. "/>
    <hyperlink ref="H4" location="'4)GS 3Nutz.eig.mech.(a)'!A1" display="3 Nutz. eigen"/>
    <hyperlink ref="I4" location="'5)GS 4Nutz. eig.mech(a)'!A1" display="4 Nutz. eigen"/>
    <hyperlink ref="J4" location="'6)GS 5Nutz.eig.mech(a)'!A1" display="5 Nutz. eigen"/>
    <hyperlink ref="K4" location="'7)GS 3Nutz.Fremdmech(a)'!A1" display="3 Nutz. Fremd"/>
    <hyperlink ref="L4" location="'8)GS 4Nutz.Fremdmech(a)'!A1" display="4 Nutz. Fremd"/>
    <hyperlink ref="M4" location="'9)GS 5Nutz.Fremdmech(a)'!A1" display="5 Nutz. Fremd"/>
    <hyperlink ref="N4" location="'10) GS 3Nutz. Ballensil-(a)'!A1" display="3 Nutz. Ballen"/>
    <hyperlink ref="O4" location="'11)Heu 2Nutz.-(a)'!A1" display="2 Nutz."/>
    <hyperlink ref="P4" location="'12)Heu 3Nutz.(a)'!A1" display="3 Nutz."/>
    <hyperlink ref="Q4" location="'13)Grascobs 5Nutz.(a)'!A1" display="5 Nutz."/>
    <hyperlink ref="R4" location="'14)Weide ext.(a)'!A1" display="extensiv"/>
    <hyperlink ref="S4" location="'15)Weide int.(a)'!A1" display="intensiv"/>
    <hyperlink ref="T4" location="'18)Kleegrassi-Fremdernt(a)'!A1" display="'18)Kleegrassi-Fremdernt(a)'!A1"/>
    <hyperlink ref="U4" location="'18)Kleegrassi-Fremdernt(a)'!A1" display="'18)Kleegrassi-Fremdernt(a)'!A1"/>
    <hyperlink ref="V4" location="'19)LuzerneSil-Fremdernte(a)'!A1" display="'19)LuzerneSil-Fremdernte(a)'!A1"/>
    <hyperlink ref="W3:Y3" location="'20)Silomais int-(a)'!A1" display="Silomais intensiv"/>
    <hyperlink ref="Z3:AB3" location="'21)Futterrüben-(a)'!A1" display="Futterrüben"/>
    <hyperlink ref="AC3:AE3" location="'22)ZWF-Raps-(a)'!A1" display="'22)ZWF-Raps-(a)'!A1"/>
    <hyperlink ref="AG3:AI3" location="'23)GPS-(a)'!A1" display="GPS Weizen"/>
    <hyperlink ref="AJ3:AL3" location="'24)Mais LKS-(a)'!A1" display="Mais LKS"/>
    <hyperlink ref="AM3:AO3" location="'25)Mais CCM-(a)'!A1" display="Mais CCM"/>
    <hyperlink ref="AP3:AR3" location="'26)Mais feucht-(a)'!A1" display="Feuchtmais"/>
    <hyperlink ref="AS3:AU3" location="'27)Silomais Biogas ab Feld-(a)'!A1" display="Silomais Biogas ab Feld"/>
    <hyperlink ref="AV3:AX3" location="'28)Silomais Biogas ex Silo (a)'!A1" display="Silomais Biogas ex Silo"/>
    <hyperlink ref="AY3:BA3" location="'29)Triticale-GPS Biogas Feld(a)'!A1" display="GPS Tritic.-Biogas                 ab Feld"/>
    <hyperlink ref="BB3:BD3" location="'30)Tritic-GPS Biogas ex Silo(a)'!A1" display="GPS Tritic. Biogas ex Silo"/>
    <hyperlink ref="BE3:BG3" location="'33)Kleegrassil 4N Biogas aF(a)'!A1" display="Kleegrassilage Biogas ab Feld"/>
    <hyperlink ref="BH3:BJ3" location="'34)Kleegrassil 4N Biog ex S(a)'!A1" display="Kleegrassilage Biogas ex Silo"/>
    <hyperlink ref="BK3" location="'36)GS 3Nutz Biogas Feld-(a)'!A1" display="Grassil. Biogas ab Feld"/>
    <hyperlink ref="BL3" location="'37)GS 3Nutz Biogas ex Silo (a)'!A1" display="Grassil. Biogas ex Silo"/>
    <hyperlink ref="BM3:BO3" location="'40)GrünroggenVFBiogas ex S(a)'!A1" display="Grünroggensil. Vorfrucht Biogas ex Silo"/>
    <hyperlink ref="BP3:BR3" location="'42)Grürog.+Silom. Biog ex S(a)'!A1" display="Grünroggen ZWF + Silomais HF Biogas ex Silo"/>
    <hyperlink ref="CB3:CD3" location="'46)GPS+Sudangr Biogas ex S(a)'!A1" display="GPS+Sudangras ex Silo"/>
    <hyperlink ref="CE3:CG3" location="'48)Zuhirse HF Biogas ex Silo(a)'!A1" display="Zuckerhirse Hauptfrucht ex Silo"/>
    <hyperlink ref="CH3:CJ3" location="'54)Dw. Silphie Biogas ex S(a)'!A1" display="Durchw. Silphie ex Silo"/>
  </hyperlinks>
  <printOptions verticalCentered="1"/>
  <pageMargins left="0.59055118110236227" right="0.19685039370078741" top="0" bottom="0.15748031496062992" header="0" footer="0.15748031496062992"/>
  <pageSetup paperSize="9" scale="50" firstPageNumber="6" fitToWidth="0" orientation="landscape" useFirstPageNumber="1" r:id="rId1"/>
  <headerFooter alignWithMargins="0">
    <oddFooter>&amp;L&amp;12LEL Schwäbisch Gmünd (Abtlg. II)
LAZBW  Aulendorf&amp;C&amp;"Arial,Fett"&amp;14&amp;P&amp;R&amp;14&amp;F   &amp;A</oddFooter>
  </headerFooter>
  <colBreaks count="4" manualBreakCount="4">
    <brk id="19" min="1" max="60" man="1"/>
    <brk id="32" min="1" max="60" man="1"/>
    <brk id="44" min="1" max="60" man="1"/>
    <brk id="62" min="1" max="60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5">
    <tabColor rgb="FFFFC0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0.7109375" style="7" customWidth="1"/>
    <col min="4" max="4" width="10.140625" style="7" customWidth="1"/>
    <col min="5" max="5" width="9.5703125" style="7" customWidth="1"/>
    <col min="6" max="6" width="10" style="7" customWidth="1"/>
    <col min="7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172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14" t="s">
        <v>1617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Weide</v>
      </c>
      <c r="N5" s="246" t="str">
        <f>VLOOKUP(W5,$S$4:$T$9,2)</f>
        <v>Weide</v>
      </c>
      <c r="O5" s="246" t="str">
        <f>VLOOKUP($X$5,$S$4:$T$9,2)</f>
        <v>Weide</v>
      </c>
      <c r="P5" s="246" t="str">
        <f>VLOOKUP($Y$5,$S$4:$T$9,2)</f>
        <v>Weide</v>
      </c>
      <c r="Q5" s="255" t="str">
        <f>VLOOKUP($Z$5,$S$4:$T$9,2)</f>
        <v>Weide</v>
      </c>
      <c r="R5" s="565"/>
      <c r="S5" s="599">
        <v>2</v>
      </c>
      <c r="T5" s="601" t="s">
        <v>1120</v>
      </c>
      <c r="U5"/>
      <c r="V5" s="3311">
        <v>1</v>
      </c>
      <c r="W5" s="3312">
        <v>1</v>
      </c>
      <c r="X5" s="3312">
        <v>1</v>
      </c>
      <c r="Y5" s="3312">
        <v>1</v>
      </c>
      <c r="Z5" s="3313">
        <v>1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55" t="s">
        <v>138</v>
      </c>
      <c r="E6" s="225"/>
      <c r="F6" s="225"/>
      <c r="G6" s="225"/>
      <c r="H6" s="225"/>
      <c r="I6" s="357" t="s">
        <v>139</v>
      </c>
      <c r="J6" s="172"/>
      <c r="K6" s="4043">
        <v>60</v>
      </c>
      <c r="L6" s="1676"/>
      <c r="M6" s="520">
        <f>$K$6*M7/100</f>
        <v>36</v>
      </c>
      <c r="N6" s="521">
        <f>$K$6*N7/100</f>
        <v>24</v>
      </c>
      <c r="O6" s="521">
        <f>$K$6*O7/100</f>
        <v>0</v>
      </c>
      <c r="P6" s="521">
        <f>$K$6*P7/100</f>
        <v>0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60</v>
      </c>
      <c r="N7" s="466">
        <v>40</v>
      </c>
      <c r="O7" s="466"/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20</v>
      </c>
      <c r="L8" s="1679"/>
      <c r="M8" s="476">
        <v>20</v>
      </c>
      <c r="N8" s="412">
        <v>20</v>
      </c>
      <c r="O8" s="412">
        <v>0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16</v>
      </c>
      <c r="L10" s="1679"/>
      <c r="M10" s="443">
        <v>16</v>
      </c>
      <c r="N10" s="444">
        <v>16</v>
      </c>
      <c r="O10" s="444">
        <v>0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16</v>
      </c>
      <c r="L11" s="1682"/>
      <c r="M11" s="488">
        <v>16</v>
      </c>
      <c r="N11" s="489">
        <v>16</v>
      </c>
      <c r="O11" s="489">
        <v>0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0</v>
      </c>
      <c r="L12" s="1679"/>
      <c r="M12" s="644">
        <v>0</v>
      </c>
      <c r="N12" s="645">
        <v>0</v>
      </c>
      <c r="O12" s="645">
        <v>0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0</v>
      </c>
      <c r="L13" s="1683"/>
      <c r="M13" s="641">
        <f>M12*M11/100</f>
        <v>0</v>
      </c>
      <c r="N13" s="642">
        <f>N12*N11/100</f>
        <v>0</v>
      </c>
      <c r="O13" s="642">
        <f>O12*O11/100</f>
        <v>0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48</v>
      </c>
      <c r="L14" s="1684"/>
      <c r="M14" s="251">
        <f>M6*(100-M8)/100</f>
        <v>28.8</v>
      </c>
      <c r="N14" s="252">
        <f>N6*(100-N8)/100</f>
        <v>19.2</v>
      </c>
      <c r="O14" s="252">
        <f>O6*(100-O8)/100</f>
        <v>0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300</v>
      </c>
      <c r="L15" s="1684"/>
      <c r="M15" s="251">
        <f>IF(M10=0,0,M14/M10*100)</f>
        <v>180</v>
      </c>
      <c r="N15" s="252">
        <f>IF(N10=0,0,N14/N10*100)</f>
        <v>120</v>
      </c>
      <c r="O15" s="252">
        <f>IF(O10=0,0,O14/O10*100)</f>
        <v>0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0</v>
      </c>
      <c r="L16" s="4311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48</v>
      </c>
      <c r="L17" s="1686"/>
      <c r="M17" s="251">
        <f>M14*(100-M9)/100</f>
        <v>28.8</v>
      </c>
      <c r="N17" s="254">
        <f>N14*(100-N9)/100</f>
        <v>19.2</v>
      </c>
      <c r="O17" s="254">
        <f>O14*(100-O9)/100</f>
        <v>0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300</v>
      </c>
      <c r="L18" s="1686"/>
      <c r="M18" s="251">
        <f>IF(M11=0,0,M17/M11*100)</f>
        <v>180</v>
      </c>
      <c r="N18" s="254">
        <f>IF(N11=0,0,N17/N11*100)</f>
        <v>120</v>
      </c>
      <c r="O18" s="254">
        <f>IF(O11=0,0,O17/O11*100)</f>
        <v>0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0</v>
      </c>
      <c r="L19" s="1688"/>
      <c r="M19" s="504">
        <f>IF(M12=0,0,1/M12*M18)</f>
        <v>0</v>
      </c>
      <c r="N19" s="505">
        <f>IF(N12=0,0,1/N12*N18)</f>
        <v>0</v>
      </c>
      <c r="O19" s="505">
        <f>IF(O12=0,0,1/O12*O18)</f>
        <v>0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5.419999999999999</v>
      </c>
      <c r="L20" s="1689"/>
      <c r="M20" s="312">
        <v>5.5</v>
      </c>
      <c r="N20" s="313">
        <v>5.3</v>
      </c>
      <c r="O20" s="313"/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9.0333333333333332</v>
      </c>
      <c r="L21" s="1689"/>
      <c r="M21" s="515">
        <f>IF($G21=0,0,M20/$G21)</f>
        <v>9.1666666666666679</v>
      </c>
      <c r="N21" s="516">
        <f>IF($G21=0,0,N20/$G21)</f>
        <v>8.8333333333333339</v>
      </c>
      <c r="O21" s="516">
        <f>IF($G21=0,0,O20/$G21)</f>
        <v>0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2601.6</v>
      </c>
      <c r="L22" s="1690"/>
      <c r="M22" s="446">
        <f t="shared" ref="M22:Q23" si="1">M$17*M20*10</f>
        <v>1584</v>
      </c>
      <c r="N22" s="448">
        <f t="shared" si="1"/>
        <v>1017.5999999999999</v>
      </c>
      <c r="O22" s="448">
        <f t="shared" si="1"/>
        <v>0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4336</v>
      </c>
      <c r="L23" s="1691"/>
      <c r="M23" s="447">
        <f t="shared" si="1"/>
        <v>2640.0000000000005</v>
      </c>
      <c r="N23" s="449">
        <f t="shared" si="1"/>
        <v>1696</v>
      </c>
      <c r="O23" s="449">
        <f t="shared" si="1"/>
        <v>0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/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3925">
        <f t="shared" si="3"/>
        <v>0</v>
      </c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162</v>
      </c>
      <c r="N30" s="254">
        <f>$L30*N7/100</f>
        <v>108</v>
      </c>
      <c r="O30" s="254">
        <f>$L30*O7/100</f>
        <v>0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14.124000000000001</v>
      </c>
      <c r="M32" s="460">
        <f>$L32*M$7/100</f>
        <v>8.474400000000001</v>
      </c>
      <c r="N32" s="461">
        <f>$L32*N$7/100</f>
        <v>5.6496000000000004</v>
      </c>
      <c r="O32" s="461">
        <f>$L32*O$7/100</f>
        <v>0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3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268.99235999999996</v>
      </c>
      <c r="M34" s="460">
        <f>$L34*M$7/100</f>
        <v>161.39541599999995</v>
      </c>
      <c r="N34" s="461">
        <f>$L34*N$7/100</f>
        <v>107.59694399999998</v>
      </c>
      <c r="O34" s="461">
        <f>$L34*O$7/100</f>
        <v>0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1.8</v>
      </c>
      <c r="I36" s="117">
        <v>-30</v>
      </c>
      <c r="J36" s="159"/>
      <c r="K36" s="1703">
        <f>H36*$K$14+I36</f>
        <v>56.400000000000006</v>
      </c>
      <c r="L36" s="1704">
        <f>K36*$F36</f>
        <v>96.870760000000004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0.7</v>
      </c>
      <c r="I37" s="117"/>
      <c r="J37" s="159"/>
      <c r="K37" s="1703">
        <f>H37*$K$14+I37</f>
        <v>33.599999999999994</v>
      </c>
      <c r="L37" s="1704">
        <f>K37*$F37</f>
        <v>37.984799999999986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2.5</v>
      </c>
      <c r="I38" s="117"/>
      <c r="J38" s="159"/>
      <c r="K38" s="1703">
        <f>H38*$K$14+I38</f>
        <v>120</v>
      </c>
      <c r="L38" s="1704">
        <f>K38*$F38</f>
        <v>126.13999999999999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0.28000000000000003</v>
      </c>
      <c r="I39" s="120"/>
      <c r="J39" s="161"/>
      <c r="K39" s="1705">
        <f>H39*$K$14+I39</f>
        <v>13.440000000000001</v>
      </c>
      <c r="L39" s="1706">
        <f>K39*$F39</f>
        <v>7.9968000000000004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249.3399256292</v>
      </c>
      <c r="M43" s="484">
        <f>SUM(Z46:Z56)</f>
        <v>124.6699628146</v>
      </c>
      <c r="N43" s="484">
        <f>SUM(AA46:AA56)</f>
        <v>124.6699628146</v>
      </c>
      <c r="O43" s="484">
        <f>SUM(AB46:AB56)</f>
        <v>0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4">SUM(M46:Q46)</f>
        <v>0</v>
      </c>
      <c r="K46" s="1651">
        <f t="shared" ref="K46:K56" si="5">J46*H46</f>
        <v>0</v>
      </c>
      <c r="L46" s="1704">
        <f t="shared" ref="L46:L56" si="6">J46*I46</f>
        <v>0</v>
      </c>
      <c r="M46" s="317"/>
      <c r="N46" s="318"/>
      <c r="O46" s="318"/>
      <c r="P46" s="318"/>
      <c r="Q46" s="319"/>
      <c r="R46" s="542"/>
      <c r="S46" s="542"/>
      <c r="T46" s="478">
        <f t="shared" ref="T46:T56" si="7">IF(M46&lt;&gt;0,M46*$H46,0)</f>
        <v>0</v>
      </c>
      <c r="U46" s="479">
        <f t="shared" ref="U46:U56" si="8">IF(N46&lt;&gt;0,N46*$H46,0)</f>
        <v>0</v>
      </c>
      <c r="V46" s="479">
        <f t="shared" ref="V46:V56" si="9">IF(O46&lt;&gt;0,O46*$H46,0)</f>
        <v>0</v>
      </c>
      <c r="W46" s="479">
        <f t="shared" ref="W46:W56" si="10">IF(P46&lt;&gt;0,P46*$H46,0)</f>
        <v>0</v>
      </c>
      <c r="X46" s="480">
        <f t="shared" ref="X46:X56" si="11">IF(Q46&lt;&gt;0,Q46*$H46,0)</f>
        <v>0</v>
      </c>
      <c r="Y46"/>
      <c r="Z46" s="478">
        <f t="shared" ref="Z46:Z56" si="12">IF(M46&lt;&gt;0,M46*$I46,0)</f>
        <v>0</v>
      </c>
      <c r="AA46" s="479">
        <f t="shared" ref="AA46:AA56" si="13">IF(N46&lt;&gt;0,N46*$I46,0)</f>
        <v>0</v>
      </c>
      <c r="AB46" s="479">
        <f t="shared" ref="AB46:AB56" si="14">IF(O46&lt;&gt;0,O46*$I46,0)</f>
        <v>0</v>
      </c>
      <c r="AC46" s="479">
        <f t="shared" ref="AC46:AC56" si="15">IF(P46&lt;&gt;0,P46*$I46,0)</f>
        <v>0</v>
      </c>
      <c r="AD46" s="480">
        <f t="shared" ref="AD46:AD56" si="16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55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4"/>
        <v>1</v>
      </c>
      <c r="K47" s="1651">
        <f t="shared" si="5"/>
        <v>0.48</v>
      </c>
      <c r="L47" s="1704">
        <f t="shared" si="6"/>
        <v>9.4573661503999986</v>
      </c>
      <c r="M47" s="317">
        <v>0.5</v>
      </c>
      <c r="N47" s="318">
        <v>0.5</v>
      </c>
      <c r="O47" s="318"/>
      <c r="P47" s="318"/>
      <c r="Q47" s="319"/>
      <c r="R47" s="542"/>
      <c r="S47" s="542"/>
      <c r="T47" s="478">
        <f t="shared" si="7"/>
        <v>0.24</v>
      </c>
      <c r="U47" s="479">
        <f t="shared" si="8"/>
        <v>0.24</v>
      </c>
      <c r="V47" s="479">
        <f t="shared" si="9"/>
        <v>0</v>
      </c>
      <c r="W47" s="479">
        <f t="shared" si="10"/>
        <v>0</v>
      </c>
      <c r="X47" s="480">
        <f t="shared" si="11"/>
        <v>0</v>
      </c>
      <c r="Y47"/>
      <c r="Z47" s="478">
        <f t="shared" si="12"/>
        <v>4.7286830751999993</v>
      </c>
      <c r="AA47" s="479">
        <f t="shared" si="13"/>
        <v>4.7286830751999993</v>
      </c>
      <c r="AB47" s="479">
        <f t="shared" si="14"/>
        <v>0</v>
      </c>
      <c r="AC47" s="479">
        <f t="shared" si="15"/>
        <v>0</v>
      </c>
      <c r="AD47" s="480">
        <f t="shared" si="16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17</v>
      </c>
      <c r="C48" s="1554"/>
      <c r="D48" s="137"/>
      <c r="E48" s="8"/>
      <c r="F48" s="8"/>
      <c r="G48" s="468" t="str">
        <f>IF($B48=0,0,VLOOKUP($B48,Arbeitsgänge!$B$27:$T$80,7))</f>
        <v>83 Kw</v>
      </c>
      <c r="H48" s="507">
        <f>IF($B48=0,0,VLOOKUP($B48,Arbeitsgänge!$B$27:$O$79,12))</f>
        <v>1.19</v>
      </c>
      <c r="I48" s="469">
        <f>IF($B48=0,0,VLOOKUP($B48,Arbeitsgänge!$B$27:$T$80,14))</f>
        <v>29.88255947879999</v>
      </c>
      <c r="J48" s="593">
        <f t="shared" si="4"/>
        <v>1</v>
      </c>
      <c r="K48" s="1651">
        <f t="shared" si="5"/>
        <v>1.19</v>
      </c>
      <c r="L48" s="1704">
        <f t="shared" si="6"/>
        <v>29.88255947879999</v>
      </c>
      <c r="M48" s="317">
        <v>0.5</v>
      </c>
      <c r="N48" s="318">
        <v>0.5</v>
      </c>
      <c r="O48" s="318"/>
      <c r="P48" s="318"/>
      <c r="Q48" s="319"/>
      <c r="R48" s="542"/>
      <c r="S48" s="542"/>
      <c r="T48" s="478">
        <f t="shared" si="7"/>
        <v>0.59499999999999997</v>
      </c>
      <c r="U48" s="479">
        <f t="shared" si="8"/>
        <v>0.59499999999999997</v>
      </c>
      <c r="V48" s="479">
        <f t="shared" si="9"/>
        <v>0</v>
      </c>
      <c r="W48" s="479">
        <f t="shared" si="10"/>
        <v>0</v>
      </c>
      <c r="X48" s="480">
        <f t="shared" si="11"/>
        <v>0</v>
      </c>
      <c r="Y48"/>
      <c r="Z48" s="478">
        <f t="shared" si="12"/>
        <v>14.941279739399995</v>
      </c>
      <c r="AA48" s="479">
        <f t="shared" si="13"/>
        <v>14.941279739399995</v>
      </c>
      <c r="AB48" s="479">
        <f t="shared" si="14"/>
        <v>0</v>
      </c>
      <c r="AC48" s="479">
        <f t="shared" si="15"/>
        <v>0</v>
      </c>
      <c r="AD48" s="480">
        <f t="shared" si="16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52</v>
      </c>
      <c r="C49" s="1554"/>
      <c r="D49" s="137"/>
      <c r="E49" s="8"/>
      <c r="F49" s="8"/>
      <c r="G49" s="468">
        <f>IF($B49=0,0,VLOOKUP($B49,Arbeitsgänge!$B$27:$T$80,7))</f>
        <v>0</v>
      </c>
      <c r="H49" s="507">
        <f>IF($B49=0,0,VLOOKUP($B49,Arbeitsgänge!$B$27:$O$79,12))</f>
        <v>0</v>
      </c>
      <c r="I49" s="469">
        <f>IF($B49=0,0,VLOOKUP($B49,Arbeitsgänge!$B$27:$T$80,14))</f>
        <v>0</v>
      </c>
      <c r="J49" s="593">
        <f t="shared" si="4"/>
        <v>0</v>
      </c>
      <c r="K49" s="1651">
        <f t="shared" si="5"/>
        <v>0</v>
      </c>
      <c r="L49" s="1704">
        <f t="shared" si="6"/>
        <v>0</v>
      </c>
      <c r="M49" s="317"/>
      <c r="N49" s="318"/>
      <c r="O49" s="318"/>
      <c r="P49" s="318"/>
      <c r="Q49" s="319">
        <f>Q15/120</f>
        <v>0</v>
      </c>
      <c r="R49" s="542"/>
      <c r="S49" s="542"/>
      <c r="T49" s="478">
        <f t="shared" si="7"/>
        <v>0</v>
      </c>
      <c r="U49" s="479">
        <f t="shared" si="8"/>
        <v>0</v>
      </c>
      <c r="V49" s="479">
        <f t="shared" si="9"/>
        <v>0</v>
      </c>
      <c r="W49" s="479">
        <f t="shared" si="10"/>
        <v>0</v>
      </c>
      <c r="X49" s="480">
        <f t="shared" si="11"/>
        <v>0</v>
      </c>
      <c r="Y49"/>
      <c r="Z49" s="478">
        <f t="shared" si="12"/>
        <v>0</v>
      </c>
      <c r="AA49" s="479">
        <f t="shared" si="13"/>
        <v>0</v>
      </c>
      <c r="AB49" s="479">
        <f t="shared" si="14"/>
        <v>0</v>
      </c>
      <c r="AC49" s="479">
        <f t="shared" si="15"/>
        <v>0</v>
      </c>
      <c r="AD49" s="480">
        <f t="shared" si="16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48</v>
      </c>
      <c r="C50" s="1554"/>
      <c r="D50" s="137"/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12</v>
      </c>
      <c r="I50" s="469">
        <f>IF($B50=0,0,VLOOKUP($B50,Arbeitsgänge!$B$27:$T$80,14))</f>
        <v>210</v>
      </c>
      <c r="J50" s="593">
        <f t="shared" si="4"/>
        <v>1</v>
      </c>
      <c r="K50" s="1651">
        <f t="shared" si="5"/>
        <v>12</v>
      </c>
      <c r="L50" s="1704">
        <f t="shared" si="6"/>
        <v>210</v>
      </c>
      <c r="M50" s="1177">
        <v>0.5</v>
      </c>
      <c r="N50" s="1178">
        <v>0.5</v>
      </c>
      <c r="O50" s="1178"/>
      <c r="P50" s="1178"/>
      <c r="Q50" s="319"/>
      <c r="R50" s="542"/>
      <c r="S50" s="542"/>
      <c r="T50" s="478">
        <f t="shared" si="7"/>
        <v>6</v>
      </c>
      <c r="U50" s="479">
        <f t="shared" si="8"/>
        <v>6</v>
      </c>
      <c r="V50" s="479">
        <f t="shared" si="9"/>
        <v>0</v>
      </c>
      <c r="W50" s="479">
        <f t="shared" si="10"/>
        <v>0</v>
      </c>
      <c r="X50" s="480">
        <f t="shared" si="11"/>
        <v>0</v>
      </c>
      <c r="Y50"/>
      <c r="Z50" s="478">
        <f t="shared" si="12"/>
        <v>105</v>
      </c>
      <c r="AA50" s="479">
        <f t="shared" si="13"/>
        <v>105</v>
      </c>
      <c r="AB50" s="479">
        <f t="shared" si="14"/>
        <v>0</v>
      </c>
      <c r="AC50" s="479">
        <f t="shared" si="15"/>
        <v>0</v>
      </c>
      <c r="AD50" s="480">
        <f t="shared" si="16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52</v>
      </c>
      <c r="C51" s="1554"/>
      <c r="D51" s="137"/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4"/>
        <v>0</v>
      </c>
      <c r="K51" s="1651">
        <f t="shared" si="5"/>
        <v>0</v>
      </c>
      <c r="L51" s="1704">
        <f t="shared" si="6"/>
        <v>0</v>
      </c>
      <c r="M51" s="317"/>
      <c r="N51" s="318"/>
      <c r="O51" s="318"/>
      <c r="P51" s="318"/>
      <c r="Q51" s="319"/>
      <c r="R51" s="542"/>
      <c r="S51" s="542"/>
      <c r="T51" s="478">
        <f t="shared" si="7"/>
        <v>0</v>
      </c>
      <c r="U51" s="479">
        <f t="shared" si="8"/>
        <v>0</v>
      </c>
      <c r="V51" s="479">
        <f t="shared" si="9"/>
        <v>0</v>
      </c>
      <c r="W51" s="479">
        <f t="shared" si="10"/>
        <v>0</v>
      </c>
      <c r="X51" s="480">
        <f t="shared" si="11"/>
        <v>0</v>
      </c>
      <c r="Y51"/>
      <c r="Z51" s="478">
        <f t="shared" si="12"/>
        <v>0</v>
      </c>
      <c r="AA51" s="479">
        <f t="shared" si="13"/>
        <v>0</v>
      </c>
      <c r="AB51" s="479">
        <f t="shared" si="14"/>
        <v>0</v>
      </c>
      <c r="AC51" s="479">
        <f t="shared" si="15"/>
        <v>0</v>
      </c>
      <c r="AD51" s="480">
        <f t="shared" si="16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55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4"/>
        <v>0</v>
      </c>
      <c r="K52" s="1651">
        <f t="shared" si="5"/>
        <v>0</v>
      </c>
      <c r="L52" s="1704">
        <f t="shared" si="6"/>
        <v>0</v>
      </c>
      <c r="M52" s="317"/>
      <c r="N52" s="318"/>
      <c r="O52" s="318"/>
      <c r="P52" s="318"/>
      <c r="Q52" s="319"/>
      <c r="R52" s="542"/>
      <c r="S52" s="542"/>
      <c r="T52" s="478">
        <f t="shared" si="7"/>
        <v>0</v>
      </c>
      <c r="U52" s="479">
        <f t="shared" si="8"/>
        <v>0</v>
      </c>
      <c r="V52" s="479">
        <f t="shared" si="9"/>
        <v>0</v>
      </c>
      <c r="W52" s="479">
        <f t="shared" si="10"/>
        <v>0</v>
      </c>
      <c r="X52" s="480">
        <f t="shared" si="11"/>
        <v>0</v>
      </c>
      <c r="Y52"/>
      <c r="Z52" s="478">
        <f t="shared" si="12"/>
        <v>0</v>
      </c>
      <c r="AA52" s="479">
        <f t="shared" si="13"/>
        <v>0</v>
      </c>
      <c r="AB52" s="479">
        <f t="shared" si="14"/>
        <v>0</v>
      </c>
      <c r="AC52" s="479">
        <f t="shared" si="15"/>
        <v>0</v>
      </c>
      <c r="AD52" s="480">
        <f t="shared" si="16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55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8"/>
        <v>0</v>
      </c>
      <c r="V53" s="479">
        <f t="shared" si="9"/>
        <v>0</v>
      </c>
      <c r="W53" s="479">
        <f t="shared" si="10"/>
        <v>0</v>
      </c>
      <c r="X53" s="480">
        <f t="shared" si="11"/>
        <v>0</v>
      </c>
      <c r="Y53"/>
      <c r="Z53" s="478">
        <f t="shared" si="12"/>
        <v>0</v>
      </c>
      <c r="AA53" s="479">
        <f t="shared" si="13"/>
        <v>0</v>
      </c>
      <c r="AB53" s="479">
        <f t="shared" si="14"/>
        <v>0</v>
      </c>
      <c r="AC53" s="479">
        <f t="shared" si="15"/>
        <v>0</v>
      </c>
      <c r="AD53" s="480">
        <f t="shared" si="16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55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8"/>
        <v>0</v>
      </c>
      <c r="V54" s="479">
        <f t="shared" si="9"/>
        <v>0</v>
      </c>
      <c r="W54" s="479">
        <f t="shared" si="10"/>
        <v>0</v>
      </c>
      <c r="X54" s="480">
        <f t="shared" si="11"/>
        <v>0</v>
      </c>
      <c r="Y54"/>
      <c r="Z54" s="478">
        <f t="shared" si="12"/>
        <v>0</v>
      </c>
      <c r="AA54" s="479">
        <f t="shared" si="13"/>
        <v>0</v>
      </c>
      <c r="AB54" s="479">
        <f t="shared" si="14"/>
        <v>0</v>
      </c>
      <c r="AC54" s="479">
        <f t="shared" si="15"/>
        <v>0</v>
      </c>
      <c r="AD54" s="480">
        <f t="shared" si="16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55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8"/>
        <v>0</v>
      </c>
      <c r="V55" s="479">
        <f t="shared" si="9"/>
        <v>0</v>
      </c>
      <c r="W55" s="479">
        <f t="shared" si="10"/>
        <v>0</v>
      </c>
      <c r="X55" s="480">
        <f t="shared" si="11"/>
        <v>0</v>
      </c>
      <c r="Y55"/>
      <c r="Z55" s="478">
        <f t="shared" si="12"/>
        <v>0</v>
      </c>
      <c r="AA55" s="479">
        <f t="shared" si="13"/>
        <v>0</v>
      </c>
      <c r="AB55" s="479">
        <f t="shared" si="14"/>
        <v>0</v>
      </c>
      <c r="AC55" s="479">
        <f t="shared" si="15"/>
        <v>0</v>
      </c>
      <c r="AD55" s="480">
        <f t="shared" si="16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555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 t="shared" si="7"/>
        <v>0</v>
      </c>
      <c r="U56" s="482">
        <f t="shared" si="8"/>
        <v>0</v>
      </c>
      <c r="V56" s="482">
        <f t="shared" si="9"/>
        <v>0</v>
      </c>
      <c r="W56" s="482">
        <f t="shared" si="10"/>
        <v>0</v>
      </c>
      <c r="X56" s="483">
        <f t="shared" si="11"/>
        <v>0</v>
      </c>
      <c r="Y56"/>
      <c r="Z56" s="481">
        <f t="shared" si="12"/>
        <v>0</v>
      </c>
      <c r="AA56" s="482">
        <f t="shared" si="13"/>
        <v>0</v>
      </c>
      <c r="AB56" s="482">
        <f t="shared" si="14"/>
        <v>0</v>
      </c>
      <c r="AC56" s="482">
        <f t="shared" si="15"/>
        <v>0</v>
      </c>
      <c r="AD56" s="483">
        <f t="shared" si="16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13.67</v>
      </c>
      <c r="L57" s="1716"/>
      <c r="M57" s="278">
        <f>SUM(T46:T56)</f>
        <v>6.835</v>
      </c>
      <c r="N57" s="508">
        <f>SUM(U46:U56)</f>
        <v>6.835</v>
      </c>
      <c r="O57" s="508">
        <f>SUM(V46:V56)</f>
        <v>0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10</v>
      </c>
      <c r="H58" s="74" t="s">
        <v>1047</v>
      </c>
      <c r="I58" s="74"/>
      <c r="J58" s="89"/>
      <c r="K58" s="1717">
        <f>SUM(M58:Q58)</f>
        <v>15.036999999999999</v>
      </c>
      <c r="L58" s="1718"/>
      <c r="M58" s="270">
        <f>IF(M57+(M57*$G$58/100)&gt;M57+10,M57+10,M57+(M57*$G$58/100))</f>
        <v>7.5184999999999995</v>
      </c>
      <c r="N58" s="509">
        <f>IF(N57+(N57*$G$58/100)&gt;(N57+10),N57+10,N57+(N57*$G$58/100))</f>
        <v>7.5184999999999995</v>
      </c>
      <c r="O58" s="509">
        <f>IF(O57+(O57*$G$58/100)&gt;(O57+10),O57+10,O57+(O57*$G$58/100))</f>
        <v>0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0</v>
      </c>
      <c r="M59" s="253">
        <f>SUM(T61:T63)</f>
        <v>0</v>
      </c>
      <c r="N59" s="254">
        <f>SUM(U61:U63)</f>
        <v>0</v>
      </c>
      <c r="O59" s="254">
        <f>SUM(V61:V63)</f>
        <v>0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/>
      <c r="H61" s="3063">
        <f>G61*(100+$H$59)/100</f>
        <v>0</v>
      </c>
      <c r="I61" s="2616"/>
      <c r="J61" s="2617">
        <f>SUM(M61:Q61)</f>
        <v>0</v>
      </c>
      <c r="K61" s="2618"/>
      <c r="L61" s="2619">
        <f>J61*H61</f>
        <v>0</v>
      </c>
      <c r="M61" s="3111"/>
      <c r="N61" s="3088"/>
      <c r="O61" s="3088"/>
      <c r="P61" s="3088"/>
      <c r="Q61" s="2620"/>
      <c r="R61" s="542"/>
      <c r="S61" s="542"/>
      <c r="T61" s="594">
        <f>IF(M61&lt;&gt;0,M61*$H61,0)</f>
        <v>0</v>
      </c>
      <c r="U61" s="594">
        <f t="shared" ref="U61:X63" si="17">IF(N61&lt;&gt;0,N61*$H61,0)</f>
        <v>0</v>
      </c>
      <c r="V61" s="594">
        <f t="shared" si="17"/>
        <v>0</v>
      </c>
      <c r="W61" s="594">
        <f t="shared" si="17"/>
        <v>0</v>
      </c>
      <c r="X61" s="594">
        <f t="shared" si="17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7"/>
        <v>0</v>
      </c>
      <c r="V62" s="594">
        <f t="shared" si="17"/>
        <v>0</v>
      </c>
      <c r="W62" s="594">
        <f t="shared" si="17"/>
        <v>0</v>
      </c>
      <c r="X62" s="594">
        <f t="shared" si="17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IF(K24=0,0,K36/Z67)*K24*Y69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7"/>
        <v>0</v>
      </c>
      <c r="V63" s="594">
        <f t="shared" si="17"/>
        <v>0</v>
      </c>
      <c r="W63" s="594">
        <f t="shared" si="17"/>
        <v>0</v>
      </c>
      <c r="X63" s="594">
        <f t="shared" si="17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0.16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8">SUM(L69:L70)</f>
        <v>95.199999999999989</v>
      </c>
      <c r="M67" s="253">
        <f t="shared" si="18"/>
        <v>57.12</v>
      </c>
      <c r="N67" s="254">
        <f t="shared" si="18"/>
        <v>38.08</v>
      </c>
      <c r="O67" s="254">
        <f t="shared" si="18"/>
        <v>0</v>
      </c>
      <c r="P67" s="254">
        <f t="shared" si="18"/>
        <v>0</v>
      </c>
      <c r="Q67" s="257">
        <f t="shared" si="18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52"/>
      <c r="B69" s="937">
        <v>1</v>
      </c>
      <c r="C69" s="1378"/>
      <c r="D69" s="939" t="str">
        <f>IF($B69=0,0,VLOOKUP($B69,'Preise-Stammdaten'!$B$61:'Preise-Stammdaten'!$N$66,2))</f>
        <v>Zaunkosten Standweide/ha</v>
      </c>
      <c r="E69" s="931"/>
      <c r="F69" s="93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95.2</v>
      </c>
      <c r="K69" s="1728"/>
      <c r="L69" s="1671">
        <f>SUM(M69:Q69)</f>
        <v>95.199999999999989</v>
      </c>
      <c r="M69" s="1386">
        <f t="shared" ref="M69:P70" si="19">IF(AND($B69&lt;3,V$5=1),M$7*$I69/100,IF(AND($B69=3,V$5=3),M$7*$I69/100,0))</f>
        <v>57.12</v>
      </c>
      <c r="N69" s="933">
        <f t="shared" si="19"/>
        <v>38.08</v>
      </c>
      <c r="O69" s="933">
        <f t="shared" si="19"/>
        <v>0</v>
      </c>
      <c r="P69" s="933">
        <f t="shared" si="19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122">
        <v>0.5</v>
      </c>
      <c r="Z69" s="3121" t="s">
        <v>601</v>
      </c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89"/>
      <c r="D70" s="939">
        <f>IF($B70=0,0,VLOOKUP($B70,'Preise-Stammdaten'!$B$61:'Preise-Stammdaten'!$N$66,2))</f>
        <v>0</v>
      </c>
      <c r="E70" s="931"/>
      <c r="F70" s="939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9"/>
        <v>0</v>
      </c>
      <c r="N70" s="933">
        <f t="shared" si="19"/>
        <v>0</v>
      </c>
      <c r="O70" s="933">
        <f t="shared" si="19"/>
        <v>0</v>
      </c>
      <c r="P70" s="933">
        <f t="shared" si="19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4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0">K16</f>
        <v>0</v>
      </c>
      <c r="L77" s="3321">
        <f t="shared" si="20"/>
        <v>0</v>
      </c>
      <c r="M77" s="3321">
        <f t="shared" si="20"/>
        <v>0</v>
      </c>
      <c r="N77" s="3321">
        <f t="shared" si="20"/>
        <v>0</v>
      </c>
      <c r="O77" s="3321">
        <f t="shared" si="20"/>
        <v>0</v>
      </c>
      <c r="P77" s="3321">
        <f t="shared" si="20"/>
        <v>0</v>
      </c>
      <c r="Q77" s="3321">
        <f t="shared" si="20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42&amp;9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Drop Down 1">
              <controlPr defaultSize="0" print="0" autoFill="0" autoLine="0" autoPict="0">
                <anchor moveWithCells="1">
                  <from>
                    <xdr:col>12</xdr:col>
                    <xdr:colOff>123825</xdr:colOff>
                    <xdr:row>4</xdr:row>
                    <xdr:rowOff>47625</xdr:rowOff>
                  </from>
                  <to>
                    <xdr:col>12</xdr:col>
                    <xdr:colOff>523875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Drop Down 2">
              <controlPr defaultSize="0" print="0" autoFill="0" autoLine="0" autoPict="0">
                <anchor moveWithCells="1">
                  <from>
                    <xdr:col>13</xdr:col>
                    <xdr:colOff>76200</xdr:colOff>
                    <xdr:row>4</xdr:row>
                    <xdr:rowOff>57150</xdr:rowOff>
                  </from>
                  <to>
                    <xdr:col>13</xdr:col>
                    <xdr:colOff>485775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Drop Down 3">
              <controlPr defaultSize="0" print="0" autoFill="0" autoLine="0" autoPict="0">
                <anchor moveWithCells="1">
                  <from>
                    <xdr:col>14</xdr:col>
                    <xdr:colOff>161925</xdr:colOff>
                    <xdr:row>4</xdr:row>
                    <xdr:rowOff>47625</xdr:rowOff>
                  </from>
                  <to>
                    <xdr:col>14</xdr:col>
                    <xdr:colOff>571500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Drop Down 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4</xdr:row>
                    <xdr:rowOff>57150</xdr:rowOff>
                  </from>
                  <to>
                    <xdr:col>15</xdr:col>
                    <xdr:colOff>485775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Drop Down 5">
              <controlPr defaultSize="0" print="0" autoFill="0" autoLine="0" autoPict="0">
                <anchor moveWithCells="1">
                  <from>
                    <xdr:col>16</xdr:col>
                    <xdr:colOff>57150</xdr:colOff>
                    <xdr:row>4</xdr:row>
                    <xdr:rowOff>47625</xdr:rowOff>
                  </from>
                  <to>
                    <xdr:col>16</xdr:col>
                    <xdr:colOff>466725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3" r:id="rId9" name="Drop Down 23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552450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4" r:id="rId10" name="Drop Down 24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552450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5" r:id="rId11" name="Drop Down 25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180975</xdr:rowOff>
                  </from>
                  <to>
                    <xdr:col>5</xdr:col>
                    <xdr:colOff>552450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6" r:id="rId12" name="Drop Down 26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180975</xdr:rowOff>
                  </from>
                  <to>
                    <xdr:col>5</xdr:col>
                    <xdr:colOff>552450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7" r:id="rId13" name="Drop Down 27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552450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8" r:id="rId14" name="Drop Down 28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552450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9" r:id="rId15" name="Drop Down 29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180975</xdr:rowOff>
                  </from>
                  <to>
                    <xdr:col>5</xdr:col>
                    <xdr:colOff>552450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0" r:id="rId16" name="Drop Down 30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180975</xdr:rowOff>
                  </from>
                  <to>
                    <xdr:col>5</xdr:col>
                    <xdr:colOff>552450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1" r:id="rId17" name="Drop Down 31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180975</xdr:rowOff>
                  </from>
                  <to>
                    <xdr:col>5</xdr:col>
                    <xdr:colOff>552450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2" r:id="rId18" name="Drop Down 3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552450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3" r:id="rId19" name="Drop Down 33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552450</xdr:colOff>
                    <xdr:row>46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'14)Weide ext.(a)'!H2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'14)Weide ext.(a)'!K2</f>
        <v>Standweide extensiv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'14)Weide ext.(a)'!H3</f>
        <v>extensive Weide, FAKT-Förderung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'14)Weide ext.(a)'!M5</f>
        <v>Weide</v>
      </c>
      <c r="O5" s="1568" t="str">
        <f>'14)Weide ext.(a)'!N5</f>
        <v>Weide</v>
      </c>
      <c r="P5" s="1568" t="str">
        <f>'14)Weide ext.(a)'!O5</f>
        <v>Weide</v>
      </c>
      <c r="Q5" s="1568" t="str">
        <f>'14)Weide ext.(a)'!P5</f>
        <v>Weide</v>
      </c>
      <c r="R5" s="1573" t="str">
        <f>'14)Weide ext.(a)'!Q5</f>
        <v>Weide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'14)Weide ext.(a)'!K6</f>
        <v>60</v>
      </c>
      <c r="N6" s="1821">
        <f>'14)Weide ext.(a)'!M6</f>
        <v>36</v>
      </c>
      <c r="O6" s="1821">
        <f>'14)Weide ext.(a)'!N6</f>
        <v>24</v>
      </c>
      <c r="P6" s="1821">
        <f>'14)Weide ext.(a)'!O6</f>
        <v>0</v>
      </c>
      <c r="Q6" s="1821">
        <f>'14)Weide ext.(a)'!P6</f>
        <v>0</v>
      </c>
      <c r="R6" s="1822">
        <f>'14)Weide ext.(a)'!Q6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'14)Weide ext.(a)'!K14</f>
        <v>48</v>
      </c>
      <c r="N7" s="452">
        <f>'14)Weide ext.(a)'!M14</f>
        <v>28.8</v>
      </c>
      <c r="O7" s="452">
        <f>'14)Weide ext.(a)'!N14</f>
        <v>19.2</v>
      </c>
      <c r="P7" s="452">
        <f>'14)Weide ext.(a)'!O14</f>
        <v>0</v>
      </c>
      <c r="Q7" s="452">
        <f>'14)Weide ext.(a)'!P14</f>
        <v>0</v>
      </c>
      <c r="R7" s="1744">
        <f>'14)Weide ext.(a)'!Q14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'14)Weide ext.(a)'!K15</f>
        <v>300</v>
      </c>
      <c r="N8" s="473">
        <f>'14)Weide ext.(a)'!M15</f>
        <v>180</v>
      </c>
      <c r="O8" s="473">
        <f>'14)Weide ext.(a)'!N15</f>
        <v>120</v>
      </c>
      <c r="P8" s="473">
        <f>'14)Weide ext.(a)'!O15</f>
        <v>0</v>
      </c>
      <c r="Q8" s="473">
        <f>'14)Weide ext.(a)'!P15</f>
        <v>0</v>
      </c>
      <c r="R8" s="1583">
        <f>'14)Weide ext.(a)'!Q15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'14)Weide ext.(a)'!K17</f>
        <v>48</v>
      </c>
      <c r="N9" s="452">
        <f>'14)Weide ext.(a)'!M17</f>
        <v>28.8</v>
      </c>
      <c r="O9" s="452">
        <f>'14)Weide ext.(a)'!N17</f>
        <v>19.2</v>
      </c>
      <c r="P9" s="452">
        <f>'14)Weide ext.(a)'!O17</f>
        <v>0</v>
      </c>
      <c r="Q9" s="452">
        <f>'14)Weide ext.(a)'!P17</f>
        <v>0</v>
      </c>
      <c r="R9" s="1744">
        <f>'14)Weide ext.(a)'!Q17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'14)Weide ext.(a)'!K18</f>
        <v>300</v>
      </c>
      <c r="N10" s="1748">
        <f>'14)Weide ext.(a)'!M18</f>
        <v>180</v>
      </c>
      <c r="O10" s="1748">
        <f>'14)Weide ext.(a)'!N18</f>
        <v>120</v>
      </c>
      <c r="P10" s="1748">
        <f>'14)Weide ext.(a)'!O18</f>
        <v>0</v>
      </c>
      <c r="Q10" s="1748">
        <f>'14)Weide ext.(a)'!P18</f>
        <v>0</v>
      </c>
      <c r="R10" s="1745">
        <f>'14)Weide ext.(a)'!Q18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'14)Weide ext.(a)'!K19</f>
        <v>0</v>
      </c>
      <c r="N11" s="2094">
        <f>'14)Weide ext.(a)'!M19</f>
        <v>0</v>
      </c>
      <c r="O11" s="2094">
        <f>'14)Weide ext.(a)'!N19</f>
        <v>0</v>
      </c>
      <c r="P11" s="2094">
        <f>'14)Weide ext.(a)'!O19</f>
        <v>0</v>
      </c>
      <c r="Q11" s="2094">
        <f>'14)Weide ext.(a)'!P19</f>
        <v>0</v>
      </c>
      <c r="R11" s="2078">
        <f>'14)Weide ext.(a)'!Q19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'14)Weide ext.(a)'!K22</f>
        <v>2601.6</v>
      </c>
      <c r="N12" s="1176">
        <f>'14)Weide ext.(a)'!M22</f>
        <v>1584</v>
      </c>
      <c r="O12" s="1176">
        <f>'14)Weide ext.(a)'!N22</f>
        <v>1017.5999999999999</v>
      </c>
      <c r="P12" s="1176">
        <f>'14)Weide ext.(a)'!O22</f>
        <v>0</v>
      </c>
      <c r="Q12" s="1176">
        <f>'14)Weide ext.(a)'!P22</f>
        <v>0</v>
      </c>
      <c r="R12" s="1747">
        <f>'14)Weide ext.(a)'!Q22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'14)Weide ext.(a)'!K23</f>
        <v>4336</v>
      </c>
      <c r="N13" s="2065">
        <f>'14)Weide ext.(a)'!M23</f>
        <v>2640.0000000000005</v>
      </c>
      <c r="O13" s="2065">
        <f>'14)Weide ext.(a)'!N23</f>
        <v>1696</v>
      </c>
      <c r="P13" s="2065">
        <f>'14)Weide ext.(a)'!O23</f>
        <v>0</v>
      </c>
      <c r="Q13" s="2065">
        <f>'14)Weide ext.(a)'!P23</f>
        <v>0</v>
      </c>
      <c r="R13" s="2067">
        <f>'14)Weide ext.(a)'!Q23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162</v>
      </c>
      <c r="O15" s="3340">
        <f t="shared" si="0"/>
        <v>108</v>
      </c>
      <c r="P15" s="3339">
        <f t="shared" si="0"/>
        <v>0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162</v>
      </c>
      <c r="O17" s="2065">
        <f t="shared" si="2"/>
        <v>108</v>
      </c>
      <c r="P17" s="3334">
        <f t="shared" si="2"/>
        <v>0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'14)Weide ext.(a)'!L32</f>
        <v>14.124000000000001</v>
      </c>
      <c r="N19" s="2071">
        <f>'14)Weide ext.(a)'!M32</f>
        <v>8.474400000000001</v>
      </c>
      <c r="O19" s="2071">
        <f>'14)Weide ext.(a)'!N32</f>
        <v>5.6496000000000004</v>
      </c>
      <c r="P19" s="2071">
        <f>'14)Weide ext.(a)'!O32</f>
        <v>0</v>
      </c>
      <c r="Q19" s="2071">
        <f>'14)Weide ext.(a)'!P32</f>
        <v>0</v>
      </c>
      <c r="R19" s="2073">
        <f>'14)Weide ext.(a)'!Q32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'14)Weide ext.(a)'!L34</f>
        <v>268.99235999999996</v>
      </c>
      <c r="N20" s="285">
        <f>'14)Weide ext.(a)'!M34</f>
        <v>161.39541599999995</v>
      </c>
      <c r="O20" s="285">
        <f>'14)Weide ext.(a)'!N34</f>
        <v>107.59694399999998</v>
      </c>
      <c r="P20" s="285">
        <f>'14)Weide ext.(a)'!O34</f>
        <v>0</v>
      </c>
      <c r="Q20" s="285">
        <f>'14)Weide ext.(a)'!P34</f>
        <v>0</v>
      </c>
      <c r="R20" s="1574">
        <f>'14)Weide ext.(a)'!Q34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'14)Weide ext.(a)'!L40</f>
        <v>0</v>
      </c>
      <c r="N21" s="285">
        <f>'14)Weide ext.(a)'!M40</f>
        <v>0</v>
      </c>
      <c r="O21" s="285">
        <f>'14)Weide ext.(a)'!N40</f>
        <v>0</v>
      </c>
      <c r="P21" s="285">
        <f>'14)Weide ext.(a)'!O40</f>
        <v>0</v>
      </c>
      <c r="Q21" s="285">
        <f>'14)Weide ext.(a)'!P40</f>
        <v>0</v>
      </c>
      <c r="R21" s="1574">
        <f>'14)Weide ext.(a)'!Q40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'14)Weide ext.(a)'!L67</f>
        <v>95.199999999999989</v>
      </c>
      <c r="N23" s="285">
        <f>'14)Weide ext.(a)'!M67</f>
        <v>57.12</v>
      </c>
      <c r="O23" s="285">
        <f>'14)Weide ext.(a)'!N67</f>
        <v>38.08</v>
      </c>
      <c r="P23" s="285">
        <f>'14)Weide ext.(a)'!O67</f>
        <v>0</v>
      </c>
      <c r="Q23" s="285">
        <f>'14)Weide ext.(a)'!P67</f>
        <v>0</v>
      </c>
      <c r="R23" s="1574">
        <f>'14)Weide ext.(a)'!Q67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'14)Weide ext.(a)'!L43</f>
        <v>249.3399256292</v>
      </c>
      <c r="N24" s="285">
        <f>'14)Weide ext.(a)'!M43</f>
        <v>124.6699628146</v>
      </c>
      <c r="O24" s="285">
        <f>'14)Weide ext.(a)'!N43</f>
        <v>124.6699628146</v>
      </c>
      <c r="P24" s="285">
        <f>'14)Weide ext.(a)'!O43</f>
        <v>0</v>
      </c>
      <c r="Q24" s="285">
        <f>'14)Weide ext.(a)'!P43</f>
        <v>0</v>
      </c>
      <c r="R24" s="1574">
        <f>'14)Weide ext.(a)'!Q43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'14)Weide ext.(a)'!L59</f>
        <v>0</v>
      </c>
      <c r="N25" s="285">
        <f>'14)Weide ext.(a)'!M59</f>
        <v>0</v>
      </c>
      <c r="O25" s="285">
        <f>'14)Weide ext.(a)'!N59</f>
        <v>0</v>
      </c>
      <c r="P25" s="285">
        <f>'14)Weide ext.(a)'!O59</f>
        <v>0</v>
      </c>
      <c r="Q25" s="285">
        <f>'14)Weide ext.(a)'!P59</f>
        <v>0</v>
      </c>
      <c r="R25" s="1574">
        <f>'14)Weide ext.(a)'!Q59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'14)Weide ext.(a)'!L64</f>
        <v>0</v>
      </c>
      <c r="N26" s="1979">
        <f>'14)Weide ext.(a)'!M64</f>
        <v>0</v>
      </c>
      <c r="O26" s="1979">
        <f>'14)Weide ext.(a)'!N64</f>
        <v>0</v>
      </c>
      <c r="P26" s="1979">
        <f>'14)Weide ext.(a)'!O64</f>
        <v>0</v>
      </c>
      <c r="Q26" s="1979">
        <f>'14)Weide ext.(a)'!P64</f>
        <v>0</v>
      </c>
      <c r="R26" s="1981">
        <f>'14)Weide ext.(a)'!Q64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627.65628562919994</v>
      </c>
      <c r="N27" s="2407">
        <f t="shared" si="4"/>
        <v>351.65977881459997</v>
      </c>
      <c r="O27" s="2407">
        <f t="shared" si="4"/>
        <v>275.99650681459997</v>
      </c>
      <c r="P27" s="2407">
        <f t="shared" si="4"/>
        <v>0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-627.65628562919994</v>
      </c>
      <c r="N28" s="1777">
        <f t="shared" si="5"/>
        <v>-351.65977881459997</v>
      </c>
      <c r="O28" s="1777">
        <f t="shared" si="5"/>
        <v>-275.99650681459997</v>
      </c>
      <c r="P28" s="1777">
        <f t="shared" si="5"/>
        <v>0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-0.24125779736669739</v>
      </c>
      <c r="N29" s="1874">
        <f t="shared" si="6"/>
        <v>-0.22200743612032828</v>
      </c>
      <c r="O29" s="1874">
        <f t="shared" si="6"/>
        <v>-0.27122298232566822</v>
      </c>
      <c r="P29" s="1874">
        <f t="shared" si="6"/>
        <v>0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162</v>
      </c>
      <c r="O30" s="2097">
        <f t="shared" si="7"/>
        <v>108</v>
      </c>
      <c r="P30" s="2097">
        <f t="shared" si="7"/>
        <v>0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'14)Weide ext.(a)'!L25</f>
        <v>0</v>
      </c>
      <c r="V30" s="3308">
        <f>'14)Weide ext.(a)'!M25</f>
        <v>0</v>
      </c>
      <c r="W30" s="3308">
        <f>'14)Weide ext.(a)'!N25</f>
        <v>0</v>
      </c>
      <c r="X30" s="3308">
        <f>'14)Weide ext.(a)'!O25</f>
        <v>0</v>
      </c>
      <c r="Y30" s="3308">
        <f>'14)Weide ext.(a)'!P25</f>
        <v>0</v>
      </c>
      <c r="Z30" s="3308">
        <f>'14)Weide ext.(a)'!Q25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M27*'14)Weide ext.(a)'!$L$72*'14)Weide ext.(a)'!$Q$72/12/100</f>
        <v>3.9228517851825</v>
      </c>
      <c r="N31" s="1979">
        <f>N27*'14)Weide ext.(a)'!$L$72*'14)Weide ext.(a)'!$Q$72/12/100</f>
        <v>2.1978736175912501</v>
      </c>
      <c r="O31" s="1979">
        <f>O27*'14)Weide ext.(a)'!$L$72*'14)Weide ext.(a)'!$Q$72/12/100</f>
        <v>1.7249781675912497</v>
      </c>
      <c r="P31" s="1979">
        <f>P27*'14)Weide ext.(a)'!$L$72*'14)Weide ext.(a)'!$Q$72/12/100</f>
        <v>0</v>
      </c>
      <c r="Q31" s="1979">
        <f>Q27*'14)Weide ext.(a)'!$L$72*'14)Weide ext.(a)'!$Q$72/12/100</f>
        <v>0</v>
      </c>
      <c r="R31" s="1981">
        <f>R27*'14)Weide ext.(a)'!$L$72*'14)Weide ext.(a)'!$Q$72/12/100</f>
        <v>0</v>
      </c>
      <c r="T31" s="3297" t="s">
        <v>1215</v>
      </c>
      <c r="U31" s="3308">
        <f>'14)Weide ext.(a)'!L30</f>
        <v>270</v>
      </c>
      <c r="V31" s="3308">
        <f>'14)Weide ext.(a)'!M30</f>
        <v>162</v>
      </c>
      <c r="W31" s="3308">
        <f>'14)Weide ext.(a)'!N30</f>
        <v>108</v>
      </c>
      <c r="X31" s="3308">
        <f>'14)Weide ext.(a)'!O30</f>
        <v>0</v>
      </c>
      <c r="Y31" s="3308">
        <f>'14)Weide ext.(a)'!P30</f>
        <v>0</v>
      </c>
      <c r="Z31" s="3308">
        <f>'14)Weide ext.(a)'!Q30</f>
        <v>0</v>
      </c>
      <c r="AA31">
        <f>'14)Weide ext.(a)'!R30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-361.57913741438244</v>
      </c>
      <c r="N32" s="1769">
        <f t="shared" si="8"/>
        <v>-191.85765243219123</v>
      </c>
      <c r="O32" s="1769">
        <f t="shared" si="8"/>
        <v>-169.72148498219121</v>
      </c>
      <c r="P32" s="1769">
        <f t="shared" si="8"/>
        <v>0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162</v>
      </c>
      <c r="W32" s="429">
        <f t="shared" si="9"/>
        <v>108</v>
      </c>
      <c r="X32" s="429">
        <f t="shared" si="9"/>
        <v>0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-0.13898337077736103</v>
      </c>
      <c r="N33" s="1581">
        <f t="shared" si="10"/>
        <v>-0.12112225532335305</v>
      </c>
      <c r="O33" s="1581">
        <f t="shared" si="10"/>
        <v>-0.16678605049350553</v>
      </c>
      <c r="P33" s="1581">
        <f t="shared" si="10"/>
        <v>0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-8.3390022466416622E-2</v>
      </c>
      <c r="N34" s="2149">
        <f t="shared" si="11"/>
        <v>-7.2673353194011817E-2</v>
      </c>
      <c r="O34" s="2149">
        <f t="shared" si="11"/>
        <v>-0.1000716302961033</v>
      </c>
      <c r="P34" s="2149">
        <f t="shared" si="11"/>
        <v>0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'14)Weide ext.(a)'!K58</f>
        <v>15.036999999999999</v>
      </c>
      <c r="N36" s="2397">
        <f>'14)Weide ext.(a)'!M58</f>
        <v>7.5184999999999995</v>
      </c>
      <c r="O36" s="2397">
        <f>'14)Weide ext.(a)'!N58</f>
        <v>7.5184999999999995</v>
      </c>
      <c r="P36" s="2397">
        <f>'14)Weide ext.(a)'!O58</f>
        <v>0</v>
      </c>
      <c r="Q36" s="2397">
        <f>'14)Weide ext.(a)'!P58</f>
        <v>0</v>
      </c>
      <c r="R36" s="2398">
        <f>'14)Weide ext.(a)'!Q58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'14)Weide ext.(a)'!K16</f>
        <v>0</v>
      </c>
      <c r="N37" s="2400">
        <f>'14)Weide ext.(a)'!M16</f>
        <v>0</v>
      </c>
      <c r="O37" s="2400">
        <f>'14)Weide ext.(a)'!N16</f>
        <v>0</v>
      </c>
      <c r="P37" s="2400">
        <f>'14)Weide ext.(a)'!O16</f>
        <v>0</v>
      </c>
      <c r="Q37" s="2400">
        <f>'14)Weide ext.(a)'!P16</f>
        <v>0</v>
      </c>
      <c r="R37" s="2401">
        <f>'14)Weide ext.(a)'!Q16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8"/>
      <c r="N38" s="2110">
        <f>'14)Weide ext.(a)'!M78</f>
        <v>0</v>
      </c>
      <c r="O38" s="2110">
        <f>'14)Weide ext.(a)'!N78</f>
        <v>0</v>
      </c>
      <c r="P38" s="2110">
        <f>'14)Weide ext.(a)'!O78</f>
        <v>0</v>
      </c>
      <c r="Q38" s="2110">
        <f>'14)Weide ext.(a)'!P78</f>
        <v>0</v>
      </c>
      <c r="R38" s="2111">
        <f>'14)Weide ext.(a)'!Q78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263.14749999999998</v>
      </c>
      <c r="N39" s="285">
        <f t="shared" si="13"/>
        <v>131.57374999999999</v>
      </c>
      <c r="O39" s="285">
        <f t="shared" si="13"/>
        <v>131.57374999999999</v>
      </c>
      <c r="P39" s="285">
        <f t="shared" si="13"/>
        <v>0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'Festk-Masch-Geb'!U44</f>
        <v>162.25191905092592</v>
      </c>
      <c r="N41" s="285">
        <f>N$6/$M$6*$M$41</f>
        <v>97.351151430555547</v>
      </c>
      <c r="O41" s="285">
        <f>O$6/$M$6*$M$41</f>
        <v>64.900767620370374</v>
      </c>
      <c r="P41" s="285">
        <f>P$6/$M$6*$M$41</f>
        <v>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'Festk-Masch-Geb'!U54</f>
        <v>69.02</v>
      </c>
      <c r="N42" s="285">
        <f>N$6/$M$6*$M$42</f>
        <v>41.411999999999999</v>
      </c>
      <c r="O42" s="285">
        <f>O$6/$M$6*$M$42</f>
        <v>27.608000000000001</v>
      </c>
      <c r="P42" s="285">
        <f>P$6/$M$6*$M$42</f>
        <v>0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54</v>
      </c>
      <c r="O43" s="285">
        <f>O$6/$M$6*$M$43</f>
        <v>36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77.28</v>
      </c>
      <c r="O44" s="1979">
        <f>O$6/$M$6*$M$44</f>
        <v>51.52000000000001</v>
      </c>
      <c r="P44" s="1979">
        <f>P$6/$M$6*$M$44</f>
        <v>0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713.21941905092581</v>
      </c>
      <c r="N45" s="1991">
        <f t="shared" si="14"/>
        <v>401.61690143055557</v>
      </c>
      <c r="O45" s="1991">
        <f t="shared" si="14"/>
        <v>311.60251762037035</v>
      </c>
      <c r="P45" s="1991">
        <f t="shared" si="14"/>
        <v>0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1344.7985564653081</v>
      </c>
      <c r="N48" s="2127">
        <f t="shared" si="16"/>
        <v>755.4745538627468</v>
      </c>
      <c r="O48" s="2041">
        <f t="shared" si="16"/>
        <v>589.32400260256156</v>
      </c>
      <c r="P48" s="2041">
        <f t="shared" si="16"/>
        <v>0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-1344.7985564653081</v>
      </c>
      <c r="N49" s="2125">
        <f t="shared" si="17"/>
        <v>-755.4745538627468</v>
      </c>
      <c r="O49" s="1772">
        <f t="shared" si="17"/>
        <v>-589.32400260256156</v>
      </c>
      <c r="P49" s="1772">
        <f t="shared" si="17"/>
        <v>0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-0.5169121142624955</v>
      </c>
      <c r="N50" s="2511">
        <f t="shared" si="18"/>
        <v>-0.47694100622648156</v>
      </c>
      <c r="O50" s="2168">
        <f t="shared" si="18"/>
        <v>-0.57913129186572487</v>
      </c>
      <c r="P50" s="2168">
        <f t="shared" si="18"/>
        <v>0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162</v>
      </c>
      <c r="O51" s="2185">
        <f t="shared" si="19"/>
        <v>108</v>
      </c>
      <c r="P51" s="2185">
        <f t="shared" si="19"/>
        <v>0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-1074.7985564653081</v>
      </c>
      <c r="N52" s="2178">
        <f t="shared" si="20"/>
        <v>-593.4745538627468</v>
      </c>
      <c r="O52" s="2081">
        <f t="shared" si="20"/>
        <v>-481.32400260256156</v>
      </c>
      <c r="P52" s="2081">
        <f t="shared" si="20"/>
        <v>0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-0.41312982643961721</v>
      </c>
      <c r="N53" s="2511">
        <f t="shared" si="21"/>
        <v>-0.37466827895375432</v>
      </c>
      <c r="O53" s="2168">
        <f t="shared" si="21"/>
        <v>-0.47299921639402676</v>
      </c>
      <c r="P53" s="2168">
        <f t="shared" si="21"/>
        <v>0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1074.7985564653081</v>
      </c>
      <c r="N55" s="2038">
        <f t="shared" si="22"/>
        <v>593.4745538627468</v>
      </c>
      <c r="O55" s="2038">
        <f t="shared" si="22"/>
        <v>481.32400260256156</v>
      </c>
      <c r="P55" s="2038">
        <f t="shared" si="22"/>
        <v>0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3.5826618548843605</v>
      </c>
      <c r="N56" s="2103">
        <f t="shared" si="24"/>
        <v>3.2970808547930379</v>
      </c>
      <c r="O56" s="2103">
        <f t="shared" si="24"/>
        <v>4.0110333550213459</v>
      </c>
      <c r="P56" s="2103">
        <f t="shared" si="24"/>
        <v>0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22.391636593027254</v>
      </c>
      <c r="N57" s="3427">
        <f>IF($N$7=0,0,N$55/$N$9)</f>
        <v>20.606755342456484</v>
      </c>
      <c r="O57" s="3427">
        <f>IF($O$7=0,0,O$55/$O$9)</f>
        <v>25.068958468883416</v>
      </c>
      <c r="P57" s="3427">
        <f>IF($P$7=0,0,P$55/$P$9)</f>
        <v>0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0</v>
      </c>
      <c r="N58" s="2134">
        <f t="shared" si="25"/>
        <v>0</v>
      </c>
      <c r="O58" s="2134">
        <f t="shared" si="25"/>
        <v>0</v>
      </c>
      <c r="P58" s="2134">
        <f t="shared" si="25"/>
        <v>0</v>
      </c>
      <c r="Q58" s="2134">
        <f t="shared" si="25"/>
        <v>0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0.41312982643961721</v>
      </c>
      <c r="N59" s="2136">
        <f t="shared" si="25"/>
        <v>0.37466827895375432</v>
      </c>
      <c r="O59" s="2136">
        <f t="shared" si="25"/>
        <v>0.47299921639402676</v>
      </c>
      <c r="P59" s="2136">
        <f t="shared" si="25"/>
        <v>0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0.11475828512211589</v>
      </c>
      <c r="N60" s="2136">
        <f t="shared" si="26"/>
        <v>0.10407452193159841</v>
      </c>
      <c r="O60" s="2136">
        <f t="shared" si="26"/>
        <v>0.131388671220563</v>
      </c>
      <c r="P60" s="2136">
        <f t="shared" si="26"/>
        <v>0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0.41312982643961721</v>
      </c>
      <c r="N61" s="2136">
        <f t="shared" si="27"/>
        <v>0.37466827895375432</v>
      </c>
      <c r="O61" s="2136">
        <f t="shared" si="27"/>
        <v>0.47299921639402676</v>
      </c>
      <c r="P61" s="2136">
        <f t="shared" si="27"/>
        <v>0</v>
      </c>
      <c r="Q61" s="2136">
        <f t="shared" si="27"/>
        <v>0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0.24787789586377032</v>
      </c>
      <c r="N62" s="2513">
        <f t="shared" si="28"/>
        <v>0.22480096737225252</v>
      </c>
      <c r="O62" s="2513">
        <f t="shared" si="28"/>
        <v>0.28379952983641604</v>
      </c>
      <c r="P62" s="2513">
        <f t="shared" si="28"/>
        <v>0</v>
      </c>
      <c r="Q62" s="2513">
        <f t="shared" si="28"/>
        <v>0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1074.7985564653081</v>
      </c>
      <c r="N63" s="1769">
        <f t="shared" si="29"/>
        <v>593.4745538627468</v>
      </c>
      <c r="O63" s="1769">
        <f t="shared" si="29"/>
        <v>481.32400260256156</v>
      </c>
      <c r="P63" s="1769">
        <f t="shared" si="29"/>
        <v>0</v>
      </c>
      <c r="Q63" s="1769">
        <f t="shared" si="29"/>
        <v>0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22.391636593027254</v>
      </c>
      <c r="N64" s="3427">
        <f>IF($N$7=0,0,N$63/$N$9)</f>
        <v>20.606755342456484</v>
      </c>
      <c r="O64" s="3427">
        <f>IF($O$7=0,0,O$63/$O$9)</f>
        <v>25.068958468883416</v>
      </c>
      <c r="P64" s="3427">
        <f>IF($P$7=0,0,P$63/$P$9)</f>
        <v>0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0.41312982643961721</v>
      </c>
      <c r="N65" s="2169">
        <f t="shared" si="30"/>
        <v>0.37466827895375432</v>
      </c>
      <c r="O65" s="2169">
        <f t="shared" si="30"/>
        <v>0.47299921639402676</v>
      </c>
      <c r="P65" s="2169">
        <f t="shared" si="30"/>
        <v>0</v>
      </c>
      <c r="Q65" s="2169">
        <f t="shared" si="30"/>
        <v>0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0.24787789586377032</v>
      </c>
      <c r="N66" s="2171">
        <f t="shared" si="30"/>
        <v>0.22480096737225252</v>
      </c>
      <c r="O66" s="2171">
        <f t="shared" si="30"/>
        <v>0.28379952983641604</v>
      </c>
      <c r="P66" s="2171">
        <f t="shared" si="30"/>
        <v>0</v>
      </c>
      <c r="Q66" s="2171">
        <f t="shared" si="30"/>
        <v>0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382.23921178518248</v>
      </c>
      <c r="N68" s="1772">
        <f t="shared" si="31"/>
        <v>229.18768961759122</v>
      </c>
      <c r="O68" s="1772">
        <f t="shared" si="31"/>
        <v>153.05152216759123</v>
      </c>
      <c r="P68" s="1772">
        <f t="shared" si="31"/>
        <v>0</v>
      </c>
      <c r="Q68" s="1772">
        <f t="shared" si="31"/>
        <v>0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0.14692466627659229</v>
      </c>
      <c r="N69" s="2031">
        <f t="shared" si="32"/>
        <v>0.14468919799090355</v>
      </c>
      <c r="O69" s="2031">
        <f t="shared" si="32"/>
        <v>0.15040440464582472</v>
      </c>
      <c r="P69" s="2031">
        <f t="shared" si="32"/>
        <v>0</v>
      </c>
      <c r="Q69" s="2031">
        <f t="shared" si="32"/>
        <v>0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674.7393446801259</v>
      </c>
      <c r="N70" s="1769">
        <f t="shared" si="33"/>
        <v>353.59486424515558</v>
      </c>
      <c r="O70" s="1769">
        <f t="shared" si="33"/>
        <v>321.14448043497032</v>
      </c>
      <c r="P70" s="1769">
        <f t="shared" si="33"/>
        <v>0</v>
      </c>
      <c r="Q70" s="1769">
        <f t="shared" si="33"/>
        <v>0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0.25935552916671506</v>
      </c>
      <c r="N71" s="2168">
        <f t="shared" si="34"/>
        <v>0.22322908096285074</v>
      </c>
      <c r="O71" s="2168">
        <f t="shared" si="34"/>
        <v>0.3155900947670699</v>
      </c>
      <c r="P71" s="2168">
        <f t="shared" si="34"/>
        <v>0</v>
      </c>
      <c r="Q71" s="2168">
        <f t="shared" si="34"/>
        <v>0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55:B71"/>
    <mergeCell ref="B47:B53"/>
    <mergeCell ref="B28:B34"/>
    <mergeCell ref="B36:B45"/>
    <mergeCell ref="F3:G3"/>
    <mergeCell ref="D19:D23"/>
    <mergeCell ref="B3:B5"/>
    <mergeCell ref="B19:B27"/>
    <mergeCell ref="D24:D26"/>
    <mergeCell ref="B1:H1"/>
    <mergeCell ref="L1:N1"/>
    <mergeCell ref="O1:R1"/>
    <mergeCell ref="I3:M3"/>
    <mergeCell ref="D32:K32"/>
    <mergeCell ref="B6:B13"/>
    <mergeCell ref="D28:K28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43&amp;9
&amp;R&amp;12&amp;F
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7">
    <tabColor rgb="FF92D05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927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1880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Weide</v>
      </c>
      <c r="N5" s="246" t="str">
        <f>VLOOKUP(W5,$S$4:$T$9,2)</f>
        <v>Weide</v>
      </c>
      <c r="O5" s="246" t="str">
        <f>VLOOKUP($X$5,$S$4:$T$9,2)</f>
        <v>Weide</v>
      </c>
      <c r="P5" s="246" t="str">
        <f>VLOOKUP($Y$5,$S$4:$T$9,2)</f>
        <v>Weide</v>
      </c>
      <c r="Q5" s="255" t="str">
        <f>VLOOKUP($Z$5,$S$4:$T$9,2)</f>
        <v>Weide</v>
      </c>
      <c r="R5" s="565"/>
      <c r="S5" s="599">
        <v>2</v>
      </c>
      <c r="T5" s="601" t="s">
        <v>1120</v>
      </c>
      <c r="U5"/>
      <c r="V5" s="3311">
        <v>1</v>
      </c>
      <c r="W5" s="3312">
        <v>1</v>
      </c>
      <c r="X5" s="3312">
        <v>1</v>
      </c>
      <c r="Y5" s="3312">
        <v>1</v>
      </c>
      <c r="Z5" s="3313">
        <v>1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55" t="s">
        <v>226</v>
      </c>
      <c r="E6" s="225"/>
      <c r="F6" s="225"/>
      <c r="G6" s="225"/>
      <c r="H6" s="225"/>
      <c r="I6" s="357" t="s">
        <v>139</v>
      </c>
      <c r="J6" s="172"/>
      <c r="K6" s="4043">
        <v>90</v>
      </c>
      <c r="L6" s="1676"/>
      <c r="M6" s="520">
        <f>$K$6*M7/100</f>
        <v>27</v>
      </c>
      <c r="N6" s="521">
        <f>$K$6*N7/100</f>
        <v>27</v>
      </c>
      <c r="O6" s="521">
        <f>$K$6*O7/100</f>
        <v>18</v>
      </c>
      <c r="P6" s="521">
        <f>$K$6*P7/100</f>
        <v>18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366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30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20</v>
      </c>
      <c r="L8" s="1679"/>
      <c r="M8" s="476">
        <v>20</v>
      </c>
      <c r="N8" s="412">
        <v>20</v>
      </c>
      <c r="O8" s="412">
        <v>20</v>
      </c>
      <c r="P8" s="412">
        <v>20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16</v>
      </c>
      <c r="L10" s="1679"/>
      <c r="M10" s="443">
        <v>16</v>
      </c>
      <c r="N10" s="444">
        <v>16</v>
      </c>
      <c r="O10" s="444">
        <v>16</v>
      </c>
      <c r="P10" s="444">
        <v>16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16</v>
      </c>
      <c r="L11" s="1682"/>
      <c r="M11" s="488">
        <v>16</v>
      </c>
      <c r="N11" s="489">
        <v>16</v>
      </c>
      <c r="O11" s="489">
        <v>16</v>
      </c>
      <c r="P11" s="489">
        <v>16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/>
      <c r="F12" s="8" t="s">
        <v>1016</v>
      </c>
      <c r="J12" s="512" t="s">
        <v>235</v>
      </c>
      <c r="K12" s="1614">
        <f>IF(M15=0,0,(M$15*M12+N$15*N12+O$15*O12+P$15*P12+Q$15*Q12)/K$15)</f>
        <v>0</v>
      </c>
      <c r="L12" s="1731"/>
      <c r="M12" s="1331">
        <v>0</v>
      </c>
      <c r="N12" s="1332">
        <v>0</v>
      </c>
      <c r="O12" s="1332">
        <v>0</v>
      </c>
      <c r="P12" s="1332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0</v>
      </c>
      <c r="L13" s="1683"/>
      <c r="M13" s="641">
        <f>M12*M11/100</f>
        <v>0</v>
      </c>
      <c r="N13" s="642">
        <f>N12*N11/100</f>
        <v>0</v>
      </c>
      <c r="O13" s="642">
        <f>O12*O11/100</f>
        <v>0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>SUM(M14:Q14)</f>
        <v>72</v>
      </c>
      <c r="L14" s="1684"/>
      <c r="M14" s="251">
        <f>M6*(100-M8)/100</f>
        <v>21.6</v>
      </c>
      <c r="N14" s="252">
        <f>N6*(100-N8)/100</f>
        <v>21.6</v>
      </c>
      <c r="O14" s="252">
        <f>O6*(100-O8)/100</f>
        <v>14.4</v>
      </c>
      <c r="P14" s="252">
        <f>P6*(100-P8)/100</f>
        <v>14.4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>SUM(M15:Q15)</f>
        <v>450</v>
      </c>
      <c r="L15" s="1684"/>
      <c r="M15" s="251">
        <f>IF(M10=0,0,M14/M10*100)</f>
        <v>135</v>
      </c>
      <c r="N15" s="252">
        <f>IF(N10=0,0,N14/N10*100)</f>
        <v>135</v>
      </c>
      <c r="O15" s="252">
        <f>IF(O10=0,0,O14/O10*100)</f>
        <v>90</v>
      </c>
      <c r="P15" s="252">
        <f>IF(P10=0,0,P14/P10*100)</f>
        <v>90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>SUM(M16:Q16)</f>
        <v>0</v>
      </c>
      <c r="L16" s="4311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>SUM(M17:Q17)</f>
        <v>72</v>
      </c>
      <c r="L17" s="1686"/>
      <c r="M17" s="251">
        <f>M14*(100-M9)/100</f>
        <v>21.6</v>
      </c>
      <c r="N17" s="254">
        <f>N14*(100-N9)/100</f>
        <v>21.6</v>
      </c>
      <c r="O17" s="254">
        <f>O14*(100-O9)/100</f>
        <v>14.4</v>
      </c>
      <c r="P17" s="254">
        <f>P14*(100-P9)/100</f>
        <v>14.4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>SUM(M18:Q18)</f>
        <v>450</v>
      </c>
      <c r="L18" s="1686"/>
      <c r="M18" s="251">
        <f>IF(M11=0,0,M17/M11*100)</f>
        <v>135</v>
      </c>
      <c r="N18" s="254">
        <f>IF(N11=0,0,N17/N11*100)</f>
        <v>135</v>
      </c>
      <c r="O18" s="254">
        <f>IF(O11=0,0,O17/O11*100)</f>
        <v>90</v>
      </c>
      <c r="P18" s="254">
        <f>IF(P11=0,0,P17/P11*100)</f>
        <v>90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2383"/>
      <c r="K19" s="1687"/>
      <c r="L19" s="1688"/>
      <c r="M19" s="504"/>
      <c r="N19" s="505"/>
      <c r="O19" s="505"/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6.1900000000000013</v>
      </c>
      <c r="L20" s="1689"/>
      <c r="M20" s="312">
        <v>6.4</v>
      </c>
      <c r="N20" s="313">
        <v>6.3</v>
      </c>
      <c r="O20" s="313">
        <v>6.1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10.316666666666666</v>
      </c>
      <c r="L21" s="1689"/>
      <c r="M21" s="515">
        <f>IF($G21=0,0,M20/$G21)</f>
        <v>10.666666666666668</v>
      </c>
      <c r="N21" s="516">
        <f>IF($G21=0,0,N20/$G21)</f>
        <v>10.5</v>
      </c>
      <c r="O21" s="516">
        <f>IF($G21=0,0,O20/$G21)</f>
        <v>10.166666666666666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4456.8</v>
      </c>
      <c r="L22" s="1690"/>
      <c r="M22" s="446">
        <f t="shared" ref="M22:Q23" si="0">M$17*M20*10</f>
        <v>1382.4</v>
      </c>
      <c r="N22" s="448">
        <f t="shared" si="0"/>
        <v>1360.8000000000002</v>
      </c>
      <c r="O22" s="448">
        <f t="shared" si="0"/>
        <v>878.40000000000009</v>
      </c>
      <c r="P22" s="448">
        <f t="shared" si="0"/>
        <v>835.19999999999993</v>
      </c>
      <c r="Q22" s="450">
        <f t="shared" si="0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7428</v>
      </c>
      <c r="L23" s="1691"/>
      <c r="M23" s="447">
        <f t="shared" si="0"/>
        <v>2304.0000000000005</v>
      </c>
      <c r="N23" s="449">
        <f t="shared" si="0"/>
        <v>2268</v>
      </c>
      <c r="O23" s="449">
        <f t="shared" si="0"/>
        <v>1464</v>
      </c>
      <c r="P23" s="449">
        <f t="shared" si="0"/>
        <v>1392</v>
      </c>
      <c r="Q23" s="451">
        <f t="shared" si="0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/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81</v>
      </c>
      <c r="O30" s="254">
        <f>$L30*O7/100</f>
        <v>54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28.248000000000001</v>
      </c>
      <c r="M32" s="460">
        <f>$L32*M$7/100</f>
        <v>8.474400000000001</v>
      </c>
      <c r="N32" s="461">
        <f>$L32*N$7/100</f>
        <v>8.474400000000001</v>
      </c>
      <c r="O32" s="461">
        <f>$L32*O$7/100</f>
        <v>5.6496000000000004</v>
      </c>
      <c r="P32" s="461">
        <f>$L32*P$7/100</f>
        <v>5.6496000000000004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6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549.37301999999988</v>
      </c>
      <c r="M34" s="460">
        <f>$L34*M$7/100</f>
        <v>164.81190599999999</v>
      </c>
      <c r="N34" s="461">
        <f>$L34*N$7/100</f>
        <v>164.81190599999999</v>
      </c>
      <c r="O34" s="461">
        <f>$L34*O$7/100</f>
        <v>109.87460399999998</v>
      </c>
      <c r="P34" s="461">
        <f>$L34*P$7/100</f>
        <v>109.87460399999998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2.4</v>
      </c>
      <c r="I36" s="117">
        <v>-45</v>
      </c>
      <c r="J36" s="159"/>
      <c r="K36" s="1703">
        <f>H36*$K$14+I36</f>
        <v>127.79999999999998</v>
      </c>
      <c r="L36" s="1704">
        <f>K36*$F36</f>
        <v>219.50501999999997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2307"/>
      <c r="J37" s="159"/>
      <c r="K37" s="1703">
        <f>H37*$K$14+I37</f>
        <v>72</v>
      </c>
      <c r="L37" s="1704">
        <f>K37*$F37</f>
        <v>81.395999999999987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216</v>
      </c>
      <c r="L38" s="1704">
        <f>K38*$F38</f>
        <v>227.05199999999999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</v>
      </c>
      <c r="I39" s="120"/>
      <c r="J39" s="161"/>
      <c r="K39" s="1705">
        <f>H39*$K$14+I39</f>
        <v>36</v>
      </c>
      <c r="L39" s="1706">
        <f>K39*$F39</f>
        <v>21.419999999999998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272.16286561799996</v>
      </c>
      <c r="M43" s="484">
        <f>SUM(Z46:Z56)</f>
        <v>68.040716404499989</v>
      </c>
      <c r="N43" s="484">
        <f>SUM(AA46:AA56)</f>
        <v>68.040716404499989</v>
      </c>
      <c r="O43" s="484">
        <f>SUM(AB46:AB56)</f>
        <v>68.040716404499989</v>
      </c>
      <c r="P43" s="484">
        <f>SUM(AC46:AC56)</f>
        <v>68.040716404499989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1">SUM(M46:Q46)</f>
        <v>1</v>
      </c>
      <c r="K46" s="1651">
        <f t="shared" ref="K46:K56" si="2">J46*H46</f>
        <v>0.82</v>
      </c>
      <c r="L46" s="1704">
        <f t="shared" ref="L46:L56" si="3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4">IF(M46&lt;&gt;0,M46*$H46,0)</f>
        <v>0.20499999999999999</v>
      </c>
      <c r="U46" s="479">
        <f t="shared" ref="U46:U56" si="5">IF(N46&lt;&gt;0,N46*$H46,0)</f>
        <v>0.20499999999999999</v>
      </c>
      <c r="V46" s="479">
        <f t="shared" ref="V46:V56" si="6">IF(O46&lt;&gt;0,O46*$H46,0)</f>
        <v>0.20499999999999999</v>
      </c>
      <c r="W46" s="479">
        <f t="shared" ref="W46:W56" si="7">IF(P46&lt;&gt;0,P46*$H46,0)</f>
        <v>0.20499999999999999</v>
      </c>
      <c r="X46" s="480">
        <f t="shared" ref="X46:X56" si="8">IF(Q46&lt;&gt;0,Q46*$H46,0)</f>
        <v>0</v>
      </c>
      <c r="Y46"/>
      <c r="Z46" s="478">
        <f t="shared" ref="Z46:Z56" si="9">IF(M46&lt;&gt;0,M46*$I46,0)</f>
        <v>2.9804792933999988</v>
      </c>
      <c r="AA46" s="479">
        <f t="shared" ref="AA46:AA56" si="10">IF(N46&lt;&gt;0,N46*$I46,0)</f>
        <v>2.9804792933999988</v>
      </c>
      <c r="AB46" s="479">
        <f t="shared" ref="AB46:AB56" si="11">IF(O46&lt;&gt;0,O46*$I46,0)</f>
        <v>2.9804792933999988</v>
      </c>
      <c r="AC46" s="479">
        <f t="shared" ref="AC46:AC56" si="12">IF(P46&lt;&gt;0,P46*$I46,0)</f>
        <v>2.9804792933999988</v>
      </c>
      <c r="AD46" s="480">
        <f t="shared" ref="AD46:AD56" si="13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1"/>
        <v>1</v>
      </c>
      <c r="K47" s="1651">
        <f t="shared" si="2"/>
        <v>0.48</v>
      </c>
      <c r="L47" s="1704">
        <f t="shared" si="3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4"/>
        <v>0.12</v>
      </c>
      <c r="U47" s="479">
        <f t="shared" si="5"/>
        <v>0.12</v>
      </c>
      <c r="V47" s="479">
        <f t="shared" si="6"/>
        <v>0.12</v>
      </c>
      <c r="W47" s="479">
        <f t="shared" si="7"/>
        <v>0.12</v>
      </c>
      <c r="X47" s="480">
        <f t="shared" si="8"/>
        <v>0</v>
      </c>
      <c r="Y47"/>
      <c r="Z47" s="478">
        <f t="shared" si="9"/>
        <v>2.3643415375999997</v>
      </c>
      <c r="AA47" s="479">
        <f t="shared" si="10"/>
        <v>2.3643415375999997</v>
      </c>
      <c r="AB47" s="479">
        <f t="shared" si="11"/>
        <v>2.3643415375999997</v>
      </c>
      <c r="AC47" s="479">
        <f t="shared" si="12"/>
        <v>2.3643415375999997</v>
      </c>
      <c r="AD47" s="480">
        <f t="shared" si="13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52</v>
      </c>
      <c r="C48" s="104"/>
      <c r="D48" s="137"/>
      <c r="E48" s="8"/>
      <c r="F48" s="8"/>
      <c r="G48" s="468">
        <f>IF($B48=0,0,VLOOKUP($B48,Arbeitsgänge!$B$27:$T$80,7))</f>
        <v>0</v>
      </c>
      <c r="H48" s="507">
        <f>IF($B48=0,0,VLOOKUP($B48,Arbeitsgänge!$B$27:$O$79,12))</f>
        <v>0</v>
      </c>
      <c r="I48" s="469">
        <f>IF($B48=0,0,VLOOKUP($B48,Arbeitsgänge!$B$27:$T$80,14))</f>
        <v>0</v>
      </c>
      <c r="J48" s="593">
        <f t="shared" si="1"/>
        <v>0</v>
      </c>
      <c r="K48" s="1651">
        <f t="shared" si="2"/>
        <v>0</v>
      </c>
      <c r="L48" s="1704">
        <f t="shared" si="3"/>
        <v>0</v>
      </c>
      <c r="M48" s="317"/>
      <c r="N48" s="318"/>
      <c r="O48" s="318"/>
      <c r="P48" s="318"/>
      <c r="Q48" s="319"/>
      <c r="R48" s="542"/>
      <c r="S48" s="542"/>
      <c r="T48" s="478">
        <f t="shared" si="4"/>
        <v>0</v>
      </c>
      <c r="U48" s="479">
        <f t="shared" si="5"/>
        <v>0</v>
      </c>
      <c r="V48" s="479">
        <f t="shared" si="6"/>
        <v>0</v>
      </c>
      <c r="W48" s="479">
        <f t="shared" si="7"/>
        <v>0</v>
      </c>
      <c r="X48" s="480">
        <f t="shared" si="8"/>
        <v>0</v>
      </c>
      <c r="Y48"/>
      <c r="Z48" s="478">
        <f t="shared" si="9"/>
        <v>0</v>
      </c>
      <c r="AA48" s="479">
        <f t="shared" si="10"/>
        <v>0</v>
      </c>
      <c r="AB48" s="479">
        <f t="shared" si="11"/>
        <v>0</v>
      </c>
      <c r="AC48" s="479">
        <f t="shared" si="12"/>
        <v>0</v>
      </c>
      <c r="AD48" s="480">
        <f t="shared" si="13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0.37</v>
      </c>
      <c r="I49" s="469">
        <f>IF($B49=0,0,VLOOKUP($B49,Arbeitsgänge!$B$27:$T$80,14))</f>
        <v>5.4505114075999996</v>
      </c>
      <c r="J49" s="593">
        <f t="shared" si="1"/>
        <v>2</v>
      </c>
      <c r="K49" s="1651">
        <f t="shared" si="2"/>
        <v>0.74</v>
      </c>
      <c r="L49" s="1704">
        <f t="shared" si="3"/>
        <v>10.901022815199999</v>
      </c>
      <c r="M49" s="317">
        <v>0.5</v>
      </c>
      <c r="N49" s="318">
        <v>0.5</v>
      </c>
      <c r="O49" s="318">
        <v>0.5</v>
      </c>
      <c r="P49" s="318">
        <v>0.5</v>
      </c>
      <c r="Q49" s="319"/>
      <c r="R49" s="542"/>
      <c r="S49" s="542"/>
      <c r="T49" s="478">
        <f t="shared" si="4"/>
        <v>0.185</v>
      </c>
      <c r="U49" s="479">
        <f t="shared" si="5"/>
        <v>0.185</v>
      </c>
      <c r="V49" s="479">
        <f t="shared" si="6"/>
        <v>0.185</v>
      </c>
      <c r="W49" s="479">
        <f t="shared" si="7"/>
        <v>0.185</v>
      </c>
      <c r="X49" s="480">
        <f t="shared" si="8"/>
        <v>0</v>
      </c>
      <c r="Y49"/>
      <c r="Z49" s="478">
        <f t="shared" si="9"/>
        <v>2.7252557037999998</v>
      </c>
      <c r="AA49" s="479">
        <f t="shared" si="10"/>
        <v>2.7252557037999998</v>
      </c>
      <c r="AB49" s="479">
        <f t="shared" si="11"/>
        <v>2.7252557037999998</v>
      </c>
      <c r="AC49" s="479">
        <f t="shared" si="12"/>
        <v>2.7252557037999998</v>
      </c>
      <c r="AD49" s="480">
        <f t="shared" si="13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48</v>
      </c>
      <c r="C50" s="104"/>
      <c r="D50" s="137"/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12</v>
      </c>
      <c r="I50" s="469">
        <f>IF($B50=0,0,VLOOKUP($B50,Arbeitsgänge!$B$27:$T$80,14))</f>
        <v>210</v>
      </c>
      <c r="J50" s="593">
        <f t="shared" si="1"/>
        <v>1</v>
      </c>
      <c r="K50" s="1651">
        <f t="shared" si="2"/>
        <v>12</v>
      </c>
      <c r="L50" s="1704">
        <f t="shared" si="3"/>
        <v>210</v>
      </c>
      <c r="M50" s="1177">
        <v>0.25</v>
      </c>
      <c r="N50" s="1178">
        <v>0.25</v>
      </c>
      <c r="O50" s="1178">
        <v>0.25</v>
      </c>
      <c r="P50" s="1179">
        <v>0.25</v>
      </c>
      <c r="Q50" s="319"/>
      <c r="R50" s="542"/>
      <c r="S50" s="542"/>
      <c r="T50" s="478">
        <f t="shared" si="4"/>
        <v>3</v>
      </c>
      <c r="U50" s="479">
        <f t="shared" si="5"/>
        <v>3</v>
      </c>
      <c r="V50" s="479">
        <f t="shared" si="6"/>
        <v>3</v>
      </c>
      <c r="W50" s="479">
        <f t="shared" si="7"/>
        <v>3</v>
      </c>
      <c r="X50" s="480">
        <f t="shared" si="8"/>
        <v>0</v>
      </c>
      <c r="Y50"/>
      <c r="Z50" s="478">
        <f t="shared" si="9"/>
        <v>52.5</v>
      </c>
      <c r="AA50" s="479">
        <f t="shared" si="10"/>
        <v>52.5</v>
      </c>
      <c r="AB50" s="479">
        <f t="shared" si="11"/>
        <v>52.5</v>
      </c>
      <c r="AC50" s="479">
        <f t="shared" si="12"/>
        <v>52.5</v>
      </c>
      <c r="AD50" s="480">
        <f t="shared" si="13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17</v>
      </c>
      <c r="C51" s="104"/>
      <c r="D51" s="137"/>
      <c r="E51" s="8"/>
      <c r="F51" s="8"/>
      <c r="G51" s="468" t="str">
        <f>IF($B51=0,0,VLOOKUP($B51,Arbeitsgänge!$B$27:$T$80,7))</f>
        <v>83 Kw</v>
      </c>
      <c r="H51" s="507">
        <f>IF($B51=0,0,VLOOKUP($B51,Arbeitsgänge!$B$27:$O$79,12))</f>
        <v>1.19</v>
      </c>
      <c r="I51" s="469">
        <f>IF($B51=0,0,VLOOKUP($B51,Arbeitsgänge!$B$27:$T$80,14))</f>
        <v>29.88255947879999</v>
      </c>
      <c r="J51" s="593">
        <f t="shared" si="1"/>
        <v>1</v>
      </c>
      <c r="K51" s="1651">
        <f t="shared" si="2"/>
        <v>1.19</v>
      </c>
      <c r="L51" s="1704">
        <f t="shared" si="3"/>
        <v>29.88255947879999</v>
      </c>
      <c r="M51" s="317">
        <v>0.25</v>
      </c>
      <c r="N51" s="318">
        <v>0.25</v>
      </c>
      <c r="O51" s="318">
        <v>0.25</v>
      </c>
      <c r="P51" s="318">
        <v>0.25</v>
      </c>
      <c r="Q51" s="319"/>
      <c r="R51" s="542"/>
      <c r="S51" s="542"/>
      <c r="T51" s="478">
        <f t="shared" si="4"/>
        <v>0.29749999999999999</v>
      </c>
      <c r="U51" s="479">
        <f t="shared" si="5"/>
        <v>0.29749999999999999</v>
      </c>
      <c r="V51" s="479">
        <f t="shared" si="6"/>
        <v>0.29749999999999999</v>
      </c>
      <c r="W51" s="479">
        <f t="shared" si="7"/>
        <v>0.29749999999999999</v>
      </c>
      <c r="X51" s="480">
        <f t="shared" si="8"/>
        <v>0</v>
      </c>
      <c r="Y51"/>
      <c r="Z51" s="478">
        <f t="shared" si="9"/>
        <v>7.4706398696999976</v>
      </c>
      <c r="AA51" s="479">
        <f t="shared" si="10"/>
        <v>7.4706398696999976</v>
      </c>
      <c r="AB51" s="479">
        <f t="shared" si="11"/>
        <v>7.4706398696999976</v>
      </c>
      <c r="AC51" s="479">
        <f t="shared" si="12"/>
        <v>7.4706398696999976</v>
      </c>
      <c r="AD51" s="480">
        <f t="shared" si="13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1"/>
        <v>0</v>
      </c>
      <c r="K52" s="1651">
        <f t="shared" si="2"/>
        <v>0</v>
      </c>
      <c r="L52" s="1704">
        <f t="shared" si="3"/>
        <v>0</v>
      </c>
      <c r="M52" s="317"/>
      <c r="N52" s="318"/>
      <c r="O52" s="318"/>
      <c r="P52" s="318"/>
      <c r="Q52" s="319"/>
      <c r="R52" s="542"/>
      <c r="S52" s="542"/>
      <c r="T52" s="478">
        <f t="shared" si="4"/>
        <v>0</v>
      </c>
      <c r="U52" s="479">
        <f t="shared" si="5"/>
        <v>0</v>
      </c>
      <c r="V52" s="479">
        <f t="shared" si="6"/>
        <v>0</v>
      </c>
      <c r="W52" s="479">
        <f t="shared" si="7"/>
        <v>0</v>
      </c>
      <c r="X52" s="480">
        <f t="shared" si="8"/>
        <v>0</v>
      </c>
      <c r="Y52"/>
      <c r="Z52" s="478">
        <f t="shared" si="9"/>
        <v>0</v>
      </c>
      <c r="AA52" s="479">
        <f t="shared" si="10"/>
        <v>0</v>
      </c>
      <c r="AB52" s="479">
        <f t="shared" si="11"/>
        <v>0</v>
      </c>
      <c r="AC52" s="479">
        <f t="shared" si="12"/>
        <v>0</v>
      </c>
      <c r="AD52" s="480">
        <f t="shared" si="13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1"/>
        <v>0</v>
      </c>
      <c r="K53" s="1651">
        <f t="shared" si="2"/>
        <v>0</v>
      </c>
      <c r="L53" s="1704">
        <f t="shared" si="3"/>
        <v>0</v>
      </c>
      <c r="M53" s="317"/>
      <c r="N53" s="318"/>
      <c r="O53" s="318"/>
      <c r="P53" s="318"/>
      <c r="Q53" s="319"/>
      <c r="R53" s="542"/>
      <c r="S53" s="542"/>
      <c r="T53" s="478">
        <f t="shared" si="4"/>
        <v>0</v>
      </c>
      <c r="U53" s="479">
        <f t="shared" si="5"/>
        <v>0</v>
      </c>
      <c r="V53" s="479">
        <f t="shared" si="6"/>
        <v>0</v>
      </c>
      <c r="W53" s="479">
        <f t="shared" si="7"/>
        <v>0</v>
      </c>
      <c r="X53" s="480">
        <f t="shared" si="8"/>
        <v>0</v>
      </c>
      <c r="Y53"/>
      <c r="Z53" s="478">
        <f t="shared" si="9"/>
        <v>0</v>
      </c>
      <c r="AA53" s="479">
        <f t="shared" si="10"/>
        <v>0</v>
      </c>
      <c r="AB53" s="479">
        <f t="shared" si="11"/>
        <v>0</v>
      </c>
      <c r="AC53" s="479">
        <f t="shared" si="12"/>
        <v>0</v>
      </c>
      <c r="AD53" s="480">
        <f t="shared" si="13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1"/>
        <v>0</v>
      </c>
      <c r="K54" s="1651">
        <f t="shared" si="2"/>
        <v>0</v>
      </c>
      <c r="L54" s="1704">
        <f t="shared" si="3"/>
        <v>0</v>
      </c>
      <c r="M54" s="317"/>
      <c r="N54" s="318"/>
      <c r="O54" s="318"/>
      <c r="P54" s="318"/>
      <c r="Q54" s="319"/>
      <c r="R54" s="542"/>
      <c r="S54" s="542"/>
      <c r="T54" s="478">
        <f t="shared" si="4"/>
        <v>0</v>
      </c>
      <c r="U54" s="479">
        <f t="shared" si="5"/>
        <v>0</v>
      </c>
      <c r="V54" s="479">
        <f t="shared" si="6"/>
        <v>0</v>
      </c>
      <c r="W54" s="479">
        <f t="shared" si="7"/>
        <v>0</v>
      </c>
      <c r="X54" s="480">
        <f t="shared" si="8"/>
        <v>0</v>
      </c>
      <c r="Y54"/>
      <c r="Z54" s="478">
        <f t="shared" si="9"/>
        <v>0</v>
      </c>
      <c r="AA54" s="479">
        <f t="shared" si="10"/>
        <v>0</v>
      </c>
      <c r="AB54" s="479">
        <f t="shared" si="11"/>
        <v>0</v>
      </c>
      <c r="AC54" s="479">
        <f t="shared" si="12"/>
        <v>0</v>
      </c>
      <c r="AD54" s="480">
        <f t="shared" si="13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1"/>
        <v>0</v>
      </c>
      <c r="K55" s="1651">
        <f t="shared" si="2"/>
        <v>0</v>
      </c>
      <c r="L55" s="1704">
        <f t="shared" si="3"/>
        <v>0</v>
      </c>
      <c r="M55" s="317"/>
      <c r="N55" s="318"/>
      <c r="O55" s="318"/>
      <c r="P55" s="318"/>
      <c r="Q55" s="319"/>
      <c r="R55" s="542"/>
      <c r="S55" s="542"/>
      <c r="T55" s="478">
        <f t="shared" si="4"/>
        <v>0</v>
      </c>
      <c r="U55" s="479">
        <f t="shared" si="5"/>
        <v>0</v>
      </c>
      <c r="V55" s="479">
        <f t="shared" si="6"/>
        <v>0</v>
      </c>
      <c r="W55" s="479">
        <f t="shared" si="7"/>
        <v>0</v>
      </c>
      <c r="X55" s="480">
        <f t="shared" si="8"/>
        <v>0</v>
      </c>
      <c r="Y55"/>
      <c r="Z55" s="478">
        <f t="shared" si="9"/>
        <v>0</v>
      </c>
      <c r="AA55" s="479">
        <f t="shared" si="10"/>
        <v>0</v>
      </c>
      <c r="AB55" s="479">
        <f t="shared" si="11"/>
        <v>0</v>
      </c>
      <c r="AC55" s="479">
        <f t="shared" si="12"/>
        <v>0</v>
      </c>
      <c r="AD55" s="480">
        <f t="shared" si="13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1"/>
        <v>0</v>
      </c>
      <c r="K56" s="1652">
        <f t="shared" si="2"/>
        <v>0</v>
      </c>
      <c r="L56" s="1714">
        <f t="shared" si="3"/>
        <v>0</v>
      </c>
      <c r="M56" s="320"/>
      <c r="N56" s="321"/>
      <c r="O56" s="321"/>
      <c r="P56" s="321"/>
      <c r="Q56" s="322"/>
      <c r="R56" s="542"/>
      <c r="S56" s="542"/>
      <c r="T56" s="481">
        <f t="shared" si="4"/>
        <v>0</v>
      </c>
      <c r="U56" s="482">
        <f t="shared" si="5"/>
        <v>0</v>
      </c>
      <c r="V56" s="482">
        <f t="shared" si="6"/>
        <v>0</v>
      </c>
      <c r="W56" s="482">
        <f t="shared" si="7"/>
        <v>0</v>
      </c>
      <c r="X56" s="483">
        <f t="shared" si="8"/>
        <v>0</v>
      </c>
      <c r="Y56"/>
      <c r="Z56" s="481">
        <f t="shared" si="9"/>
        <v>0</v>
      </c>
      <c r="AA56" s="482">
        <f t="shared" si="10"/>
        <v>0</v>
      </c>
      <c r="AB56" s="482">
        <f t="shared" si="11"/>
        <v>0</v>
      </c>
      <c r="AC56" s="482">
        <f t="shared" si="12"/>
        <v>0</v>
      </c>
      <c r="AD56" s="483">
        <f t="shared" si="13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15.229999999999999</v>
      </c>
      <c r="L57" s="1716"/>
      <c r="M57" s="278">
        <f>SUM(T46:T56)</f>
        <v>3.8074999999999997</v>
      </c>
      <c r="N57" s="508">
        <f>SUM(U46:U56)</f>
        <v>3.8074999999999997</v>
      </c>
      <c r="O57" s="508">
        <f>SUM(V46:V56)</f>
        <v>3.8074999999999997</v>
      </c>
      <c r="P57" s="508">
        <f>SUM(W46:W56)</f>
        <v>3.8074999999999997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10</v>
      </c>
      <c r="H58" s="74" t="s">
        <v>1047</v>
      </c>
      <c r="I58" s="74"/>
      <c r="J58" s="89"/>
      <c r="K58" s="1717">
        <f>SUM(M58:Q58)</f>
        <v>16.753</v>
      </c>
      <c r="L58" s="1718"/>
      <c r="M58" s="270">
        <f>IF(M57+(M57*$G$58/100)&gt;M57+10,M57+10,M57+(M57*$G$58/100))</f>
        <v>4.18825</v>
      </c>
      <c r="N58" s="509">
        <f>IF(N57+(N57*$G$58/100)&gt;(N57+10),N57+10,N57+(N57*$G$58/100))</f>
        <v>4.18825</v>
      </c>
      <c r="O58" s="509">
        <f>IF(O57+(O57*$G$58/100)&gt;(O57+10),O57+10,O57+(O57*$G$58/100))</f>
        <v>4.18825</v>
      </c>
      <c r="P58" s="509">
        <f>P57+P57*$G$58/100</f>
        <v>4.18825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12.375999999999999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3.0939999999999999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4044"/>
      <c r="F61" s="1461"/>
      <c r="G61" s="3484">
        <v>65</v>
      </c>
      <c r="H61" s="3448">
        <f>G61*(100+$H$59)/100</f>
        <v>77.349999999999994</v>
      </c>
      <c r="I61" s="2616"/>
      <c r="J61" s="2617">
        <f>SUM(M61:Q61)</f>
        <v>0.16</v>
      </c>
      <c r="K61" s="2618"/>
      <c r="L61" s="2619">
        <f>J61*H61</f>
        <v>12.375999999999999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/>
      <c r="R61" s="542"/>
      <c r="S61" s="542"/>
      <c r="T61" s="594">
        <f>IF(M61&lt;&gt;0,M61*$H61,0)</f>
        <v>3.0939999999999999</v>
      </c>
      <c r="U61" s="594">
        <f t="shared" ref="U61:X63" si="14">IF(N61&lt;&gt;0,N61*$H61,0)</f>
        <v>3.0939999999999999</v>
      </c>
      <c r="V61" s="594">
        <f t="shared" si="14"/>
        <v>3.0939999999999999</v>
      </c>
      <c r="W61" s="594">
        <f t="shared" si="14"/>
        <v>3.0939999999999999</v>
      </c>
      <c r="X61" s="594">
        <f t="shared" si="14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4"/>
        <v>0</v>
      </c>
      <c r="V62" s="594">
        <f t="shared" si="14"/>
        <v>0</v>
      </c>
      <c r="W62" s="594">
        <f t="shared" si="14"/>
        <v>0</v>
      </c>
      <c r="X62" s="594">
        <f t="shared" si="14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IF(K24=0,0,K36/Z67)*K24*Y69</f>
        <v>0</v>
      </c>
      <c r="L63" s="3119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4"/>
        <v>0</v>
      </c>
      <c r="V63" s="594">
        <f t="shared" si="14"/>
        <v>0</v>
      </c>
      <c r="W63" s="594">
        <f t="shared" si="14"/>
        <v>0</v>
      </c>
      <c r="X63" s="594">
        <f t="shared" si="14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0.16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5">SUM(L69:L70)</f>
        <v>95.199999999999989</v>
      </c>
      <c r="M67" s="253">
        <f t="shared" si="15"/>
        <v>28.56</v>
      </c>
      <c r="N67" s="254">
        <f t="shared" si="15"/>
        <v>28.56</v>
      </c>
      <c r="O67" s="254">
        <f t="shared" si="15"/>
        <v>19.04</v>
      </c>
      <c r="P67" s="254">
        <f t="shared" si="15"/>
        <v>19.04</v>
      </c>
      <c r="Q67" s="257">
        <f t="shared" si="15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8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195" t="s">
        <v>552</v>
      </c>
      <c r="B69" s="937">
        <v>1</v>
      </c>
      <c r="C69" s="1378"/>
      <c r="D69" s="939" t="str">
        <f>IF($B69=0,0,VLOOKUP($B69,'Preise-Stammdaten'!$B$61:'Preise-Stammdaten'!$N$66,2))</f>
        <v>Zaunkosten Standweide/ha</v>
      </c>
      <c r="E69" s="931"/>
      <c r="F69" s="93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95.2</v>
      </c>
      <c r="K69" s="1728"/>
      <c r="L69" s="1671">
        <f>SUM(M69:Q69)</f>
        <v>95.199999999999989</v>
      </c>
      <c r="M69" s="1386">
        <f>IF(AND($B69&lt;3,V$5=1),M$7*$I69/100,IF(AND($B69=3,V$5=3),M$7*$I69/100,0))</f>
        <v>28.56</v>
      </c>
      <c r="N69" s="933">
        <f t="shared" ref="N69:P70" si="16">IF(AND($B69&lt;3,W$5=1),N$7*$I69/100,IF(AND($B69=3,W$5=3),N$7*$I69/100,0))</f>
        <v>28.56</v>
      </c>
      <c r="O69" s="933">
        <f t="shared" si="16"/>
        <v>19.04</v>
      </c>
      <c r="P69" s="933">
        <f t="shared" si="16"/>
        <v>19.04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122">
        <v>0.5</v>
      </c>
      <c r="Z69" s="3121" t="s">
        <v>601</v>
      </c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>
        <v>0</v>
      </c>
      <c r="C70" s="1390"/>
      <c r="D70" s="939">
        <f>IF($B70=0,0,VLOOKUP($B70,'Preise-Stammdaten'!$B$61:'Preise-Stammdaten'!$N$66,2))</f>
        <v>0</v>
      </c>
      <c r="E70" s="931"/>
      <c r="F70" s="939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6"/>
        <v>0</v>
      </c>
      <c r="O70" s="933">
        <f t="shared" si="16"/>
        <v>0</v>
      </c>
      <c r="P70" s="933">
        <f t="shared" si="16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4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7">K16</f>
        <v>0</v>
      </c>
      <c r="L77" s="3321">
        <f t="shared" si="17"/>
        <v>0</v>
      </c>
      <c r="M77" s="3321">
        <f t="shared" si="17"/>
        <v>0</v>
      </c>
      <c r="N77" s="3321">
        <f t="shared" si="17"/>
        <v>0</v>
      </c>
      <c r="O77" s="3321">
        <f t="shared" si="17"/>
        <v>0</v>
      </c>
      <c r="P77" s="3321">
        <f t="shared" si="17"/>
        <v>0</v>
      </c>
      <c r="Q77" s="3321">
        <f t="shared" si="17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44&amp;9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defaultSize="0" print="0" autoFill="0" autoLine="0" autoPict="0">
                <anchor moveWithCells="1">
                  <from>
                    <xdr:col>12</xdr:col>
                    <xdr:colOff>133350</xdr:colOff>
                    <xdr:row>4</xdr:row>
                    <xdr:rowOff>28575</xdr:rowOff>
                  </from>
                  <to>
                    <xdr:col>12</xdr:col>
                    <xdr:colOff>533400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47625</xdr:rowOff>
                  </from>
                  <to>
                    <xdr:col>13</xdr:col>
                    <xdr:colOff>504825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Drop Down 3">
              <controlPr defaultSize="0" print="0" autoFill="0" autoLine="0" autoPict="0">
                <anchor moveWithCells="1">
                  <from>
                    <xdr:col>14</xdr:col>
                    <xdr:colOff>104775</xdr:colOff>
                    <xdr:row>4</xdr:row>
                    <xdr:rowOff>38100</xdr:rowOff>
                  </from>
                  <to>
                    <xdr:col>14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Drop Down 4">
              <controlPr defaultSize="0" print="0" autoFill="0" autoLine="0" autoPict="0">
                <anchor moveWithCells="1">
                  <from>
                    <xdr:col>15</xdr:col>
                    <xdr:colOff>85725</xdr:colOff>
                    <xdr:row>4</xdr:row>
                    <xdr:rowOff>38100</xdr:rowOff>
                  </from>
                  <to>
                    <xdr:col>15</xdr:col>
                    <xdr:colOff>495300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Drop Down 5">
              <controlPr defaultSize="0" print="0" autoFill="0" autoLine="0" autoPict="0">
                <anchor moveWithCells="1">
                  <from>
                    <xdr:col>16</xdr:col>
                    <xdr:colOff>133350</xdr:colOff>
                    <xdr:row>4</xdr:row>
                    <xdr:rowOff>38100</xdr:rowOff>
                  </from>
                  <to>
                    <xdr:col>16</xdr:col>
                    <xdr:colOff>542925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552450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552450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552450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552450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552450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180975</xdr:rowOff>
                  </from>
                  <to>
                    <xdr:col>5</xdr:col>
                    <xdr:colOff>552450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180975</xdr:rowOff>
                  </from>
                  <to>
                    <xdr:col>5</xdr:col>
                    <xdr:colOff>552450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180975</xdr:rowOff>
                  </from>
                  <to>
                    <xdr:col>5</xdr:col>
                    <xdr:colOff>552450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552450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180975</xdr:rowOff>
                  </from>
                  <to>
                    <xdr:col>5</xdr:col>
                    <xdr:colOff>552450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180975</xdr:rowOff>
                  </from>
                  <to>
                    <xdr:col>5</xdr:col>
                    <xdr:colOff>552450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'15)Weide int.(a)'!H2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'15)Weide int.(a)'!K2</f>
        <v>Standweide intensiv 4 Nutz.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'15)Weide int.(a)'!H3</f>
        <v>intensive Standweide (als Kurzrasen- oder Umtriebsweide), ohne FAKT-Förderung, ungünsige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'15)Weide int.(a)'!M5</f>
        <v>Weide</v>
      </c>
      <c r="O5" s="1568" t="str">
        <f>'15)Weide int.(a)'!N5</f>
        <v>Weide</v>
      </c>
      <c r="P5" s="1568" t="str">
        <f>'15)Weide int.(a)'!O5</f>
        <v>Weide</v>
      </c>
      <c r="Q5" s="1568" t="str">
        <f>'15)Weide int.(a)'!P5</f>
        <v>Weide</v>
      </c>
      <c r="R5" s="1573" t="str">
        <f>'15)Weide int.(a)'!Q5</f>
        <v>Weide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'15)Weide int.(a)'!K6</f>
        <v>90</v>
      </c>
      <c r="N6" s="1821">
        <f>'15)Weide int.(a)'!M6</f>
        <v>27</v>
      </c>
      <c r="O6" s="1821">
        <f>'15)Weide int.(a)'!N6</f>
        <v>27</v>
      </c>
      <c r="P6" s="1821">
        <f>'15)Weide int.(a)'!O6</f>
        <v>18</v>
      </c>
      <c r="Q6" s="1821">
        <f>'15)Weide int.(a)'!P6</f>
        <v>18</v>
      </c>
      <c r="R6" s="1822">
        <f>'15)Weide int.(a)'!Q6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'15)Weide int.(a)'!K14</f>
        <v>72</v>
      </c>
      <c r="N7" s="452">
        <f>'15)Weide int.(a)'!M14</f>
        <v>21.6</v>
      </c>
      <c r="O7" s="452">
        <f>'15)Weide int.(a)'!N14</f>
        <v>21.6</v>
      </c>
      <c r="P7" s="452">
        <f>'15)Weide int.(a)'!O14</f>
        <v>14.4</v>
      </c>
      <c r="Q7" s="452">
        <f>'15)Weide int.(a)'!P14</f>
        <v>14.4</v>
      </c>
      <c r="R7" s="1744">
        <f>'15)Weide int.(a)'!Q14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'15)Weide int.(a)'!K15</f>
        <v>450</v>
      </c>
      <c r="N8" s="473">
        <f>'15)Weide int.(a)'!M15</f>
        <v>135</v>
      </c>
      <c r="O8" s="473">
        <f>'15)Weide int.(a)'!N15</f>
        <v>135</v>
      </c>
      <c r="P8" s="473">
        <f>'15)Weide int.(a)'!O15</f>
        <v>90</v>
      </c>
      <c r="Q8" s="473">
        <f>'15)Weide int.(a)'!P15</f>
        <v>90</v>
      </c>
      <c r="R8" s="1583">
        <f>'15)Weide int.(a)'!Q15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'15)Weide int.(a)'!K17</f>
        <v>72</v>
      </c>
      <c r="N9" s="452">
        <f>'15)Weide int.(a)'!M17</f>
        <v>21.6</v>
      </c>
      <c r="O9" s="452">
        <f>'15)Weide int.(a)'!N17</f>
        <v>21.6</v>
      </c>
      <c r="P9" s="452">
        <f>'15)Weide int.(a)'!O17</f>
        <v>14.4</v>
      </c>
      <c r="Q9" s="452">
        <f>'15)Weide int.(a)'!P17</f>
        <v>14.4</v>
      </c>
      <c r="R9" s="1744">
        <f>'15)Weide int.(a)'!Q17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'15)Weide int.(a)'!K18</f>
        <v>450</v>
      </c>
      <c r="N10" s="1748">
        <f>'15)Weide int.(a)'!M18</f>
        <v>135</v>
      </c>
      <c r="O10" s="1748">
        <f>'15)Weide int.(a)'!N18</f>
        <v>135</v>
      </c>
      <c r="P10" s="1748">
        <f>'15)Weide int.(a)'!O18</f>
        <v>90</v>
      </c>
      <c r="Q10" s="1748">
        <f>'15)Weide int.(a)'!P18</f>
        <v>90</v>
      </c>
      <c r="R10" s="1745">
        <f>'15)Weide int.(a)'!Q18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'15)Weide int.(a)'!K19</f>
        <v>0</v>
      </c>
      <c r="N11" s="2094">
        <f>'15)Weide int.(a)'!M19</f>
        <v>0</v>
      </c>
      <c r="O11" s="2094">
        <f>'15)Weide int.(a)'!N19</f>
        <v>0</v>
      </c>
      <c r="P11" s="2094">
        <f>'15)Weide int.(a)'!O19</f>
        <v>0</v>
      </c>
      <c r="Q11" s="2094">
        <f>'15)Weide int.(a)'!P19</f>
        <v>0</v>
      </c>
      <c r="R11" s="2078">
        <f>'15)Weide int.(a)'!Q19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'15)Weide int.(a)'!K22</f>
        <v>4456.8</v>
      </c>
      <c r="N12" s="1176">
        <f>'15)Weide int.(a)'!M22</f>
        <v>1382.4</v>
      </c>
      <c r="O12" s="1176">
        <f>'15)Weide int.(a)'!N22</f>
        <v>1360.8000000000002</v>
      </c>
      <c r="P12" s="1176">
        <f>'15)Weide int.(a)'!O22</f>
        <v>878.40000000000009</v>
      </c>
      <c r="Q12" s="1176">
        <f>'15)Weide int.(a)'!P22</f>
        <v>835.19999999999993</v>
      </c>
      <c r="R12" s="1747">
        <f>'15)Weide int.(a)'!Q22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'15)Weide int.(a)'!K23</f>
        <v>7428</v>
      </c>
      <c r="N13" s="2065">
        <f>'15)Weide int.(a)'!M23</f>
        <v>2304.0000000000005</v>
      </c>
      <c r="O13" s="2065">
        <f>'15)Weide int.(a)'!N23</f>
        <v>2268</v>
      </c>
      <c r="P13" s="2065">
        <f>'15)Weide int.(a)'!O23</f>
        <v>1464</v>
      </c>
      <c r="Q13" s="2065">
        <f>'15)Weide int.(a)'!P23</f>
        <v>1392</v>
      </c>
      <c r="R13" s="2067">
        <f>'15)Weide int.(a)'!Q23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81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81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'15)Weide int.(a)'!L32</f>
        <v>28.248000000000001</v>
      </c>
      <c r="N19" s="2071">
        <f>'15)Weide int.(a)'!M32</f>
        <v>8.474400000000001</v>
      </c>
      <c r="O19" s="2071">
        <f>'15)Weide int.(a)'!N32</f>
        <v>8.474400000000001</v>
      </c>
      <c r="P19" s="2071">
        <f>'15)Weide int.(a)'!O32</f>
        <v>5.6496000000000004</v>
      </c>
      <c r="Q19" s="2071">
        <f>'15)Weide int.(a)'!P32</f>
        <v>5.6496000000000004</v>
      </c>
      <c r="R19" s="2073">
        <f>'15)Weide int.(a)'!Q32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'15)Weide int.(a)'!L34</f>
        <v>549.37301999999988</v>
      </c>
      <c r="N20" s="285">
        <f>'15)Weide int.(a)'!M34</f>
        <v>164.81190599999999</v>
      </c>
      <c r="O20" s="285">
        <f>'15)Weide int.(a)'!N34</f>
        <v>164.81190599999999</v>
      </c>
      <c r="P20" s="285">
        <f>'15)Weide int.(a)'!O34</f>
        <v>109.87460399999998</v>
      </c>
      <c r="Q20" s="285">
        <f>'15)Weide int.(a)'!P34</f>
        <v>109.87460399999998</v>
      </c>
      <c r="R20" s="1574">
        <f>'15)Weide int.(a)'!Q34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'15)Weide int.(a)'!L40</f>
        <v>0</v>
      </c>
      <c r="N21" s="285">
        <f>'15)Weide int.(a)'!M40</f>
        <v>0</v>
      </c>
      <c r="O21" s="285">
        <f>'15)Weide int.(a)'!N40</f>
        <v>0</v>
      </c>
      <c r="P21" s="285">
        <f>'15)Weide int.(a)'!O40</f>
        <v>0</v>
      </c>
      <c r="Q21" s="285">
        <f>'15)Weide int.(a)'!P40</f>
        <v>0</v>
      </c>
      <c r="R21" s="1574">
        <f>'15)Weide int.(a)'!Q40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'15)Weide int.(a)'!L67</f>
        <v>95.199999999999989</v>
      </c>
      <c r="N23" s="285">
        <f>'15)Weide int.(a)'!M67</f>
        <v>28.56</v>
      </c>
      <c r="O23" s="285">
        <f>'15)Weide int.(a)'!N67</f>
        <v>28.56</v>
      </c>
      <c r="P23" s="285">
        <f>'15)Weide int.(a)'!O67</f>
        <v>19.04</v>
      </c>
      <c r="Q23" s="285">
        <f>'15)Weide int.(a)'!P67</f>
        <v>19.04</v>
      </c>
      <c r="R23" s="1574">
        <f>'15)Weide int.(a)'!Q67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'15)Weide int.(a)'!L43</f>
        <v>272.16286561799996</v>
      </c>
      <c r="N24" s="285">
        <f>'15)Weide int.(a)'!M43</f>
        <v>68.040716404499989</v>
      </c>
      <c r="O24" s="285">
        <f>'15)Weide int.(a)'!N43</f>
        <v>68.040716404499989</v>
      </c>
      <c r="P24" s="285">
        <f>'15)Weide int.(a)'!O43</f>
        <v>68.040716404499989</v>
      </c>
      <c r="Q24" s="285">
        <f>'15)Weide int.(a)'!P43</f>
        <v>68.040716404499989</v>
      </c>
      <c r="R24" s="1574">
        <f>'15)Weide int.(a)'!Q43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'15)Weide int.(a)'!L59</f>
        <v>12.375999999999999</v>
      </c>
      <c r="N25" s="285">
        <f>'15)Weide int.(a)'!M59</f>
        <v>3.0939999999999999</v>
      </c>
      <c r="O25" s="285">
        <f>'15)Weide int.(a)'!N59</f>
        <v>3.0939999999999999</v>
      </c>
      <c r="P25" s="285">
        <f>'15)Weide int.(a)'!O59</f>
        <v>3.0939999999999999</v>
      </c>
      <c r="Q25" s="285">
        <f>'15)Weide int.(a)'!P59</f>
        <v>3.0939999999999999</v>
      </c>
      <c r="R25" s="1574">
        <f>'15)Weide int.(a)'!Q59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'15)Weide int.(a)'!L64</f>
        <v>0</v>
      </c>
      <c r="N26" s="1979">
        <f>'15)Weide int.(a)'!M64</f>
        <v>0</v>
      </c>
      <c r="O26" s="1979">
        <f>'15)Weide int.(a)'!N64</f>
        <v>0</v>
      </c>
      <c r="P26" s="1979">
        <f>'15)Weide int.(a)'!O64</f>
        <v>0</v>
      </c>
      <c r="Q26" s="1979">
        <f>'15)Weide int.(a)'!P64</f>
        <v>0</v>
      </c>
      <c r="R26" s="1981">
        <f>'15)Weide int.(a)'!Q64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957.35988561799979</v>
      </c>
      <c r="N27" s="2407">
        <f t="shared" si="4"/>
        <v>272.98102240449998</v>
      </c>
      <c r="O27" s="2407">
        <f t="shared" si="4"/>
        <v>272.98102240449998</v>
      </c>
      <c r="P27" s="2407">
        <f t="shared" si="4"/>
        <v>205.69892040449997</v>
      </c>
      <c r="Q27" s="2407">
        <f t="shared" si="4"/>
        <v>205.69892040449997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-957.35988561799979</v>
      </c>
      <c r="N28" s="1777">
        <f t="shared" si="5"/>
        <v>-272.98102240449998</v>
      </c>
      <c r="O28" s="1777">
        <f t="shared" si="5"/>
        <v>-272.98102240449998</v>
      </c>
      <c r="P28" s="1777">
        <f t="shared" si="5"/>
        <v>-205.69892040449997</v>
      </c>
      <c r="Q28" s="1777">
        <f t="shared" si="5"/>
        <v>-205.69892040449997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-0.21480880578397052</v>
      </c>
      <c r="N29" s="1874">
        <f t="shared" si="7"/>
        <v>-0.19746891088288482</v>
      </c>
      <c r="O29" s="1874">
        <f t="shared" si="7"/>
        <v>-0.200603338039756</v>
      </c>
      <c r="P29" s="1874">
        <f t="shared" si="7"/>
        <v>-0.2341745450870901</v>
      </c>
      <c r="Q29" s="1874">
        <f t="shared" si="7"/>
        <v>-0.24628702155711205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81</v>
      </c>
      <c r="P30" s="2097">
        <f t="shared" si="8"/>
        <v>54</v>
      </c>
      <c r="Q30" s="2097">
        <f t="shared" si="8"/>
        <v>54</v>
      </c>
      <c r="R30" s="1744">
        <f t="shared" si="8"/>
        <v>0</v>
      </c>
      <c r="T30" s="3297" t="s">
        <v>1216</v>
      </c>
      <c r="U30" s="3308">
        <f>'15)Weide int.(a)'!L25</f>
        <v>0</v>
      </c>
      <c r="V30" s="3308">
        <f>'15)Weide int.(a)'!M25</f>
        <v>0</v>
      </c>
      <c r="W30" s="3308">
        <f>'15)Weide int.(a)'!N25</f>
        <v>0</v>
      </c>
      <c r="X30" s="3308">
        <f>'15)Weide int.(a)'!O25</f>
        <v>0</v>
      </c>
      <c r="Y30" s="3308">
        <f>'15)Weide int.(a)'!P25</f>
        <v>0</v>
      </c>
      <c r="Z30" s="3308">
        <f>'15)Weide int.(a)'!Q25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M27*'15)Weide int.(a)'!$L$72*'15)Weide int.(a)'!$Q$72/12/100</f>
        <v>5.9834992851124991</v>
      </c>
      <c r="N31" s="1979">
        <f>N27*'15)Weide int.(a)'!$L$72*'15)Weide int.(a)'!$Q$72/12/100</f>
        <v>1.706131390028125</v>
      </c>
      <c r="O31" s="1979">
        <f>O27*'15)Weide int.(a)'!$L$72*'15)Weide int.(a)'!$Q$72/12/100</f>
        <v>1.706131390028125</v>
      </c>
      <c r="P31" s="1979">
        <f>P27*'15)Weide int.(a)'!$L$72*'15)Weide int.(a)'!$Q$72/12/100</f>
        <v>1.285618252528125</v>
      </c>
      <c r="Q31" s="1979">
        <f>Q27*'15)Weide int.(a)'!$L$72*'15)Weide int.(a)'!$Q$72/12/100</f>
        <v>1.285618252528125</v>
      </c>
      <c r="R31" s="1981">
        <f>R27*'15)Weide int.(a)'!$L$72*'15)Weide int.(a)'!$Q$72/12/100</f>
        <v>0</v>
      </c>
      <c r="T31" s="3297" t="s">
        <v>1215</v>
      </c>
      <c r="U31" s="3308">
        <f>'15)Weide int.(a)'!L30</f>
        <v>270</v>
      </c>
      <c r="V31" s="3308">
        <f>'15)Weide int.(a)'!M30</f>
        <v>81</v>
      </c>
      <c r="W31" s="3308">
        <f>'15)Weide int.(a)'!N30</f>
        <v>81</v>
      </c>
      <c r="X31" s="3308">
        <f>'15)Weide int.(a)'!O30</f>
        <v>54</v>
      </c>
      <c r="Y31" s="3308">
        <f>'15)Weide int.(a)'!P30</f>
        <v>54</v>
      </c>
      <c r="Z31" s="3308">
        <f>'15)Weide int.(a)'!Q30</f>
        <v>0</v>
      </c>
      <c r="AA31"/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-693.34338490311234</v>
      </c>
      <c r="N32" s="1769">
        <f t="shared" si="9"/>
        <v>-193.68715379452811</v>
      </c>
      <c r="O32" s="1769">
        <f t="shared" si="9"/>
        <v>-193.68715379452811</v>
      </c>
      <c r="P32" s="1769">
        <f t="shared" si="9"/>
        <v>-152.98453865702811</v>
      </c>
      <c r="Q32" s="1769">
        <f t="shared" si="9"/>
        <v>-152.98453865702811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81</v>
      </c>
      <c r="X32" s="429">
        <f t="shared" si="10"/>
        <v>54</v>
      </c>
      <c r="Y32" s="429">
        <f t="shared" si="10"/>
        <v>54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-0.15556977762141275</v>
      </c>
      <c r="N33" s="1581">
        <f t="shared" si="11"/>
        <v>-0.14010934157590285</v>
      </c>
      <c r="O33" s="1581">
        <f t="shared" si="11"/>
        <v>-0.14233329937869496</v>
      </c>
      <c r="P33" s="1581">
        <f t="shared" si="11"/>
        <v>-0.17416272615781886</v>
      </c>
      <c r="Q33" s="1581">
        <f t="shared" si="11"/>
        <v>-0.1831711430280509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-9.3341866572847654E-2</v>
      </c>
      <c r="N34" s="2149">
        <f t="shared" si="12"/>
        <v>-8.4065604945541703E-2</v>
      </c>
      <c r="O34" s="2149">
        <f t="shared" si="12"/>
        <v>-8.5399979627216988E-2</v>
      </c>
      <c r="P34" s="2149">
        <f t="shared" si="12"/>
        <v>-0.10449763569469134</v>
      </c>
      <c r="Q34" s="2149">
        <f t="shared" si="12"/>
        <v>-0.10990268581683053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'15)Weide int.(a)'!K58</f>
        <v>16.753</v>
      </c>
      <c r="N36" s="2397">
        <f>'15)Weide int.(a)'!M58</f>
        <v>4.18825</v>
      </c>
      <c r="O36" s="2397">
        <f>'15)Weide int.(a)'!N58</f>
        <v>4.18825</v>
      </c>
      <c r="P36" s="2397">
        <f>'15)Weide int.(a)'!O58</f>
        <v>4.18825</v>
      </c>
      <c r="Q36" s="2397">
        <f>'15)Weide int.(a)'!P58</f>
        <v>4.18825</v>
      </c>
      <c r="R36" s="2398">
        <f>'15)Weide int.(a)'!Q58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'15)Weide int.(a)'!K16</f>
        <v>0</v>
      </c>
      <c r="N37" s="2400">
        <f>'15)Weide int.(a)'!M16</f>
        <v>0</v>
      </c>
      <c r="O37" s="2400">
        <f>'15)Weide int.(a)'!N16</f>
        <v>0</v>
      </c>
      <c r="P37" s="2400">
        <f>'15)Weide int.(a)'!O16</f>
        <v>0</v>
      </c>
      <c r="Q37" s="2400">
        <f>'15)Weide int.(a)'!P16</f>
        <v>0</v>
      </c>
      <c r="R37" s="2401">
        <f>'15)Weide int.(a)'!Q16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8"/>
      <c r="N38" s="2110">
        <f>'15)Weide int.(a)'!M78</f>
        <v>0</v>
      </c>
      <c r="O38" s="2110">
        <f>'15)Weide int.(a)'!N78</f>
        <v>0</v>
      </c>
      <c r="P38" s="2110">
        <f>'15)Weide int.(a)'!O78</f>
        <v>0</v>
      </c>
      <c r="Q38" s="2110">
        <f>'15)Weide int.(a)'!P78</f>
        <v>0</v>
      </c>
      <c r="R38" s="2111">
        <f>'15)Weide int.(a)'!Q78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293.17750000000001</v>
      </c>
      <c r="N39" s="285">
        <f t="shared" si="14"/>
        <v>73.294375000000002</v>
      </c>
      <c r="O39" s="285">
        <f t="shared" si="14"/>
        <v>73.294375000000002</v>
      </c>
      <c r="P39" s="285">
        <f t="shared" si="14"/>
        <v>73.294375000000002</v>
      </c>
      <c r="Q39" s="285">
        <f t="shared" si="14"/>
        <v>73.294375000000002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'Festk-Masch-Geb'!U44</f>
        <v>162.25191905092592</v>
      </c>
      <c r="N41" s="285">
        <f>N$6/$M$6*$M$41</f>
        <v>48.675575715277773</v>
      </c>
      <c r="O41" s="285">
        <f>O$6/$M$6*$M$41</f>
        <v>48.675575715277773</v>
      </c>
      <c r="P41" s="285">
        <f>P$6/$M$6*$M$41</f>
        <v>32.450383810185187</v>
      </c>
      <c r="Q41" s="285">
        <f>Q$6/$M$6*$M$41</f>
        <v>32.450383810185187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'Festk-Masch-Geb'!U54</f>
        <v>69.02</v>
      </c>
      <c r="N42" s="285">
        <f>N$6/$M$6*$M$42</f>
        <v>20.706</v>
      </c>
      <c r="O42" s="285">
        <f>O$6/$M$6*$M$42</f>
        <v>20.706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63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38.64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863.24941905092601</v>
      </c>
      <c r="N45" s="1991">
        <f t="shared" si="15"/>
        <v>244.31595071527778</v>
      </c>
      <c r="O45" s="1991">
        <f t="shared" si="15"/>
        <v>244.31595071527778</v>
      </c>
      <c r="P45" s="1991">
        <f t="shared" si="15"/>
        <v>187.30875881018517</v>
      </c>
      <c r="Q45" s="1991">
        <f t="shared" si="15"/>
        <v>187.30875881018517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1826.5928039540383</v>
      </c>
      <c r="N48" s="2127">
        <f t="shared" si="17"/>
        <v>519.00310450980589</v>
      </c>
      <c r="O48" s="2041">
        <f t="shared" si="17"/>
        <v>519.00310450980589</v>
      </c>
      <c r="P48" s="2041">
        <f t="shared" si="17"/>
        <v>394.29329746721328</v>
      </c>
      <c r="Q48" s="2041">
        <f t="shared" si="17"/>
        <v>394.29329746721328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-1826.5928039540383</v>
      </c>
      <c r="N49" s="2125">
        <f t="shared" si="18"/>
        <v>-519.00310450980589</v>
      </c>
      <c r="O49" s="1772">
        <f t="shared" si="18"/>
        <v>-519.00310450980589</v>
      </c>
      <c r="P49" s="1772">
        <f t="shared" si="18"/>
        <v>-394.29329746721328</v>
      </c>
      <c r="Q49" s="1772">
        <f t="shared" si="18"/>
        <v>-394.29329746721328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-0.40984401452926728</v>
      </c>
      <c r="N50" s="2511">
        <f t="shared" si="19"/>
        <v>-0.37543627351693132</v>
      </c>
      <c r="O50" s="2168">
        <f t="shared" si="19"/>
        <v>-0.38139557944577146</v>
      </c>
      <c r="P50" s="2168">
        <f t="shared" si="19"/>
        <v>-0.44887670476686387</v>
      </c>
      <c r="Q50" s="2168">
        <f t="shared" si="19"/>
        <v>-0.4720944653582535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81</v>
      </c>
      <c r="P51" s="2185">
        <f t="shared" si="20"/>
        <v>54</v>
      </c>
      <c r="Q51" s="2185">
        <f t="shared" si="20"/>
        <v>54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-1556.5928039540383</v>
      </c>
      <c r="N52" s="2178">
        <f t="shared" si="21"/>
        <v>-438.00310450980589</v>
      </c>
      <c r="O52" s="2081">
        <f t="shared" si="21"/>
        <v>-438.00310450980589</v>
      </c>
      <c r="P52" s="2081">
        <f t="shared" si="21"/>
        <v>-340.29329746721328</v>
      </c>
      <c r="Q52" s="2081">
        <f t="shared" si="21"/>
        <v>-340.29329746721328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-0.34926243133055968</v>
      </c>
      <c r="N53" s="2511">
        <f t="shared" si="22"/>
        <v>-0.31684252351693132</v>
      </c>
      <c r="O53" s="2168">
        <f t="shared" si="22"/>
        <v>-0.32187176992196198</v>
      </c>
      <c r="P53" s="2168">
        <f t="shared" si="22"/>
        <v>-0.38740129493079833</v>
      </c>
      <c r="Q53" s="2168">
        <f t="shared" si="22"/>
        <v>-0.40743929294446035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1556.5928039540383</v>
      </c>
      <c r="N55" s="2038">
        <f t="shared" si="23"/>
        <v>438.00310450980589</v>
      </c>
      <c r="O55" s="2038">
        <f t="shared" si="23"/>
        <v>438.00310450980589</v>
      </c>
      <c r="P55" s="2038">
        <f t="shared" si="23"/>
        <v>340.29329746721328</v>
      </c>
      <c r="Q55" s="2038">
        <f t="shared" si="23"/>
        <v>340.29329746721328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3.4590951198978628</v>
      </c>
      <c r="N56" s="2103">
        <f t="shared" si="25"/>
        <v>3.2444674408133771</v>
      </c>
      <c r="O56" s="2103">
        <f t="shared" si="25"/>
        <v>3.2444674408133771</v>
      </c>
      <c r="P56" s="2103">
        <f t="shared" si="25"/>
        <v>3.7810366385245922</v>
      </c>
      <c r="Q56" s="2103">
        <f t="shared" si="25"/>
        <v>3.7810366385245922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21.619344499361645</v>
      </c>
      <c r="N57" s="3427">
        <f>IF($N$7=0,0,N$55/$N$9)</f>
        <v>20.277921505083604</v>
      </c>
      <c r="O57" s="3427">
        <f>IF($O$7=0,0,O$55/$O$9)</f>
        <v>20.277921505083604</v>
      </c>
      <c r="P57" s="3427">
        <f>IF($P$7=0,0,P$55/$P$9)</f>
        <v>23.6314789907787</v>
      </c>
      <c r="Q57" s="3427">
        <f>IF($Q$7=0,0,Q$55/$Q$9)</f>
        <v>23.6314789907787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0.34926243133055968</v>
      </c>
      <c r="N59" s="2136">
        <f t="shared" si="26"/>
        <v>0.31684252351693132</v>
      </c>
      <c r="O59" s="2136">
        <f t="shared" si="26"/>
        <v>0.32187176992196198</v>
      </c>
      <c r="P59" s="2136">
        <f t="shared" si="26"/>
        <v>0.38740129493079833</v>
      </c>
      <c r="Q59" s="2136">
        <f t="shared" si="26"/>
        <v>0.40743929294446035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9.7017342036266579E-2</v>
      </c>
      <c r="N60" s="2136">
        <f t="shared" si="27"/>
        <v>8.8011812088036476E-2</v>
      </c>
      <c r="O60" s="2136">
        <f t="shared" si="27"/>
        <v>8.9408824978322782E-2</v>
      </c>
      <c r="P60" s="2136">
        <f t="shared" si="27"/>
        <v>0.10761147081411064</v>
      </c>
      <c r="Q60" s="2136">
        <f t="shared" si="27"/>
        <v>0.11317758137346121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0.34926243133055968</v>
      </c>
      <c r="N61" s="2136">
        <f t="shared" si="28"/>
        <v>0.31684252351693132</v>
      </c>
      <c r="O61" s="2136">
        <f t="shared" si="28"/>
        <v>0.32187176992196198</v>
      </c>
      <c r="P61" s="2136">
        <f t="shared" si="28"/>
        <v>0.38740129493079833</v>
      </c>
      <c r="Q61" s="2136">
        <f t="shared" si="28"/>
        <v>0.40743929294446035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0.20955745879833582</v>
      </c>
      <c r="N62" s="2513">
        <f t="shared" si="29"/>
        <v>0.19010551411015877</v>
      </c>
      <c r="O62" s="2513">
        <f t="shared" si="29"/>
        <v>0.19312306195317719</v>
      </c>
      <c r="P62" s="2513">
        <f t="shared" si="29"/>
        <v>0.23244077695847901</v>
      </c>
      <c r="Q62" s="2513">
        <f t="shared" si="29"/>
        <v>0.24446357576667621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1556.5928039540383</v>
      </c>
      <c r="N63" s="1769">
        <f t="shared" si="30"/>
        <v>438.00310450980589</v>
      </c>
      <c r="O63" s="1769">
        <f t="shared" si="30"/>
        <v>438.00310450980589</v>
      </c>
      <c r="P63" s="1769">
        <f t="shared" si="30"/>
        <v>340.29329746721328</v>
      </c>
      <c r="Q63" s="1769">
        <f t="shared" si="30"/>
        <v>340.29329746721328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21.619344499361645</v>
      </c>
      <c r="N64" s="3427">
        <f>IF($N$7=0,0,N$63/$N$9)</f>
        <v>20.277921505083604</v>
      </c>
      <c r="O64" s="3427">
        <f>IF($O$7=0,0,O$63/$O$9)</f>
        <v>20.277921505083604</v>
      </c>
      <c r="P64" s="3427">
        <f>IF($P$7=0,0,P$63/$P$9)</f>
        <v>23.6314789907787</v>
      </c>
      <c r="Q64" s="3427">
        <f>IF($Q$7=0,0,Q$63/$Q$9)</f>
        <v>23.6314789907787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0.34926243133055968</v>
      </c>
      <c r="N65" s="2169">
        <f t="shared" si="31"/>
        <v>0.31684252351693132</v>
      </c>
      <c r="O65" s="2169">
        <f t="shared" si="31"/>
        <v>0.32187176992196198</v>
      </c>
      <c r="P65" s="2169">
        <f t="shared" si="31"/>
        <v>0.38740129493079833</v>
      </c>
      <c r="Q65" s="2169">
        <f t="shared" si="31"/>
        <v>0.40743929294446035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0.20955745879833582</v>
      </c>
      <c r="N66" s="2171">
        <f t="shared" si="31"/>
        <v>0.19010551411015877</v>
      </c>
      <c r="O66" s="2171">
        <f t="shared" si="31"/>
        <v>0.19312306195317719</v>
      </c>
      <c r="P66" s="2171">
        <f t="shared" si="31"/>
        <v>0.23244077695847901</v>
      </c>
      <c r="Q66" s="2171">
        <f t="shared" si="31"/>
        <v>0.24446357576667621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678.80451928511241</v>
      </c>
      <c r="N68" s="1772">
        <f t="shared" si="32"/>
        <v>203.55243739002813</v>
      </c>
      <c r="O68" s="1772">
        <f t="shared" si="32"/>
        <v>203.55243739002813</v>
      </c>
      <c r="P68" s="1772">
        <f t="shared" si="32"/>
        <v>135.84982225252813</v>
      </c>
      <c r="Q68" s="1772">
        <f t="shared" si="32"/>
        <v>135.84982225252813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0.15230760170640648</v>
      </c>
      <c r="N69" s="2031">
        <f t="shared" si="33"/>
        <v>0.14724568676940691</v>
      </c>
      <c r="O69" s="2031">
        <f t="shared" si="33"/>
        <v>0.14958291989273081</v>
      </c>
      <c r="P69" s="2031">
        <f t="shared" si="33"/>
        <v>0.15465599072464495</v>
      </c>
      <c r="Q69" s="2031">
        <f t="shared" si="33"/>
        <v>0.16265543852074729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739.96828466892589</v>
      </c>
      <c r="N70" s="1769">
        <f t="shared" si="34"/>
        <v>193.10466711977776</v>
      </c>
      <c r="O70" s="1769">
        <f t="shared" si="34"/>
        <v>193.10466711977776</v>
      </c>
      <c r="P70" s="1769">
        <f t="shared" si="34"/>
        <v>176.87947521468516</v>
      </c>
      <c r="Q70" s="1769">
        <f t="shared" si="34"/>
        <v>176.87947521468516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0.166031297044724</v>
      </c>
      <c r="N71" s="2168">
        <f t="shared" si="35"/>
        <v>0.13968798258085774</v>
      </c>
      <c r="O71" s="2168">
        <f t="shared" si="35"/>
        <v>0.14190525214563326</v>
      </c>
      <c r="P71" s="2168">
        <f t="shared" si="35"/>
        <v>0.20136552278538836</v>
      </c>
      <c r="Q71" s="2168">
        <f t="shared" si="35"/>
        <v>0.21178098086049471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45&amp;9
&amp;R&amp;12&amp;F
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1">
    <tabColor rgb="FF00B05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538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892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7" t="s">
        <v>891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Heu</v>
      </c>
      <c r="O5" s="246" t="str">
        <f>VLOOKUP($X$5,$S$4:$T$9,2)</f>
        <v>Silage</v>
      </c>
      <c r="P5" s="246" t="str">
        <f>VLOOKUP($Y$5,$S$4:$T$9,2)</f>
        <v>Cobs</v>
      </c>
      <c r="Q5" s="255" t="str">
        <f>VLOOKUP($Z$5,$S$4:$T$9,2)</f>
        <v>Weide</v>
      </c>
      <c r="R5" s="565"/>
      <c r="S5" s="599">
        <v>2</v>
      </c>
      <c r="T5" s="601" t="s">
        <v>1120</v>
      </c>
      <c r="U5"/>
      <c r="V5" s="3311">
        <v>3</v>
      </c>
      <c r="W5" s="3312">
        <v>4</v>
      </c>
      <c r="X5" s="3312">
        <v>3</v>
      </c>
      <c r="Y5" s="3312">
        <v>5</v>
      </c>
      <c r="Z5" s="3313">
        <v>1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55" t="s">
        <v>226</v>
      </c>
      <c r="E6" s="225"/>
      <c r="F6" s="225"/>
      <c r="G6" s="225"/>
      <c r="H6" s="225"/>
      <c r="I6" s="357" t="s">
        <v>139</v>
      </c>
      <c r="J6" s="172"/>
      <c r="K6" s="4034">
        <v>100</v>
      </c>
      <c r="L6" s="1676"/>
      <c r="M6" s="520">
        <f>$K$6*M7/100</f>
        <v>28</v>
      </c>
      <c r="N6" s="521">
        <f>$K$6*N7/100</f>
        <v>25</v>
      </c>
      <c r="O6" s="521">
        <f>$K$6*O7/100</f>
        <v>20</v>
      </c>
      <c r="P6" s="521">
        <f>$K$6*P7/100</f>
        <v>15</v>
      </c>
      <c r="Q6" s="522">
        <f>$K$6*Q7/100</f>
        <v>12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908"/>
      <c r="B7" s="1539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28</v>
      </c>
      <c r="N7" s="466">
        <v>25</v>
      </c>
      <c r="O7" s="466">
        <v>20</v>
      </c>
      <c r="P7" s="466">
        <v>15</v>
      </c>
      <c r="Q7" s="519">
        <v>12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A8" s="304"/>
      <c r="B8" s="566"/>
      <c r="C8" s="207"/>
      <c r="D8" s="50" t="s">
        <v>228</v>
      </c>
      <c r="E8" s="172"/>
      <c r="F8" s="7" t="s">
        <v>229</v>
      </c>
      <c r="G8" s="172"/>
      <c r="H8" s="172"/>
      <c r="I8" s="172"/>
      <c r="J8" s="2382" t="s">
        <v>1047</v>
      </c>
      <c r="K8" s="1608">
        <f>(M$6*M8+N$6*N8+O$6*O8+P$6*P8+Q$6*Q8)/K$6</f>
        <v>7.45</v>
      </c>
      <c r="L8" s="1679"/>
      <c r="M8" s="476">
        <v>5</v>
      </c>
      <c r="N8" s="412">
        <v>10</v>
      </c>
      <c r="O8" s="412">
        <v>5</v>
      </c>
      <c r="P8" s="412">
        <v>5</v>
      </c>
      <c r="Q8" s="477">
        <v>15</v>
      </c>
      <c r="R8" s="526"/>
      <c r="S8" s="599">
        <v>5</v>
      </c>
      <c r="T8" s="602" t="s">
        <v>67</v>
      </c>
      <c r="U8" s="561"/>
      <c r="V8" s="608"/>
      <c r="W8" s="608"/>
      <c r="X8" s="608"/>
      <c r="Z8" s="608"/>
      <c r="AA8" s="608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A9" s="305"/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4.6100000000000003</v>
      </c>
      <c r="L9" s="1681"/>
      <c r="M9" s="488">
        <v>7</v>
      </c>
      <c r="N9" s="489">
        <v>5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25"/>
      <c r="W9" s="525"/>
      <c r="X9" s="525"/>
      <c r="Y9"/>
      <c r="Z9" s="525"/>
      <c r="AA9" s="525"/>
      <c r="AB9" s="526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A10" s="304"/>
      <c r="B10" s="566"/>
      <c r="C10" s="207"/>
      <c r="D10" s="50" t="s">
        <v>230</v>
      </c>
      <c r="E10" s="172"/>
      <c r="F10" s="7" t="s">
        <v>231</v>
      </c>
      <c r="G10" s="172"/>
      <c r="H10" s="172"/>
      <c r="I10" s="172"/>
      <c r="J10" s="2382" t="s">
        <v>232</v>
      </c>
      <c r="K10" s="1608">
        <f>(M$14*M10+N$14*N10+O$14*O10+P$14*P10+Q$14*Q10)/K$14</f>
        <v>43.481361426256079</v>
      </c>
      <c r="L10" s="1679"/>
      <c r="M10" s="443">
        <v>35</v>
      </c>
      <c r="N10" s="444">
        <v>88</v>
      </c>
      <c r="O10" s="444">
        <v>38</v>
      </c>
      <c r="P10" s="444">
        <v>16</v>
      </c>
      <c r="Q10" s="445">
        <v>16</v>
      </c>
      <c r="R10" s="526"/>
      <c r="U10" s="526"/>
      <c r="V10" s="525"/>
      <c r="W10" s="525"/>
      <c r="X10" s="525"/>
      <c r="Z10" s="525"/>
      <c r="AA10" s="525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A11" s="304"/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56.346839546191248</v>
      </c>
      <c r="L11" s="1682"/>
      <c r="M11" s="488">
        <v>37</v>
      </c>
      <c r="N11" s="489">
        <v>90</v>
      </c>
      <c r="O11" s="489">
        <v>40</v>
      </c>
      <c r="P11" s="489">
        <v>90</v>
      </c>
      <c r="Q11" s="490">
        <v>16</v>
      </c>
      <c r="R11" s="526"/>
      <c r="U11" s="606"/>
      <c r="V11" s="525"/>
      <c r="W11" s="525"/>
      <c r="X11" s="525"/>
      <c r="Z11" s="525"/>
      <c r="AA11" s="525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A12" s="304"/>
      <c r="B12" s="566"/>
      <c r="C12" s="207"/>
      <c r="D12" s="50" t="s">
        <v>234</v>
      </c>
      <c r="E12" s="172"/>
      <c r="F12" s="7" t="s">
        <v>1016</v>
      </c>
      <c r="G12" s="172"/>
      <c r="H12" s="172"/>
      <c r="I12" s="172"/>
      <c r="J12" s="512" t="s">
        <v>235</v>
      </c>
      <c r="K12" s="1614">
        <f>IF(M15=0,0,(M$15*M12+N$15*N12+O$15*O12+P$15*P12+Q$15*Q12)/K$15)</f>
        <v>3.9516436131489052</v>
      </c>
      <c r="L12" s="1679"/>
      <c r="M12" s="644">
        <v>6</v>
      </c>
      <c r="N12" s="645">
        <v>1.8</v>
      </c>
      <c r="O12" s="645">
        <v>6</v>
      </c>
      <c r="P12" s="645">
        <v>4.5</v>
      </c>
      <c r="Q12" s="646">
        <v>0</v>
      </c>
      <c r="R12" s="526"/>
      <c r="S12" s="526"/>
      <c r="T12" s="526"/>
      <c r="U12" s="606"/>
      <c r="V12" s="526"/>
      <c r="W12" s="526"/>
      <c r="X12" s="526"/>
      <c r="Z12" s="526"/>
      <c r="AA12" s="526"/>
      <c r="AB12" s="608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908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2.2696695973567786</v>
      </c>
      <c r="L13" s="1683"/>
      <c r="M13" s="641">
        <f>M12*M11/100</f>
        <v>2.2200000000000002</v>
      </c>
      <c r="N13" s="642">
        <f>N12*N11/100</f>
        <v>1.62</v>
      </c>
      <c r="O13" s="642">
        <f>O12*O11/100</f>
        <v>2.4</v>
      </c>
      <c r="P13" s="642">
        <f>P12*P11/100</f>
        <v>4.05</v>
      </c>
      <c r="Q13" s="643">
        <f>Q12*Q11/100</f>
        <v>0</v>
      </c>
      <c r="R13" s="526"/>
      <c r="S13" s="526"/>
      <c r="T13" s="526"/>
      <c r="U13" s="526"/>
      <c r="V13" s="525"/>
      <c r="W13" s="525"/>
      <c r="X13" s="525"/>
      <c r="Z13" s="525"/>
      <c r="AA13" s="525"/>
      <c r="AB13" s="525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8.75" x14ac:dyDescent="0.2">
      <c r="C14" s="207"/>
      <c r="D14" s="225" t="s">
        <v>237</v>
      </c>
      <c r="E14" s="172"/>
      <c r="F14" s="7"/>
      <c r="G14" s="172"/>
      <c r="H14" s="172"/>
      <c r="I14" s="172"/>
      <c r="J14" s="2382" t="s">
        <v>139</v>
      </c>
      <c r="K14" s="1617">
        <f t="shared" ref="K14:K19" si="0">SUM(M14:Q14)</f>
        <v>92.55</v>
      </c>
      <c r="L14" s="1684"/>
      <c r="M14" s="251">
        <f>M6*(100-M8)/100</f>
        <v>26.6</v>
      </c>
      <c r="N14" s="252">
        <f>N6*(100-N8)/100</f>
        <v>22.5</v>
      </c>
      <c r="O14" s="252">
        <f>O6*(100-O8)/100</f>
        <v>19</v>
      </c>
      <c r="P14" s="252">
        <f>P6*(100-P8)/100</f>
        <v>14.25</v>
      </c>
      <c r="Q14" s="256">
        <f>Q6*(100-Q8)/100</f>
        <v>10.199999999999999</v>
      </c>
      <c r="R14" s="526"/>
      <c r="S14" s="526"/>
      <c r="T14" s="526"/>
      <c r="U14" s="526"/>
      <c r="V14" s="525"/>
      <c r="W14" s="525"/>
      <c r="X14" s="525"/>
      <c r="Z14" s="525"/>
      <c r="AA14" s="3045" t="s">
        <v>435</v>
      </c>
      <c r="AB14" s="525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304.38068181818181</v>
      </c>
      <c r="L15" s="1684"/>
      <c r="M15" s="251">
        <f>IF(M10=0,0,M14/M10*100)</f>
        <v>76</v>
      </c>
      <c r="N15" s="252">
        <f>IF(N10=0,0,N14/N10*100)</f>
        <v>25.568181818181817</v>
      </c>
      <c r="O15" s="252">
        <f>IF(O10=0,0,O14/O10*100)</f>
        <v>50</v>
      </c>
      <c r="P15" s="252">
        <f>IF(P10=0,0,P14/P10*100)</f>
        <v>89.0625</v>
      </c>
      <c r="Q15" s="256">
        <f>IF(Q10=0,0,Q14/Q10*100)</f>
        <v>63.749999999999993</v>
      </c>
      <c r="R15" s="526"/>
      <c r="S15" s="526"/>
      <c r="T15" s="526"/>
      <c r="U15" s="526"/>
      <c r="V15" s="525"/>
      <c r="W15" s="525"/>
      <c r="X15" s="525"/>
      <c r="Z15" s="525"/>
      <c r="AA15" s="3045" t="s">
        <v>563</v>
      </c>
      <c r="AB15" s="525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54.996212121212125</v>
      </c>
      <c r="L16" s="4311"/>
      <c r="M16" s="2419">
        <f>IF(V5&lt;3,0,IF(M12=0,0,M15/M12))</f>
        <v>12.666666666666666</v>
      </c>
      <c r="N16" s="2420">
        <f>IF(W5&lt;3,0,IF(N12=0,0,N15/N12))</f>
        <v>14.204545454545453</v>
      </c>
      <c r="O16" s="2420">
        <f>IF(X5&lt;3,0,IF(O12=0,0,O15/O12))</f>
        <v>8.3333333333333339</v>
      </c>
      <c r="P16" s="2420">
        <f>IF(Y5&lt;3,0,IF(P12=0,0,P15/P12))</f>
        <v>19.791666666666668</v>
      </c>
      <c r="Q16" s="2421">
        <f>IF(Z5&lt;3,0,IF(Q12=0,0,1/Q12*Q15))</f>
        <v>0</v>
      </c>
      <c r="R16" s="539"/>
      <c r="S16" s="608"/>
      <c r="T16" s="608"/>
      <c r="U16" s="608"/>
      <c r="V16" s="527"/>
      <c r="W16" s="527"/>
      <c r="X16" s="527"/>
      <c r="Y16"/>
      <c r="Z16" s="527"/>
      <c r="AA16" s="3047" t="s">
        <v>564</v>
      </c>
      <c r="AB16" s="526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88.233000000000004</v>
      </c>
      <c r="L17" s="1686"/>
      <c r="M17" s="251">
        <f>M14*(100-M9)/100</f>
        <v>24.738000000000003</v>
      </c>
      <c r="N17" s="254">
        <f>N14*(100-N9)/100</f>
        <v>21.375</v>
      </c>
      <c r="O17" s="254">
        <f>O14*(100-O9)/100</f>
        <v>17.670000000000002</v>
      </c>
      <c r="P17" s="254">
        <f>P14*(100-P9)/100</f>
        <v>14.25</v>
      </c>
      <c r="Q17" s="257">
        <f>Q14*(100-Q9)/100</f>
        <v>10.199999999999999</v>
      </c>
      <c r="R17" s="539"/>
      <c r="S17" s="539"/>
      <c r="T17" s="525"/>
      <c r="U17" s="525"/>
      <c r="V17" s="528"/>
      <c r="W17" s="528"/>
      <c r="X17" s="528"/>
      <c r="Y17"/>
      <c r="Z17" s="528"/>
      <c r="AA17" s="3048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214.36779279279281</v>
      </c>
      <c r="L18" s="1686"/>
      <c r="M18" s="251">
        <f>IF(M11=0,0,M17/M11*100)</f>
        <v>66.859459459459472</v>
      </c>
      <c r="N18" s="254">
        <f>IF(N11=0,0,N17/N11*100)</f>
        <v>23.75</v>
      </c>
      <c r="O18" s="254">
        <f>IF(O11=0,0,O17/O11*100)</f>
        <v>44.175000000000004</v>
      </c>
      <c r="P18" s="254">
        <f>IF(P11=0,0,P17/P11*100)</f>
        <v>15.833333333333332</v>
      </c>
      <c r="Q18" s="257">
        <f>IF(Q11=0,0,Q17/Q11*100)</f>
        <v>63.749999999999993</v>
      </c>
      <c r="R18" s="539"/>
      <c r="S18" s="539"/>
      <c r="T18" s="525"/>
      <c r="U18" s="525"/>
      <c r="V18" s="528"/>
      <c r="W18" s="528"/>
      <c r="X18" s="528"/>
      <c r="Y18"/>
      <c r="Z18" s="528"/>
      <c r="AA18" s="528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35.218706206206207</v>
      </c>
      <c r="L19" s="1688"/>
      <c r="M19" s="504">
        <f>IF(M12=0,0,1/M12*M18)</f>
        <v>11.143243243243244</v>
      </c>
      <c r="N19" s="505">
        <f>IF(N12=0,0,1/N12*N18)</f>
        <v>13.194444444444445</v>
      </c>
      <c r="O19" s="505">
        <f>IF(O12=0,0,1/O12*O18)</f>
        <v>7.3625000000000007</v>
      </c>
      <c r="P19" s="505">
        <f>IF(P12=0,0,1/P12*P18)</f>
        <v>3.5185185185185182</v>
      </c>
      <c r="Q19" s="506">
        <f>IF(Q12=0,0,1/Q12*Q18)</f>
        <v>0</v>
      </c>
      <c r="R19" s="539"/>
      <c r="S19" s="539"/>
      <c r="T19" s="525"/>
      <c r="U19" s="525"/>
      <c r="V19" s="528"/>
      <c r="W19" s="528"/>
      <c r="X19" s="528"/>
      <c r="Y19"/>
      <c r="Z19" s="528"/>
      <c r="AA19" s="528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5.8837883784978402</v>
      </c>
      <c r="L20" s="1689"/>
      <c r="M20" s="312">
        <v>6.1</v>
      </c>
      <c r="N20" s="313">
        <v>5.5</v>
      </c>
      <c r="O20" s="313">
        <v>6</v>
      </c>
      <c r="P20" s="313">
        <v>6</v>
      </c>
      <c r="Q20" s="314">
        <v>5.8</v>
      </c>
      <c r="R20" s="526"/>
      <c r="S20" s="526"/>
      <c r="T20" s="526"/>
      <c r="U20" s="526"/>
      <c r="V20" s="530"/>
      <c r="W20" s="530"/>
      <c r="X20" s="530"/>
      <c r="Z20" s="530"/>
      <c r="AA20" s="530"/>
      <c r="AB20" s="527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3"/>
      <c r="C21" s="229"/>
      <c r="D21" s="50"/>
      <c r="E21" s="172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9.8063139641630688</v>
      </c>
      <c r="L21" s="1689"/>
      <c r="M21" s="515">
        <f>IF($G21=0,0,M20/$G21)</f>
        <v>10.166666666666666</v>
      </c>
      <c r="N21" s="516">
        <f>IF($G21=0,0,N20/$G21)</f>
        <v>9.1666666666666679</v>
      </c>
      <c r="O21" s="516">
        <f>IF($G21=0,0,O20/$G21)</f>
        <v>10</v>
      </c>
      <c r="P21" s="516">
        <f>IF($G21=0,0,P20/$G21)</f>
        <v>10</v>
      </c>
      <c r="Q21" s="517">
        <f>IF($G21=0,0,Q20/$G21)</f>
        <v>9.6666666666666661</v>
      </c>
      <c r="R21" s="539"/>
      <c r="S21" s="539"/>
      <c r="T21" s="525"/>
      <c r="U21" s="525"/>
      <c r="V21" s="530"/>
      <c r="W21" s="530"/>
      <c r="X21" s="530"/>
      <c r="Y21"/>
      <c r="Z21" s="530"/>
      <c r="AA21" s="530"/>
      <c r="AB21" s="528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3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5191.4429999999993</v>
      </c>
      <c r="L22" s="1690"/>
      <c r="M22" s="446">
        <f t="shared" ref="M22:Q23" si="1">M$17*M20*10</f>
        <v>1509.018</v>
      </c>
      <c r="N22" s="448">
        <f t="shared" si="1"/>
        <v>1175.625</v>
      </c>
      <c r="O22" s="448">
        <f t="shared" si="1"/>
        <v>1060.2</v>
      </c>
      <c r="P22" s="448">
        <f t="shared" si="1"/>
        <v>855</v>
      </c>
      <c r="Q22" s="450">
        <f t="shared" si="1"/>
        <v>591.59999999999991</v>
      </c>
      <c r="R22" s="539"/>
      <c r="S22" s="539"/>
      <c r="T22" s="525"/>
      <c r="U22" s="525"/>
      <c r="V22" s="529"/>
      <c r="W22" s="529"/>
      <c r="X22" s="529"/>
      <c r="Y22"/>
      <c r="Z22" s="529"/>
      <c r="AA22" s="529"/>
      <c r="AB22" s="528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7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8652.4050000000007</v>
      </c>
      <c r="L23" s="1691"/>
      <c r="M23" s="447">
        <f t="shared" si="1"/>
        <v>2515.0300000000002</v>
      </c>
      <c r="N23" s="449">
        <f t="shared" si="1"/>
        <v>1959.3750000000002</v>
      </c>
      <c r="O23" s="449">
        <f t="shared" si="1"/>
        <v>1767.0000000000002</v>
      </c>
      <c r="P23" s="449">
        <f t="shared" si="1"/>
        <v>1425</v>
      </c>
      <c r="Q23" s="451">
        <f t="shared" si="1"/>
        <v>985.99999999999977</v>
      </c>
      <c r="R23" s="539"/>
      <c r="S23" s="539"/>
      <c r="T23" s="525"/>
      <c r="U23" s="525"/>
      <c r="V23" s="529"/>
      <c r="W23" s="529"/>
      <c r="X23" s="529"/>
      <c r="Y23"/>
      <c r="Z23" s="529"/>
      <c r="AA23" s="529"/>
      <c r="AB23" s="528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9"/>
      <c r="W24" s="529"/>
      <c r="X24" s="529"/>
      <c r="Y24"/>
      <c r="Z24" s="529"/>
      <c r="AA24" s="529"/>
      <c r="AB24" s="528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540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8"/>
      <c r="W25" s="528"/>
      <c r="X25" s="528"/>
      <c r="Y25"/>
      <c r="Z25" s="528"/>
      <c r="AA25" s="528"/>
      <c r="AB25" s="530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226"/>
      <c r="C26" s="52"/>
      <c r="D26" s="137">
        <f>IF(B26=0,0,VLOOKUP(B26,Ausglleist!$C$8:$O$44,2))</f>
        <v>0</v>
      </c>
      <c r="E26" s="50"/>
      <c r="F26" s="50"/>
      <c r="G26" s="50"/>
      <c r="H26" s="172"/>
      <c r="I26" s="172"/>
      <c r="J26" s="172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30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226"/>
      <c r="C27" s="52"/>
      <c r="D27" s="80">
        <f>IF(B27=0,0,VLOOKUP(B27,Ausglleist!$C$8:$O$44,2))</f>
        <v>0</v>
      </c>
      <c r="E27" s="50"/>
      <c r="F27" s="50"/>
      <c r="G27" s="50"/>
      <c r="H27" s="172"/>
      <c r="I27" s="172"/>
      <c r="J27" s="172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9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226"/>
      <c r="C28" s="52"/>
      <c r="D28" s="80">
        <f>IF(B28=0,0,VLOOKUP(B28,Ausglleist!$C$8:$O$44,2))</f>
        <v>0</v>
      </c>
      <c r="E28" s="50"/>
      <c r="F28" s="50"/>
      <c r="G28" s="50"/>
      <c r="H28" s="172"/>
      <c r="I28" s="172"/>
      <c r="J28" s="172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9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96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9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540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75.599999999999994</v>
      </c>
      <c r="N30" s="254">
        <f>$L30*N7/100</f>
        <v>67.5</v>
      </c>
      <c r="O30" s="254">
        <f>$L30*O7/100</f>
        <v>54</v>
      </c>
      <c r="P30" s="254">
        <f>$L30*P7/100</f>
        <v>40.5</v>
      </c>
      <c r="Q30" s="257">
        <f>$L30*Q7/100</f>
        <v>32.4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9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96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9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7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28.248000000000001</v>
      </c>
      <c r="M32" s="460">
        <f>$L32*M$7/100</f>
        <v>7.9094400000000009</v>
      </c>
      <c r="N32" s="461">
        <f>$L32*N$7/100</f>
        <v>7.0620000000000003</v>
      </c>
      <c r="O32" s="461">
        <f>$L32*O$7/100</f>
        <v>5.6496000000000004</v>
      </c>
      <c r="P32" s="461">
        <f>$L32*P$7/100</f>
        <v>4.2372000000000005</v>
      </c>
      <c r="Q32" s="462">
        <f>$L32*Q$7/100</f>
        <v>3.3897599999999999</v>
      </c>
      <c r="V32" s="529"/>
      <c r="W32" s="529"/>
      <c r="X32" s="529"/>
      <c r="Z32" s="529"/>
      <c r="AA32" s="529"/>
      <c r="AB32" s="528"/>
    </row>
    <row r="33" spans="1:43" ht="16.5" customHeight="1" x14ac:dyDescent="0.2">
      <c r="A33" s="174"/>
      <c r="B33" s="7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6</v>
      </c>
      <c r="K33" s="1698"/>
      <c r="L33" s="1699"/>
      <c r="M33" s="494"/>
      <c r="N33" s="495"/>
      <c r="O33" s="495"/>
      <c r="P33" s="495"/>
      <c r="Q33" s="496"/>
      <c r="V33" s="529"/>
      <c r="W33" s="529"/>
      <c r="X33" s="529"/>
      <c r="Z33" s="529"/>
      <c r="AA33" s="529"/>
      <c r="AB33" s="528"/>
    </row>
    <row r="34" spans="1:43" s="97" customFormat="1" ht="16.5" customHeight="1" x14ac:dyDescent="0.2">
      <c r="A34" s="182"/>
      <c r="B34" s="1541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776.47214400000007</v>
      </c>
      <c r="M34" s="460">
        <f>$L34*M$7/100</f>
        <v>217.41220032000001</v>
      </c>
      <c r="N34" s="461">
        <f>$L34*N$7/100</f>
        <v>194.11803600000002</v>
      </c>
      <c r="O34" s="461">
        <f>$L34*O$7/100</f>
        <v>155.29442880000002</v>
      </c>
      <c r="P34" s="461">
        <f>$L34*P$7/100</f>
        <v>116.47082160000002</v>
      </c>
      <c r="Q34" s="462">
        <f>$L34*Q$7/100</f>
        <v>93.176657280000001</v>
      </c>
      <c r="R34" s="542"/>
      <c r="S34" s="542"/>
      <c r="T34" s="529"/>
      <c r="U34" s="529"/>
      <c r="V34" s="528"/>
      <c r="W34" s="528"/>
      <c r="X34" s="528"/>
      <c r="Y34"/>
      <c r="Z34" s="528"/>
      <c r="AA34" s="528"/>
      <c r="AB34" s="528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541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AA35" s="529"/>
      <c r="AB35" s="528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172"/>
      <c r="H36" s="116">
        <v>2.7</v>
      </c>
      <c r="I36" s="117">
        <v>-45</v>
      </c>
      <c r="J36" s="159"/>
      <c r="K36" s="1703">
        <f>H36*$K$14+I36</f>
        <v>204.88500000000002</v>
      </c>
      <c r="L36" s="1704">
        <f>K36*$F36</f>
        <v>351.90364650000004</v>
      </c>
      <c r="M36" s="239"/>
      <c r="N36" s="249"/>
      <c r="O36" s="249"/>
      <c r="P36" s="249"/>
      <c r="Q36" s="106"/>
      <c r="R36" s="542"/>
      <c r="S36" s="542"/>
      <c r="T36" s="528"/>
      <c r="U36" s="528"/>
      <c r="Y36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1542"/>
      <c r="C37" s="104"/>
      <c r="D37" s="105" t="s">
        <v>255</v>
      </c>
      <c r="E37" s="105"/>
      <c r="F37" s="464">
        <f>'Preise-Stammdaten'!N18</f>
        <v>1.1304999999999998</v>
      </c>
      <c r="G37" s="172"/>
      <c r="H37" s="116">
        <v>1</v>
      </c>
      <c r="I37" s="117"/>
      <c r="J37" s="159"/>
      <c r="K37" s="1703">
        <f>H37*$K$14+I37</f>
        <v>92.55</v>
      </c>
      <c r="L37" s="1704">
        <f>K37*$F37</f>
        <v>104.62777499999999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Y37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74"/>
      <c r="C38" s="104"/>
      <c r="D38" s="105" t="s">
        <v>256</v>
      </c>
      <c r="E38" s="105"/>
      <c r="F38" s="464">
        <f>'Preise-Stammdaten'!N19</f>
        <v>1.0511666666666666</v>
      </c>
      <c r="G38" s="172"/>
      <c r="H38" s="116">
        <v>3</v>
      </c>
      <c r="I38" s="117"/>
      <c r="J38" s="159"/>
      <c r="K38" s="1703">
        <f>H38*$K$14+I38</f>
        <v>277.64999999999998</v>
      </c>
      <c r="L38" s="1704">
        <f>K38*$F38</f>
        <v>291.85642499999994</v>
      </c>
      <c r="M38" s="239"/>
      <c r="N38" s="249"/>
      <c r="O38" s="249"/>
      <c r="P38" s="249"/>
      <c r="Q38" s="106"/>
      <c r="R38" s="542"/>
      <c r="S38" s="542"/>
      <c r="T38" s="528"/>
      <c r="U38" s="528"/>
      <c r="Y3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774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0.51</v>
      </c>
      <c r="I39" s="120"/>
      <c r="J39" s="161"/>
      <c r="K39" s="1705">
        <f>H39*$K$14+I39</f>
        <v>47.200499999999998</v>
      </c>
      <c r="L39" s="1706">
        <f>K39*$F39</f>
        <v>28.084297499999998</v>
      </c>
      <c r="M39" s="240"/>
      <c r="N39" s="250"/>
      <c r="O39" s="250"/>
      <c r="P39" s="250"/>
      <c r="Q39" s="110"/>
      <c r="R39" s="542"/>
      <c r="S39" s="542"/>
      <c r="T39" s="528"/>
      <c r="U39" s="528"/>
      <c r="Y39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541"/>
      <c r="C40" s="121"/>
      <c r="D40" s="122" t="s">
        <v>257</v>
      </c>
      <c r="E40" s="122"/>
      <c r="F40" s="123"/>
      <c r="G40" s="512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11.9</v>
      </c>
      <c r="M40" s="253">
        <f>$L40*M$7/100</f>
        <v>3.3319999999999999</v>
      </c>
      <c r="N40" s="254">
        <f>$L40*N$7/100</f>
        <v>2.9750000000000001</v>
      </c>
      <c r="O40" s="254">
        <f>$L40*O$7/100</f>
        <v>2.38</v>
      </c>
      <c r="P40" s="254">
        <f>$L40*P$7/100</f>
        <v>1.7849999999999999</v>
      </c>
      <c r="Q40" s="257">
        <f>$L40*Q$7/100</f>
        <v>1.4280000000000002</v>
      </c>
      <c r="R40" s="542"/>
      <c r="S40" s="542"/>
      <c r="T40" s="529"/>
      <c r="U40" s="529"/>
      <c r="Y40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541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Y41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54"/>
      <c r="C42" s="107"/>
      <c r="D42" s="4018" t="s">
        <v>333</v>
      </c>
      <c r="E42" s="131"/>
      <c r="F42" s="131"/>
      <c r="G42" s="109"/>
      <c r="H42" s="163">
        <v>10</v>
      </c>
      <c r="I42" s="689">
        <f>H42*($H$40+100)/100</f>
        <v>11.9</v>
      </c>
      <c r="J42" s="95"/>
      <c r="K42" s="806">
        <v>1</v>
      </c>
      <c r="L42" s="1706">
        <f>$I42*K42</f>
        <v>11.9</v>
      </c>
      <c r="M42" s="240"/>
      <c r="N42" s="250"/>
      <c r="O42" s="250"/>
      <c r="P42" s="250"/>
      <c r="Q42" s="110"/>
      <c r="R42" s="542"/>
      <c r="S42" s="542"/>
      <c r="T42" s="528"/>
      <c r="U42" s="528"/>
      <c r="Y42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543"/>
      <c r="C43" s="121"/>
      <c r="D43" s="122" t="s">
        <v>872</v>
      </c>
      <c r="E43" s="122"/>
      <c r="F43" s="122"/>
      <c r="G43" s="122"/>
      <c r="H43" s="122"/>
      <c r="I43" s="172"/>
      <c r="J43" s="359" t="s">
        <v>266</v>
      </c>
      <c r="K43" s="1710"/>
      <c r="L43" s="1693">
        <f>SUM(M43:Q43)</f>
        <v>408.22921373262028</v>
      </c>
      <c r="M43" s="484">
        <f>SUM(Z46:Z56)</f>
        <v>97.557058293217679</v>
      </c>
      <c r="N43" s="484">
        <f>SUM(AA46:AA56)</f>
        <v>129.891408959948</v>
      </c>
      <c r="O43" s="484">
        <f>SUM(AB46:AB56)</f>
        <v>91.43997236665453</v>
      </c>
      <c r="P43" s="484">
        <f>SUM(AC46:AC56)</f>
        <v>37.614406040400006</v>
      </c>
      <c r="Q43" s="1483">
        <f>SUM(AD46:AD56)</f>
        <v>51.7263680724</v>
      </c>
      <c r="R43" s="542"/>
      <c r="S43" s="542"/>
      <c r="T43" s="526" t="s">
        <v>873</v>
      </c>
      <c r="U43" s="529"/>
      <c r="Y43"/>
      <c r="Z43" s="526" t="s">
        <v>874</v>
      </c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540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11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540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3">
        <v>25</v>
      </c>
      <c r="C46" s="104"/>
      <c r="D46" s="137"/>
      <c r="E46" s="7"/>
      <c r="F46" s="7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U48" si="5">IF(M46&lt;&gt;0,M46*$H46,0)</f>
        <v>0.16400000000000001</v>
      </c>
      <c r="U46" s="479">
        <f t="shared" si="5"/>
        <v>0.16400000000000001</v>
      </c>
      <c r="V46" s="479">
        <f t="shared" ref="V46:X48" si="6">IF(O46&lt;&gt;0,O46*$H46,0)</f>
        <v>0.16400000000000001</v>
      </c>
      <c r="W46" s="479">
        <f t="shared" si="6"/>
        <v>0.16400000000000001</v>
      </c>
      <c r="X46" s="480">
        <f t="shared" si="6"/>
        <v>0.16400000000000001</v>
      </c>
      <c r="Y46"/>
      <c r="Z46" s="478">
        <f t="shared" ref="Z46:AD48" si="7">IF(M46&lt;&gt;0,M46*$I46,0)</f>
        <v>2.3843834347199993</v>
      </c>
      <c r="AA46" s="479">
        <f t="shared" si="7"/>
        <v>2.3843834347199993</v>
      </c>
      <c r="AB46" s="479">
        <f t="shared" si="7"/>
        <v>2.3843834347199993</v>
      </c>
      <c r="AC46" s="479">
        <f t="shared" si="7"/>
        <v>2.3843834347199993</v>
      </c>
      <c r="AD46" s="480">
        <f t="shared" si="7"/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3">
        <v>26</v>
      </c>
      <c r="C47" s="104"/>
      <c r="D47" s="137"/>
      <c r="E47" s="7"/>
      <c r="F47" s="7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5"/>
        <v>9.6000000000000002E-2</v>
      </c>
      <c r="U47" s="479">
        <f t="shared" si="5"/>
        <v>9.6000000000000002E-2</v>
      </c>
      <c r="V47" s="479">
        <f t="shared" si="6"/>
        <v>9.6000000000000002E-2</v>
      </c>
      <c r="W47" s="479">
        <f t="shared" si="6"/>
        <v>9.6000000000000002E-2</v>
      </c>
      <c r="X47" s="480">
        <f t="shared" si="6"/>
        <v>9.6000000000000002E-2</v>
      </c>
      <c r="Y47"/>
      <c r="Z47" s="478">
        <f t="shared" si="7"/>
        <v>1.8914732300799999</v>
      </c>
      <c r="AA47" s="479">
        <f t="shared" si="7"/>
        <v>1.8914732300799999</v>
      </c>
      <c r="AB47" s="479">
        <f t="shared" si="7"/>
        <v>1.8914732300799999</v>
      </c>
      <c r="AC47" s="479">
        <f t="shared" si="7"/>
        <v>1.8914732300799999</v>
      </c>
      <c r="AD47" s="480">
        <f t="shared" si="7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3">
        <v>15</v>
      </c>
      <c r="C48" s="104"/>
      <c r="D48" s="137"/>
      <c r="E48" s="7"/>
      <c r="F48" s="7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5</v>
      </c>
      <c r="K48" s="1651">
        <f t="shared" si="3"/>
        <v>1.85</v>
      </c>
      <c r="L48" s="1704">
        <f t="shared" si="4"/>
        <v>27.252557037999999</v>
      </c>
      <c r="M48" s="317">
        <v>1</v>
      </c>
      <c r="N48" s="318">
        <v>1</v>
      </c>
      <c r="O48" s="318">
        <v>1</v>
      </c>
      <c r="P48" s="318">
        <v>1</v>
      </c>
      <c r="Q48" s="319">
        <v>1</v>
      </c>
      <c r="R48" s="542"/>
      <c r="S48" s="542"/>
      <c r="T48" s="478">
        <f t="shared" si="5"/>
        <v>0.37</v>
      </c>
      <c r="U48" s="479">
        <f t="shared" si="5"/>
        <v>0.37</v>
      </c>
      <c r="V48" s="479">
        <f t="shared" si="6"/>
        <v>0.37</v>
      </c>
      <c r="W48" s="479">
        <f t="shared" si="6"/>
        <v>0.37</v>
      </c>
      <c r="X48" s="480">
        <f t="shared" si="6"/>
        <v>0.37</v>
      </c>
      <c r="Y48"/>
      <c r="Z48" s="478">
        <f t="shared" si="7"/>
        <v>5.4505114075999996</v>
      </c>
      <c r="AA48" s="479">
        <f t="shared" si="7"/>
        <v>5.4505114075999996</v>
      </c>
      <c r="AB48" s="479">
        <f t="shared" si="7"/>
        <v>5.4505114075999996</v>
      </c>
      <c r="AC48" s="479">
        <f t="shared" si="7"/>
        <v>5.4505114075999996</v>
      </c>
      <c r="AD48" s="480">
        <f t="shared" si="7"/>
        <v>5.4505114075999996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3">
        <v>29</v>
      </c>
      <c r="C49" s="104"/>
      <c r="D49" s="137"/>
      <c r="E49" s="7"/>
      <c r="F49" s="7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</v>
      </c>
      <c r="K49" s="1651">
        <f t="shared" si="3"/>
        <v>0.89999999999999991</v>
      </c>
      <c r="L49" s="1704">
        <f t="shared" si="4"/>
        <v>55.7749332</v>
      </c>
      <c r="M49" s="317">
        <v>1</v>
      </c>
      <c r="N49" s="318">
        <v>1</v>
      </c>
      <c r="O49" s="318">
        <v>1</v>
      </c>
      <c r="P49" s="318"/>
      <c r="Q49" s="319"/>
      <c r="R49" s="542"/>
      <c r="S49" s="542"/>
      <c r="T49" s="478">
        <f>IF(M49&lt;&gt;0,M49*$H49,0)</f>
        <v>0.3</v>
      </c>
      <c r="U49" s="479">
        <f>IF(N49&lt;&gt;0,N49*$H49,0)</f>
        <v>0.3</v>
      </c>
      <c r="V49" s="479">
        <f>IF(O49&lt;&gt;0,O49*$H49,0)</f>
        <v>0.3</v>
      </c>
      <c r="W49" s="479">
        <f>IF(P49&lt;&gt;0,P49*$H49,0)</f>
        <v>0</v>
      </c>
      <c r="X49" s="480">
        <f>IF(Q49&lt;&gt;0,Q49*$H49,0)</f>
        <v>0</v>
      </c>
      <c r="Y49"/>
      <c r="Z49" s="478">
        <f>IF(M49&lt;&gt;0,M49*$I49,0)</f>
        <v>18.5916444</v>
      </c>
      <c r="AA49" s="479">
        <f>IF(N49&lt;&gt;0,N49*$I49,0)</f>
        <v>18.5916444</v>
      </c>
      <c r="AB49" s="479">
        <f>IF(O49&lt;&gt;0,O49*$I49,0)</f>
        <v>18.5916444</v>
      </c>
      <c r="AC49" s="479">
        <f>IF(P49&lt;&gt;0,P49*$I49,0)</f>
        <v>0</v>
      </c>
      <c r="AD49" s="480">
        <f>IF(Q49&lt;&gt;0,Q49*$I49,0)</f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3">
        <v>30</v>
      </c>
      <c r="C50" s="104"/>
      <c r="D50" s="137"/>
      <c r="E50" s="7"/>
      <c r="F50" s="7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5</v>
      </c>
      <c r="K50" s="1651">
        <f t="shared" si="3"/>
        <v>1.75</v>
      </c>
      <c r="L50" s="1704">
        <f t="shared" si="4"/>
        <v>42.887877339999996</v>
      </c>
      <c r="M50" s="317">
        <v>1</v>
      </c>
      <c r="N50" s="318">
        <v>3</v>
      </c>
      <c r="O50" s="318">
        <v>1</v>
      </c>
      <c r="P50" s="318"/>
      <c r="Q50" s="319"/>
      <c r="R50" s="542"/>
      <c r="S50" s="542"/>
      <c r="T50" s="478">
        <f t="shared" ref="T50:X51" si="8">IF(M50&lt;&gt;0,M50*$H50,0)</f>
        <v>0.35</v>
      </c>
      <c r="U50" s="479">
        <f t="shared" si="8"/>
        <v>1.0499999999999998</v>
      </c>
      <c r="V50" s="479">
        <f t="shared" si="8"/>
        <v>0.35</v>
      </c>
      <c r="W50" s="479">
        <f t="shared" si="8"/>
        <v>0</v>
      </c>
      <c r="X50" s="480">
        <f t="shared" si="8"/>
        <v>0</v>
      </c>
      <c r="Y50"/>
      <c r="Z50" s="478">
        <f t="shared" ref="Z50:AD51" si="9">IF(M50&lt;&gt;0,M50*$I50,0)</f>
        <v>8.5775754679999991</v>
      </c>
      <c r="AA50" s="479">
        <f t="shared" si="9"/>
        <v>25.732726403999997</v>
      </c>
      <c r="AB50" s="479">
        <f t="shared" si="9"/>
        <v>8.5775754679999991</v>
      </c>
      <c r="AC50" s="479">
        <f t="shared" si="9"/>
        <v>0</v>
      </c>
      <c r="AD50" s="480">
        <f t="shared" si="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3">
        <v>31</v>
      </c>
      <c r="C51" s="104"/>
      <c r="D51" s="137"/>
      <c r="E51" s="7"/>
      <c r="F51" s="7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3</v>
      </c>
      <c r="K51" s="1651">
        <f t="shared" si="3"/>
        <v>0.78</v>
      </c>
      <c r="L51" s="1704">
        <f t="shared" si="4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8"/>
        <v>0.26</v>
      </c>
      <c r="U51" s="479">
        <f t="shared" si="8"/>
        <v>0.26</v>
      </c>
      <c r="V51" s="479">
        <f t="shared" si="8"/>
        <v>0.26</v>
      </c>
      <c r="W51" s="479">
        <f t="shared" si="8"/>
        <v>0</v>
      </c>
      <c r="X51" s="480">
        <f t="shared" si="8"/>
        <v>0</v>
      </c>
      <c r="Y51"/>
      <c r="Z51" s="478">
        <f t="shared" si="9"/>
        <v>8.8941188640000011</v>
      </c>
      <c r="AA51" s="479">
        <f t="shared" si="9"/>
        <v>8.8941188640000011</v>
      </c>
      <c r="AB51" s="479">
        <f t="shared" si="9"/>
        <v>8.8941188640000011</v>
      </c>
      <c r="AC51" s="479">
        <f t="shared" si="9"/>
        <v>0</v>
      </c>
      <c r="AD51" s="480">
        <f t="shared" si="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3">
        <v>35</v>
      </c>
      <c r="C52" s="104"/>
      <c r="D52" s="137"/>
      <c r="E52" s="7"/>
      <c r="F52" s="7"/>
      <c r="G52" s="468" t="str">
        <f>IF($B52=0,0,VLOOKUP($B52,Arbeitsgänge!$B$27:$T$80,7))</f>
        <v>120 Kw</v>
      </c>
      <c r="H52" s="507">
        <f>IF($B52=0,0,VLOOKUP($B52,Arbeitsgänge!$B$27:$O$79,12))</f>
        <v>0.8</v>
      </c>
      <c r="I52" s="469">
        <f>IF($B52=0,0,VLOOKUP($B52,Arbeitsgänge!$B$27:$T$80,14))</f>
        <v>33.7380456</v>
      </c>
      <c r="J52" s="593">
        <f t="shared" si="2"/>
        <v>1.4420059670059673</v>
      </c>
      <c r="K52" s="1651">
        <f t="shared" si="3"/>
        <v>1.1536047736047739</v>
      </c>
      <c r="L52" s="1704">
        <f t="shared" si="4"/>
        <v>48.650463070319418</v>
      </c>
      <c r="M52" s="317">
        <f>M18/77</f>
        <v>0.86830466830466846</v>
      </c>
      <c r="N52" s="317"/>
      <c r="O52" s="317">
        <f t="shared" ref="O52" si="10">O18/77</f>
        <v>0.57370129870129871</v>
      </c>
      <c r="P52" s="318"/>
      <c r="Q52" s="319"/>
      <c r="R52" s="542"/>
      <c r="S52" s="542"/>
      <c r="T52" s="478">
        <f>IF(M51&lt;&gt;0,M51*$H52,0)</f>
        <v>0.8</v>
      </c>
      <c r="U52" s="479">
        <f>IF(N51&lt;&gt;0,N51*$H52,0)</f>
        <v>0.8</v>
      </c>
      <c r="V52" s="479">
        <f>IF(O51&lt;&gt;0,O51*$H52,0)</f>
        <v>0.8</v>
      </c>
      <c r="W52" s="479">
        <f>IF(P51&lt;&gt;0,P51*$H52,0)</f>
        <v>0</v>
      </c>
      <c r="X52" s="480">
        <f>IF(Q51&lt;&gt;0,Q51*$H52,0)</f>
        <v>0</v>
      </c>
      <c r="Y52"/>
      <c r="Z52" s="478">
        <f>IF(M51&lt;&gt;0,M51*$I52,0)</f>
        <v>33.7380456</v>
      </c>
      <c r="AA52" s="479">
        <f>IF(N51&lt;&gt;0,N51*$I52,0)</f>
        <v>33.7380456</v>
      </c>
      <c r="AB52" s="479">
        <f>IF(O51&lt;&gt;0,O51*$I52,0)</f>
        <v>33.7380456</v>
      </c>
      <c r="AC52" s="479">
        <f>IF(P51&lt;&gt;0,P51*$I52,0)</f>
        <v>0</v>
      </c>
      <c r="AD52" s="480">
        <f>IF(Q51&lt;&gt;0,Q51*$I52,0)</f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3">
        <v>37</v>
      </c>
      <c r="C53" s="104"/>
      <c r="D53" s="137"/>
      <c r="E53" s="7"/>
      <c r="F53" s="7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1.4420059670059673</v>
      </c>
      <c r="K53" s="1651">
        <f t="shared" si="3"/>
        <v>1.1536047736047739</v>
      </c>
      <c r="L53" s="1704">
        <f t="shared" si="4"/>
        <v>29.941525851072242</v>
      </c>
      <c r="M53" s="317">
        <f>M18/77</f>
        <v>0.86830466830466846</v>
      </c>
      <c r="N53" s="317"/>
      <c r="O53" s="317">
        <f>O18/77</f>
        <v>0.57370129870129871</v>
      </c>
      <c r="P53" s="318"/>
      <c r="Q53" s="319"/>
      <c r="R53" s="542"/>
      <c r="S53" s="542"/>
      <c r="T53" s="478">
        <f t="shared" ref="T53:U56" si="11">IF(M53&lt;&gt;0,M53*$H53,0)</f>
        <v>0.69464373464373486</v>
      </c>
      <c r="U53" s="479">
        <f t="shared" si="11"/>
        <v>0</v>
      </c>
      <c r="V53" s="479">
        <f t="shared" ref="V53:X56" si="12">IF(O53&lt;&gt;0,O53*$H53,0)</f>
        <v>0.45896103896103901</v>
      </c>
      <c r="W53" s="479">
        <f t="shared" si="12"/>
        <v>0</v>
      </c>
      <c r="X53" s="480">
        <f t="shared" si="12"/>
        <v>0</v>
      </c>
      <c r="Y53"/>
      <c r="Z53" s="478">
        <f t="shared" ref="Z53:AD56" si="13">IF(M53&lt;&gt;0,M53*$I53,0)</f>
        <v>18.029305888817692</v>
      </c>
      <c r="AA53" s="479">
        <f t="shared" si="13"/>
        <v>0</v>
      </c>
      <c r="AB53" s="479">
        <f t="shared" si="13"/>
        <v>11.912219962254545</v>
      </c>
      <c r="AC53" s="479">
        <f t="shared" si="13"/>
        <v>0</v>
      </c>
      <c r="AD53" s="480">
        <f t="shared" si="13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3">
        <v>33</v>
      </c>
      <c r="C54" s="104"/>
      <c r="D54" s="137"/>
      <c r="E54" s="7"/>
      <c r="F54" s="7"/>
      <c r="G54" s="468" t="str">
        <f>IF($B54=0,0,VLOOKUP($B54,Arbeitsgänge!$B$27:$T$80,7))</f>
        <v>120 Kw</v>
      </c>
      <c r="H54" s="507">
        <f>IF($B54=0,0,VLOOKUP($B54,Arbeitsgänge!$B$27:$O$79,12))</f>
        <v>1.2</v>
      </c>
      <c r="I54" s="469">
        <f>IF($B54=0,0,VLOOKUP($B54,Arbeitsgänge!$B$27:$T$80,14))</f>
        <v>50.053718400000001</v>
      </c>
      <c r="J54" s="593">
        <f t="shared" si="2"/>
        <v>0.5571621621621623</v>
      </c>
      <c r="K54" s="1651">
        <f t="shared" si="3"/>
        <v>0.66859459459459469</v>
      </c>
      <c r="L54" s="1704">
        <f t="shared" si="4"/>
        <v>27.888037968000006</v>
      </c>
      <c r="M54" s="317"/>
      <c r="N54" s="318"/>
      <c r="O54" s="318"/>
      <c r="P54" s="318">
        <f>M18/120</f>
        <v>0.5571621621621623</v>
      </c>
      <c r="Q54" s="319"/>
      <c r="R54" s="542"/>
      <c r="S54" s="542"/>
      <c r="T54" s="478">
        <f t="shared" si="11"/>
        <v>0</v>
      </c>
      <c r="U54" s="479">
        <f t="shared" si="11"/>
        <v>0</v>
      </c>
      <c r="V54" s="479">
        <f t="shared" si="12"/>
        <v>0</v>
      </c>
      <c r="W54" s="479">
        <f t="shared" si="12"/>
        <v>0.66859459459459469</v>
      </c>
      <c r="X54" s="480">
        <f t="shared" si="12"/>
        <v>0</v>
      </c>
      <c r="Y54"/>
      <c r="Z54" s="478">
        <f t="shared" si="13"/>
        <v>0</v>
      </c>
      <c r="AA54" s="479">
        <f t="shared" si="13"/>
        <v>0</v>
      </c>
      <c r="AB54" s="479">
        <f t="shared" si="13"/>
        <v>0</v>
      </c>
      <c r="AC54" s="479">
        <f t="shared" si="13"/>
        <v>27.888037968000006</v>
      </c>
      <c r="AD54" s="480">
        <f t="shared" si="13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3">
        <v>38</v>
      </c>
      <c r="C55" s="104"/>
      <c r="D55" s="137"/>
      <c r="E55" s="7"/>
      <c r="F55" s="7"/>
      <c r="G55" s="468" t="str">
        <f>IF($B55=0,0,VLOOKUP($B55,Arbeitsgänge!$B$27:$T$80,7))</f>
        <v>83 Kw</v>
      </c>
      <c r="H55" s="507">
        <f>IF($B55=0,0,VLOOKUP($B55,Arbeitsgänge!$B$27:$O$79,12))</f>
        <v>1.1000000000000001</v>
      </c>
      <c r="I55" s="469">
        <f>IF($B55=0,0,VLOOKUP($B55,Arbeitsgänge!$B$27:$T$80,14))</f>
        <v>26.324633972000001</v>
      </c>
      <c r="J55" s="593">
        <f t="shared" si="2"/>
        <v>1.261499235084141</v>
      </c>
      <c r="K55" s="1651">
        <f t="shared" si="3"/>
        <v>1.3876491585925552</v>
      </c>
      <c r="L55" s="1704">
        <f t="shared" si="4"/>
        <v>33.208505619547992</v>
      </c>
      <c r="M55" s="317"/>
      <c r="N55" s="318">
        <f>M18/53</f>
        <v>1.261499235084141</v>
      </c>
      <c r="O55" s="318"/>
      <c r="P55" s="318"/>
      <c r="Q55" s="319"/>
      <c r="R55" s="542"/>
      <c r="S55" s="542"/>
      <c r="T55" s="478">
        <f t="shared" si="11"/>
        <v>0</v>
      </c>
      <c r="U55" s="479">
        <f t="shared" si="11"/>
        <v>1.3876491585925552</v>
      </c>
      <c r="V55" s="479">
        <f t="shared" si="12"/>
        <v>0</v>
      </c>
      <c r="W55" s="479">
        <f t="shared" si="12"/>
        <v>0</v>
      </c>
      <c r="X55" s="480">
        <f t="shared" si="12"/>
        <v>0</v>
      </c>
      <c r="Y55"/>
      <c r="Z55" s="478">
        <f t="shared" si="13"/>
        <v>0</v>
      </c>
      <c r="AA55" s="479">
        <f t="shared" si="13"/>
        <v>33.208505619547992</v>
      </c>
      <c r="AB55" s="479">
        <f t="shared" si="13"/>
        <v>0</v>
      </c>
      <c r="AC55" s="479">
        <f t="shared" si="13"/>
        <v>0</v>
      </c>
      <c r="AD55" s="480">
        <f t="shared" si="13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48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12</v>
      </c>
      <c r="I56" s="712">
        <f>IF($B56=0,0,VLOOKUP($B56,Arbeitsgänge!$B$27:$T$80,14))</f>
        <v>210</v>
      </c>
      <c r="J56" s="1479">
        <f t="shared" si="2"/>
        <v>0.2</v>
      </c>
      <c r="K56" s="1652">
        <f t="shared" si="3"/>
        <v>2.4000000000000004</v>
      </c>
      <c r="L56" s="1714">
        <f t="shared" si="4"/>
        <v>42</v>
      </c>
      <c r="M56" s="320"/>
      <c r="N56" s="321"/>
      <c r="O56" s="321"/>
      <c r="P56" s="321"/>
      <c r="Q56" s="322">
        <v>0.2</v>
      </c>
      <c r="R56" s="542"/>
      <c r="S56" s="542"/>
      <c r="T56" s="481">
        <f t="shared" si="11"/>
        <v>0</v>
      </c>
      <c r="U56" s="482">
        <f t="shared" si="11"/>
        <v>0</v>
      </c>
      <c r="V56" s="482">
        <f t="shared" si="12"/>
        <v>0</v>
      </c>
      <c r="W56" s="482">
        <f t="shared" si="12"/>
        <v>0</v>
      </c>
      <c r="X56" s="483">
        <f t="shared" si="12"/>
        <v>2.4000000000000004</v>
      </c>
      <c r="Y56"/>
      <c r="Z56" s="481">
        <f t="shared" si="13"/>
        <v>0</v>
      </c>
      <c r="AA56" s="482">
        <f t="shared" si="13"/>
        <v>0</v>
      </c>
      <c r="AB56" s="482">
        <f t="shared" si="13"/>
        <v>0</v>
      </c>
      <c r="AC56" s="482">
        <f t="shared" si="13"/>
        <v>0</v>
      </c>
      <c r="AD56" s="483">
        <f t="shared" si="13"/>
        <v>42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544"/>
      <c r="C57" s="1481"/>
      <c r="D57" s="122" t="s">
        <v>302</v>
      </c>
      <c r="E57" s="141"/>
      <c r="F57" s="141"/>
      <c r="G57" s="141"/>
      <c r="H57" s="7"/>
      <c r="I57" s="7"/>
      <c r="J57" s="360" t="s">
        <v>274</v>
      </c>
      <c r="K57" s="1715">
        <f>SUM(M57:Q57)</f>
        <v>14.589848526791926</v>
      </c>
      <c r="L57" s="1716"/>
      <c r="M57" s="278">
        <f>SUM(T46:T56)</f>
        <v>3.0346437346437347</v>
      </c>
      <c r="N57" s="508">
        <f>SUM(U46:U56)</f>
        <v>4.4276491585925548</v>
      </c>
      <c r="O57" s="508">
        <f>SUM(V46:V56)</f>
        <v>2.7989610389610391</v>
      </c>
      <c r="P57" s="508">
        <f>SUM(W46:W56)</f>
        <v>1.2985945945945947</v>
      </c>
      <c r="Q57" s="510">
        <f>SUM(X46:X56)</f>
        <v>3.0300000000000002</v>
      </c>
      <c r="R57" s="542"/>
      <c r="S57" s="526"/>
      <c r="T57" s="537"/>
      <c r="U57" s="537"/>
      <c r="V57"/>
      <c r="W57"/>
      <c r="X57"/>
      <c r="Y5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699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26.26172734822546</v>
      </c>
      <c r="L58" s="1718"/>
      <c r="M58" s="270">
        <f>IF(M57+(M57*$G$58/100)&gt;M57+10,M57+10,M57+(M57*$G$58/100))</f>
        <v>5.4623587223587222</v>
      </c>
      <c r="N58" s="509">
        <f>IF(N57+(N57*$G$58/100)&gt;(N57+10),N57+10,N57+(N57*$G$58/100))</f>
        <v>7.9697684854665987</v>
      </c>
      <c r="O58" s="509">
        <f>IF(O57+(O57*$G$58/100)&gt;(O57+10),O57+10,O57+(O57*$G$58/100))</f>
        <v>5.03812987012987</v>
      </c>
      <c r="P58" s="509">
        <f>P57+P57*$G$58/100</f>
        <v>2.3374702702702703</v>
      </c>
      <c r="Q58" s="511">
        <f>Q57+Q57*$G$58/100</f>
        <v>5.4540000000000006</v>
      </c>
      <c r="R58" s="542"/>
      <c r="S58" s="542"/>
      <c r="T58" s="537"/>
      <c r="U58" s="537"/>
      <c r="V58" s="530"/>
      <c r="W58" s="530"/>
      <c r="X58" s="530"/>
      <c r="Y58"/>
      <c r="Z58" s="266"/>
      <c r="AA58" s="266"/>
      <c r="AB58" s="537"/>
      <c r="AC58" s="51"/>
      <c r="AD58" s="51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50"/>
      <c r="C59" s="135"/>
      <c r="D59" s="151" t="s">
        <v>304</v>
      </c>
      <c r="E59" s="350"/>
      <c r="F59" s="350"/>
      <c r="G59" s="512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305.17250000000001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292.79649999999998</v>
      </c>
      <c r="Q59" s="257">
        <f>SUM(X61:X63)</f>
        <v>3.0939999999999999</v>
      </c>
      <c r="R59" s="542"/>
      <c r="S59" s="542"/>
      <c r="T59" s="528"/>
      <c r="U59" s="528"/>
      <c r="V59" s="530"/>
      <c r="W59" s="530"/>
      <c r="X59" s="530"/>
      <c r="Y59"/>
      <c r="Z59" s="268"/>
      <c r="AA59" s="268"/>
      <c r="AB59" s="537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50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9"/>
      <c r="AA60" s="529"/>
      <c r="AB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50"/>
      <c r="C61" s="2613"/>
      <c r="D61" s="2614" t="s">
        <v>309</v>
      </c>
      <c r="E61" s="3077"/>
      <c r="F61" s="3077"/>
      <c r="G61" s="3077">
        <v>65</v>
      </c>
      <c r="H61" s="3457">
        <f>G61*(100+$H$59)/100</f>
        <v>77.349999999999994</v>
      </c>
      <c r="I61" s="3078"/>
      <c r="J61" s="3079">
        <f>SUM(M61:Q61)</f>
        <v>0.2</v>
      </c>
      <c r="K61" s="3080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4">IF(N61&lt;&gt;0,N61*$H61,0)</f>
        <v>3.0939999999999999</v>
      </c>
      <c r="V61" s="594">
        <f t="shared" si="14"/>
        <v>3.0939999999999999</v>
      </c>
      <c r="W61" s="594">
        <f t="shared" si="14"/>
        <v>3.0939999999999999</v>
      </c>
      <c r="X61" s="594">
        <f t="shared" si="14"/>
        <v>3.0939999999999999</v>
      </c>
      <c r="Y61"/>
      <c r="Z61" s="529"/>
      <c r="AA61" s="529"/>
      <c r="AB61" s="528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50"/>
      <c r="C62" s="354"/>
      <c r="D62" s="4020" t="s">
        <v>1373</v>
      </c>
      <c r="E62" s="3081"/>
      <c r="F62" s="3081"/>
      <c r="G62" s="3317"/>
      <c r="H62" s="3456">
        <f>'Preise-Stammdaten'!N44</f>
        <v>18.297000000000001</v>
      </c>
      <c r="I62" s="3082"/>
      <c r="J62" s="3083">
        <f>P62</f>
        <v>15.833333333333332</v>
      </c>
      <c r="K62" s="3084"/>
      <c r="L62" s="3069">
        <f>H62*P62</f>
        <v>289.70249999999999</v>
      </c>
      <c r="M62" s="3318"/>
      <c r="N62" s="3319"/>
      <c r="O62" s="3319"/>
      <c r="P62" s="3319">
        <f>P18</f>
        <v>15.833333333333332</v>
      </c>
      <c r="Q62" s="3320"/>
      <c r="R62" s="542"/>
      <c r="S62" s="542"/>
      <c r="T62" s="594">
        <f>IF(M62&lt;&gt;0,M62*$H62,0)</f>
        <v>0</v>
      </c>
      <c r="U62" s="594">
        <f t="shared" si="14"/>
        <v>0</v>
      </c>
      <c r="V62" s="594">
        <f t="shared" si="14"/>
        <v>0</v>
      </c>
      <c r="W62" s="594">
        <f t="shared" si="14"/>
        <v>289.70249999999999</v>
      </c>
      <c r="X62" s="594">
        <f t="shared" si="14"/>
        <v>0</v>
      </c>
      <c r="Y62"/>
      <c r="Z62" s="529"/>
      <c r="AA62" s="529"/>
      <c r="AB62" s="528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5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119">
        <f>K63*H63</f>
        <v>0</v>
      </c>
      <c r="M63" s="3114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4"/>
        <v>0</v>
      </c>
      <c r="V63" s="594">
        <f t="shared" si="14"/>
        <v>0</v>
      </c>
      <c r="W63" s="594">
        <f t="shared" si="14"/>
        <v>0</v>
      </c>
      <c r="X63" s="594">
        <f t="shared" si="14"/>
        <v>0</v>
      </c>
      <c r="Y63"/>
      <c r="Z63" s="274"/>
      <c r="AA63" s="274"/>
      <c r="AB63" s="266"/>
      <c r="AC63" s="537"/>
      <c r="AD63" s="537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541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30"/>
      <c r="W64" s="530"/>
      <c r="X64" s="530"/>
      <c r="Y64"/>
      <c r="Z64" s="530"/>
      <c r="AA64" s="530"/>
      <c r="AB64" s="268"/>
      <c r="AC64" s="537"/>
      <c r="AD64" s="537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541"/>
      <c r="C65" s="121"/>
      <c r="D65" s="122"/>
      <c r="E65" s="122"/>
      <c r="F65" s="122"/>
      <c r="G65" s="172"/>
      <c r="H65" s="7"/>
      <c r="I65" s="7"/>
      <c r="J65" s="25"/>
      <c r="K65" s="1721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30"/>
      <c r="W65" s="530" t="s">
        <v>542</v>
      </c>
      <c r="X65" s="530"/>
      <c r="Y65"/>
      <c r="Z65" s="530" t="s">
        <v>1159</v>
      </c>
      <c r="AA65" s="530"/>
      <c r="AB65" s="529"/>
      <c r="AC65" s="528"/>
      <c r="AD65" s="528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545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 s="530"/>
      <c r="W66" s="3055">
        <f>K10/100</f>
        <v>0.43481361426256077</v>
      </c>
      <c r="X66" s="530"/>
      <c r="Y66"/>
      <c r="Z66" s="528" t="s">
        <v>356</v>
      </c>
      <c r="AA66" s="528" t="s">
        <v>563</v>
      </c>
      <c r="AB66" s="529" t="s">
        <v>564</v>
      </c>
      <c r="AC66" s="528"/>
      <c r="AD66" s="528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7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5">SUM(L69:L70)</f>
        <v>31.416000000000004</v>
      </c>
      <c r="M67" s="253">
        <f t="shared" si="15"/>
        <v>11.662000000000001</v>
      </c>
      <c r="N67" s="254">
        <f t="shared" si="15"/>
        <v>0</v>
      </c>
      <c r="O67" s="254">
        <f t="shared" si="15"/>
        <v>8.33</v>
      </c>
      <c r="P67" s="254">
        <f t="shared" si="15"/>
        <v>0</v>
      </c>
      <c r="Q67" s="257">
        <f t="shared" si="15"/>
        <v>11.424000000000001</v>
      </c>
      <c r="W67" s="530" t="s">
        <v>1055</v>
      </c>
      <c r="Z67" s="3126">
        <v>2.38</v>
      </c>
      <c r="AA67" s="3127">
        <v>1.4</v>
      </c>
      <c r="AB67" s="3128">
        <v>5.3</v>
      </c>
      <c r="AC67" s="528"/>
      <c r="AD67" s="267"/>
    </row>
    <row r="68" spans="1:43" ht="16.5" customHeight="1" x14ac:dyDescent="0.2">
      <c r="A68" s="174" t="s">
        <v>389</v>
      </c>
      <c r="B68" s="7"/>
      <c r="C68" s="1459"/>
      <c r="D68" s="1460" t="s">
        <v>390</v>
      </c>
      <c r="E68" s="1443"/>
      <c r="F68" s="1461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29" t="s">
        <v>599</v>
      </c>
      <c r="AA68" s="529"/>
      <c r="AC68" s="268"/>
      <c r="AD68" s="269"/>
    </row>
    <row r="69" spans="1:43" s="51" customFormat="1" ht="15" customHeight="1" x14ac:dyDescent="0.2">
      <c r="A69" s="873"/>
      <c r="B69" s="226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J69" s="50"/>
      <c r="K69" s="1728"/>
      <c r="L69" s="1671">
        <f>SUM(M69:Q69)</f>
        <v>19.992000000000001</v>
      </c>
      <c r="M69" s="1386">
        <f>IF(AND($B69&lt;3,V$5=1),M$7*$I69/100,IF(AND($B69=3,V$5=3),M$7*$I69/100,0))</f>
        <v>11.662000000000001</v>
      </c>
      <c r="N69" s="933">
        <f t="shared" ref="N69:P70" si="16">IF(AND($B69&lt;3,W$5=1),N$7*$I69/100,IF(AND($B69=3,W$5=3),N$7*$I69/100,0))</f>
        <v>0</v>
      </c>
      <c r="O69" s="933">
        <f t="shared" si="16"/>
        <v>8.33</v>
      </c>
      <c r="P69" s="933">
        <f t="shared" si="16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30"/>
      <c r="W69" s="530"/>
      <c r="X69" s="530"/>
      <c r="Y69"/>
      <c r="Z69" s="530"/>
      <c r="AA69" s="530"/>
      <c r="AB69" s="530"/>
      <c r="AC69" s="529"/>
      <c r="AD69" s="529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546">
        <v>1</v>
      </c>
      <c r="C70" s="1378"/>
      <c r="D70" s="939" t="str">
        <f>IF($B70=0,0,VLOOKUP($B70,'Preise-Stammdaten'!$B$61:'Preise-Stammdaten'!$N$66,2))</f>
        <v>Zaunkosten Standweide/ha</v>
      </c>
      <c r="E70" s="931"/>
      <c r="F70" s="1388"/>
      <c r="G70" s="1472"/>
      <c r="H70" s="1380" t="str">
        <f>IF($B70=0,0,VLOOKUP($B70,'Preise-Stammdaten'!$B$61:'Preise-Stammdaten'!$N$66,6))</f>
        <v>€/ha</v>
      </c>
      <c r="I70" s="930">
        <f>IF($B70=0,0,VLOOKUP($B70,'Preise-Stammdaten'!$B$61:$N$66,13))</f>
        <v>95.2</v>
      </c>
      <c r="J70" s="1387"/>
      <c r="K70" s="1729"/>
      <c r="L70" s="1660">
        <f>SUM(M70:Q70)</f>
        <v>11.424000000000001</v>
      </c>
      <c r="M70" s="1386">
        <f>IF(AND($B70&lt;3,V$5=1),M$7*$I70/100,IF(AND($B70=3,V$5=3),M$7*$I70/100,0))</f>
        <v>0</v>
      </c>
      <c r="N70" s="933">
        <f t="shared" si="16"/>
        <v>0</v>
      </c>
      <c r="O70" s="933">
        <f t="shared" si="16"/>
        <v>0</v>
      </c>
      <c r="P70" s="933">
        <f t="shared" si="16"/>
        <v>0</v>
      </c>
      <c r="Q70" s="934">
        <f>IF(AND($B70&lt;3,Z$5=1),Q$7*$I70/100,IF(AND($B70=3,Z$5=3),Q$7*$I70/100,0))</f>
        <v>11.424000000000001</v>
      </c>
      <c r="R70" s="542"/>
      <c r="S70" s="542"/>
      <c r="T70" s="528"/>
      <c r="U70" s="528"/>
      <c r="V70" s="530"/>
      <c r="W70" s="530"/>
      <c r="X70" s="530"/>
      <c r="Y70"/>
      <c r="Z70" s="530"/>
      <c r="AA70" s="530"/>
      <c r="AB70" s="528"/>
      <c r="AC70" s="529"/>
      <c r="AD70" s="529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547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30"/>
      <c r="W71" s="530"/>
      <c r="X71" s="530"/>
      <c r="Y71"/>
      <c r="Z71" s="530"/>
      <c r="AA71" s="530"/>
      <c r="AB71" s="528"/>
      <c r="AC71" s="275"/>
      <c r="AD71" s="529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545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30"/>
      <c r="W72" s="530"/>
      <c r="X72" s="530"/>
      <c r="Y72"/>
      <c r="Z72" s="530"/>
      <c r="AA72" s="530"/>
      <c r="AB72" s="530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7">K16</f>
        <v>54.996212121212125</v>
      </c>
      <c r="L77" s="3321">
        <f t="shared" si="17"/>
        <v>0</v>
      </c>
      <c r="M77" s="3321">
        <f t="shared" si="17"/>
        <v>12.666666666666666</v>
      </c>
      <c r="N77" s="3321">
        <f t="shared" si="17"/>
        <v>14.204545454545453</v>
      </c>
      <c r="O77" s="3321">
        <f t="shared" si="17"/>
        <v>8.3333333333333339</v>
      </c>
      <c r="P77" s="3321">
        <f t="shared" si="17"/>
        <v>19.791666666666668</v>
      </c>
      <c r="Q77" s="3321">
        <f t="shared" si="17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3.0156583333333336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9.3018333333333345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328.97734059343441</v>
      </c>
      <c r="L79" s="3321"/>
      <c r="M79" s="3321">
        <f>M78*M16</f>
        <v>61.549444444444447</v>
      </c>
      <c r="N79" s="3321">
        <f>N78*N16</f>
        <v>42.836055871212118</v>
      </c>
      <c r="O79" s="3321">
        <f>O78*O16</f>
        <v>40.493055555555557</v>
      </c>
      <c r="P79" s="3321">
        <f>P78*P16</f>
        <v>184.09878472222226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4" firstPageNumber="15" orientation="portrait" useFirstPageNumber="1" horizontalDpi="300" verticalDpi="300" r:id="rId1"/>
  <headerFooter alignWithMargins="0">
    <oddFooter>&amp;L&amp;12LEL Schwäbisch Gmünd (Abtlg. II)
LAZBW Aulendorf&amp;C&amp;12 48&amp;9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6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0" name="Drop Down 7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6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1" name="Drop Down 8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6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2" name="Drop Down 9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6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3" name="Drop Down 10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6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4" name="Drop Down 1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6</xdr:col>
                    <xdr:colOff>123825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5" name="Drop Down 1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6</xdr:col>
                    <xdr:colOff>123825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6" name="Drop Down 1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6</xdr:col>
                    <xdr:colOff>123825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17" name="Drop Down 1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6</xdr:col>
                    <xdr:colOff>123825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18" name="Drop Down 15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6</xdr:col>
                    <xdr:colOff>123825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180975</xdr:rowOff>
                  </from>
                  <to>
                    <xdr:col>6</xdr:col>
                    <xdr:colOff>123825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'16)GSHeuGrünMischung-(a)'!H2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'16)GSHeuGrünMischung-(a)'!K2</f>
        <v>Grassilage-Heu-GS-Cobs-Weide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'16)GSHeuGrünMischung-(a)'!H3</f>
        <v>gemischtes Verfahren, Silage eigene Ernte (Ladewagen), Heu in Rundballen (LU)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'16)GSHeuGrünMischung-(a)'!M5</f>
        <v>Silage</v>
      </c>
      <c r="O5" s="1568" t="str">
        <f>'16)GSHeuGrünMischung-(a)'!N5</f>
        <v>Heu</v>
      </c>
      <c r="P5" s="1568" t="str">
        <f>'16)GSHeuGrünMischung-(a)'!O5</f>
        <v>Silage</v>
      </c>
      <c r="Q5" s="1568" t="str">
        <f>'16)GSHeuGrünMischung-(a)'!P5</f>
        <v>Cobs</v>
      </c>
      <c r="R5" s="1573" t="str">
        <f>'16)GSHeuGrünMischung-(a)'!Q5</f>
        <v>Weide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'16)GSHeuGrünMischung-(a)'!K6</f>
        <v>100</v>
      </c>
      <c r="N6" s="1821">
        <f>'16)GSHeuGrünMischung-(a)'!M6</f>
        <v>28</v>
      </c>
      <c r="O6" s="1821">
        <f>'16)GSHeuGrünMischung-(a)'!N6</f>
        <v>25</v>
      </c>
      <c r="P6" s="1821">
        <f>'16)GSHeuGrünMischung-(a)'!O6</f>
        <v>20</v>
      </c>
      <c r="Q6" s="1821">
        <f>'16)GSHeuGrünMischung-(a)'!P6</f>
        <v>15</v>
      </c>
      <c r="R6" s="1822">
        <f>'16)GSHeuGrünMischung-(a)'!Q6</f>
        <v>12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'16)GSHeuGrünMischung-(a)'!K14</f>
        <v>92.55</v>
      </c>
      <c r="N7" s="452">
        <f>'16)GSHeuGrünMischung-(a)'!M14</f>
        <v>26.6</v>
      </c>
      <c r="O7" s="452">
        <f>'16)GSHeuGrünMischung-(a)'!N14</f>
        <v>22.5</v>
      </c>
      <c r="P7" s="452">
        <f>'16)GSHeuGrünMischung-(a)'!O14</f>
        <v>19</v>
      </c>
      <c r="Q7" s="452">
        <f>'16)GSHeuGrünMischung-(a)'!P14</f>
        <v>14.25</v>
      </c>
      <c r="R7" s="1744">
        <f>'16)GSHeuGrünMischung-(a)'!Q14</f>
        <v>10.199999999999999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'16)GSHeuGrünMischung-(a)'!K15</f>
        <v>304.38068181818181</v>
      </c>
      <c r="N8" s="473">
        <f>'16)GSHeuGrünMischung-(a)'!M15</f>
        <v>76</v>
      </c>
      <c r="O8" s="473">
        <f>'16)GSHeuGrünMischung-(a)'!N15</f>
        <v>25.568181818181817</v>
      </c>
      <c r="P8" s="473">
        <f>'16)GSHeuGrünMischung-(a)'!O15</f>
        <v>50</v>
      </c>
      <c r="Q8" s="473">
        <f>'16)GSHeuGrünMischung-(a)'!P15</f>
        <v>89.0625</v>
      </c>
      <c r="R8" s="1583">
        <f>'16)GSHeuGrünMischung-(a)'!Q15</f>
        <v>63.749999999999993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'16)GSHeuGrünMischung-(a)'!K17</f>
        <v>88.233000000000004</v>
      </c>
      <c r="N9" s="452">
        <f>'16)GSHeuGrünMischung-(a)'!M17</f>
        <v>24.738000000000003</v>
      </c>
      <c r="O9" s="452">
        <f>'16)GSHeuGrünMischung-(a)'!N17</f>
        <v>21.375</v>
      </c>
      <c r="P9" s="452">
        <f>'16)GSHeuGrünMischung-(a)'!O17</f>
        <v>17.670000000000002</v>
      </c>
      <c r="Q9" s="452">
        <f>'16)GSHeuGrünMischung-(a)'!P17</f>
        <v>14.25</v>
      </c>
      <c r="R9" s="1744">
        <f>'16)GSHeuGrünMischung-(a)'!Q17</f>
        <v>10.199999999999999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'16)GSHeuGrünMischung-(a)'!K18</f>
        <v>214.36779279279281</v>
      </c>
      <c r="N10" s="1748">
        <f>'16)GSHeuGrünMischung-(a)'!M18</f>
        <v>66.859459459459472</v>
      </c>
      <c r="O10" s="1748">
        <f>'16)GSHeuGrünMischung-(a)'!N18</f>
        <v>23.75</v>
      </c>
      <c r="P10" s="1748">
        <f>'16)GSHeuGrünMischung-(a)'!O18</f>
        <v>44.175000000000004</v>
      </c>
      <c r="Q10" s="1748">
        <f>'16)GSHeuGrünMischung-(a)'!P18</f>
        <v>15.833333333333332</v>
      </c>
      <c r="R10" s="1745">
        <f>'16)GSHeuGrünMischung-(a)'!Q18</f>
        <v>63.749999999999993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'16)GSHeuGrünMischung-(a)'!K19</f>
        <v>35.218706206206207</v>
      </c>
      <c r="N11" s="2094">
        <f>'16)GSHeuGrünMischung-(a)'!M19</f>
        <v>11.143243243243244</v>
      </c>
      <c r="O11" s="2094">
        <f>'16)GSHeuGrünMischung-(a)'!N19</f>
        <v>13.194444444444445</v>
      </c>
      <c r="P11" s="2094">
        <f>'16)GSHeuGrünMischung-(a)'!O19</f>
        <v>7.3625000000000007</v>
      </c>
      <c r="Q11" s="2094">
        <f>'16)GSHeuGrünMischung-(a)'!P19</f>
        <v>3.5185185185185182</v>
      </c>
      <c r="R11" s="2078">
        <f>'16)GSHeuGrünMischung-(a)'!Q19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'16)GSHeuGrünMischung-(a)'!K22</f>
        <v>5191.4429999999993</v>
      </c>
      <c r="N12" s="1176">
        <f>'16)GSHeuGrünMischung-(a)'!M22</f>
        <v>1509.018</v>
      </c>
      <c r="O12" s="1176">
        <f>'16)GSHeuGrünMischung-(a)'!N22</f>
        <v>1175.625</v>
      </c>
      <c r="P12" s="1176">
        <f>'16)GSHeuGrünMischung-(a)'!O22</f>
        <v>1060.2</v>
      </c>
      <c r="Q12" s="1176">
        <f>'16)GSHeuGrünMischung-(a)'!P22</f>
        <v>855</v>
      </c>
      <c r="R12" s="1747">
        <f>'16)GSHeuGrünMischung-(a)'!Q22</f>
        <v>591.59999999999991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149999999999999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'16)GSHeuGrünMischung-(a)'!K23</f>
        <v>8652.4050000000007</v>
      </c>
      <c r="N13" s="2065">
        <f>'16)GSHeuGrünMischung-(a)'!M23</f>
        <v>2515.0300000000002</v>
      </c>
      <c r="O13" s="2065">
        <f>'16)GSHeuGrünMischung-(a)'!N23</f>
        <v>1959.3750000000002</v>
      </c>
      <c r="P13" s="2065">
        <f>'16)GSHeuGrünMischung-(a)'!O23</f>
        <v>1767.0000000000002</v>
      </c>
      <c r="Q13" s="2065">
        <f>'16)GSHeuGrünMischung-(a)'!P23</f>
        <v>1425</v>
      </c>
      <c r="R13" s="2067">
        <f>'16)GSHeuGrünMischung-(a)'!Q23</f>
        <v>985.99999999999977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149999999999999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149999999999999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75.599999999999994</v>
      </c>
      <c r="O15" s="3340">
        <f t="shared" si="0"/>
        <v>67.5</v>
      </c>
      <c r="P15" s="3339">
        <f t="shared" si="0"/>
        <v>54</v>
      </c>
      <c r="Q15" s="3340">
        <f t="shared" si="0"/>
        <v>40.5</v>
      </c>
      <c r="R15" s="3341">
        <f t="shared" si="0"/>
        <v>32.4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149999999999999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149999999999999" customHeight="1" thickBot="1" x14ac:dyDescent="0.25">
      <c r="B17" s="1783"/>
      <c r="C17" s="3333">
        <f>C16+1</f>
        <v>13</v>
      </c>
      <c r="D17" s="3337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75.599999999999994</v>
      </c>
      <c r="O17" s="2065">
        <f t="shared" si="2"/>
        <v>67.5</v>
      </c>
      <c r="P17" s="3334">
        <f t="shared" si="2"/>
        <v>54</v>
      </c>
      <c r="Q17" s="2065">
        <f t="shared" si="2"/>
        <v>40.5</v>
      </c>
      <c r="R17" s="3335">
        <f t="shared" si="2"/>
        <v>32.4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'16)GSHeuGrünMischung-(a)'!L32</f>
        <v>28.248000000000001</v>
      </c>
      <c r="N19" s="2071">
        <f>'16)GSHeuGrünMischung-(a)'!M32</f>
        <v>7.9094400000000009</v>
      </c>
      <c r="O19" s="2071">
        <f>'16)GSHeuGrünMischung-(a)'!N32</f>
        <v>7.0620000000000003</v>
      </c>
      <c r="P19" s="2071">
        <f>'16)GSHeuGrünMischung-(a)'!O32</f>
        <v>5.6496000000000004</v>
      </c>
      <c r="Q19" s="2071">
        <f>'16)GSHeuGrünMischung-(a)'!P32</f>
        <v>4.2372000000000005</v>
      </c>
      <c r="R19" s="2073">
        <f>'16)GSHeuGrünMischung-(a)'!Q32</f>
        <v>3.3897599999999999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'16)GSHeuGrünMischung-(a)'!L34</f>
        <v>776.47214400000007</v>
      </c>
      <c r="N20" s="285">
        <f>'16)GSHeuGrünMischung-(a)'!M34</f>
        <v>217.41220032000001</v>
      </c>
      <c r="O20" s="285">
        <f>'16)GSHeuGrünMischung-(a)'!N34</f>
        <v>194.11803600000002</v>
      </c>
      <c r="P20" s="285">
        <f>'16)GSHeuGrünMischung-(a)'!O34</f>
        <v>155.29442880000002</v>
      </c>
      <c r="Q20" s="285">
        <f>'16)GSHeuGrünMischung-(a)'!P34</f>
        <v>116.47082160000002</v>
      </c>
      <c r="R20" s="1574">
        <f>'16)GSHeuGrünMischung-(a)'!Q34</f>
        <v>93.176657280000001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'16)GSHeuGrünMischung-(a)'!L40</f>
        <v>11.9</v>
      </c>
      <c r="N21" s="285">
        <f>'16)GSHeuGrünMischung-(a)'!M40</f>
        <v>3.3319999999999999</v>
      </c>
      <c r="O21" s="285">
        <f>'16)GSHeuGrünMischung-(a)'!N40</f>
        <v>2.9750000000000001</v>
      </c>
      <c r="P21" s="285">
        <f>'16)GSHeuGrünMischung-(a)'!O40</f>
        <v>2.38</v>
      </c>
      <c r="Q21" s="285">
        <f>'16)GSHeuGrünMischung-(a)'!P40</f>
        <v>1.7849999999999999</v>
      </c>
      <c r="R21" s="1574">
        <f>'16)GSHeuGrünMischung-(a)'!Q40</f>
        <v>1.4280000000000002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'16)GSHeuGrünMischung-(a)'!L67</f>
        <v>31.416000000000004</v>
      </c>
      <c r="N23" s="285">
        <f>'16)GSHeuGrünMischung-(a)'!M67</f>
        <v>11.662000000000001</v>
      </c>
      <c r="O23" s="285">
        <f>'16)GSHeuGrünMischung-(a)'!N67</f>
        <v>0</v>
      </c>
      <c r="P23" s="285">
        <f>'16)GSHeuGrünMischung-(a)'!O67</f>
        <v>8.33</v>
      </c>
      <c r="Q23" s="285">
        <f>'16)GSHeuGrünMischung-(a)'!P67</f>
        <v>0</v>
      </c>
      <c r="R23" s="1574">
        <f>'16)GSHeuGrünMischung-(a)'!Q67</f>
        <v>11.424000000000001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'16)GSHeuGrünMischung-(a)'!L43</f>
        <v>408.22921373262028</v>
      </c>
      <c r="N24" s="285">
        <f>'16)GSHeuGrünMischung-(a)'!M43</f>
        <v>97.557058293217679</v>
      </c>
      <c r="O24" s="285">
        <f>'16)GSHeuGrünMischung-(a)'!N43</f>
        <v>129.891408959948</v>
      </c>
      <c r="P24" s="285">
        <f>'16)GSHeuGrünMischung-(a)'!O43</f>
        <v>91.43997236665453</v>
      </c>
      <c r="Q24" s="285">
        <f>'16)GSHeuGrünMischung-(a)'!P43</f>
        <v>37.614406040400006</v>
      </c>
      <c r="R24" s="1574">
        <f>'16)GSHeuGrünMischung-(a)'!Q43</f>
        <v>51.7263680724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'16)GSHeuGrünMischung-(a)'!L59</f>
        <v>305.17250000000001</v>
      </c>
      <c r="N25" s="285">
        <f>'16)GSHeuGrünMischung-(a)'!M59</f>
        <v>3.0939999999999999</v>
      </c>
      <c r="O25" s="285">
        <f>'16)GSHeuGrünMischung-(a)'!N59</f>
        <v>3.0939999999999999</v>
      </c>
      <c r="P25" s="285">
        <f>'16)GSHeuGrünMischung-(a)'!O59</f>
        <v>3.0939999999999999</v>
      </c>
      <c r="Q25" s="285">
        <f>'16)GSHeuGrünMischung-(a)'!P59</f>
        <v>292.79649999999998</v>
      </c>
      <c r="R25" s="1574">
        <f>'16)GSHeuGrünMischung-(a)'!Q59</f>
        <v>3.0939999999999999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'16)GSHeuGrünMischung-(a)'!L64</f>
        <v>0</v>
      </c>
      <c r="N26" s="1979">
        <f>'16)GSHeuGrünMischung-(a)'!M64</f>
        <v>0</v>
      </c>
      <c r="O26" s="1979">
        <f>'16)GSHeuGrünMischung-(a)'!N64</f>
        <v>0</v>
      </c>
      <c r="P26" s="1979">
        <f>'16)GSHeuGrünMischung-(a)'!O64</f>
        <v>0</v>
      </c>
      <c r="Q26" s="1979">
        <f>'16)GSHeuGrünMischung-(a)'!P64</f>
        <v>0</v>
      </c>
      <c r="R26" s="1981">
        <f>'16)GSHeuGrünMischung-(a)'!Q64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1561.4378577326206</v>
      </c>
      <c r="N27" s="2407">
        <f t="shared" si="4"/>
        <v>340.96669861321766</v>
      </c>
      <c r="O27" s="2407">
        <f t="shared" si="4"/>
        <v>337.14044495994801</v>
      </c>
      <c r="P27" s="2407">
        <f t="shared" si="4"/>
        <v>266.18800116665454</v>
      </c>
      <c r="Q27" s="2407">
        <f t="shared" si="4"/>
        <v>452.90392764040001</v>
      </c>
      <c r="R27" s="2525">
        <f t="shared" si="4"/>
        <v>164.23878535239999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-1561.4378577326206</v>
      </c>
      <c r="N28" s="1777">
        <f t="shared" si="5"/>
        <v>-340.96669861321766</v>
      </c>
      <c r="O28" s="1777">
        <f t="shared" si="5"/>
        <v>-337.14044495994801</v>
      </c>
      <c r="P28" s="1777">
        <f t="shared" si="5"/>
        <v>-266.18800116665454</v>
      </c>
      <c r="Q28" s="1777">
        <f t="shared" si="5"/>
        <v>-452.90392764040001</v>
      </c>
      <c r="R28" s="1871">
        <f t="shared" si="5"/>
        <v>-164.23878535239999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-0.30077145366569968</v>
      </c>
      <c r="N29" s="1874">
        <f t="shared" si="7"/>
        <v>-0.22595270474786758</v>
      </c>
      <c r="O29" s="1874">
        <f t="shared" si="7"/>
        <v>-0.28677549810521896</v>
      </c>
      <c r="P29" s="1874">
        <f t="shared" si="7"/>
        <v>-0.25107338348109276</v>
      </c>
      <c r="Q29" s="1874">
        <f t="shared" si="7"/>
        <v>-0.52971219607064324</v>
      </c>
      <c r="R29" s="2410">
        <f t="shared" si="7"/>
        <v>-0.27761796036578773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75.599999999999994</v>
      </c>
      <c r="O30" s="2097">
        <f t="shared" si="8"/>
        <v>67.5</v>
      </c>
      <c r="P30" s="2097">
        <f t="shared" si="8"/>
        <v>54</v>
      </c>
      <c r="Q30" s="2097">
        <f t="shared" si="8"/>
        <v>40.5</v>
      </c>
      <c r="R30" s="1744">
        <f t="shared" si="8"/>
        <v>32.4</v>
      </c>
      <c r="T30" s="3297" t="s">
        <v>1216</v>
      </c>
      <c r="U30" s="3308">
        <f>'16)GSHeuGrünMischung-(a)'!L25</f>
        <v>0</v>
      </c>
      <c r="V30" s="3308">
        <f>'16)GSHeuGrünMischung-(a)'!M25</f>
        <v>0</v>
      </c>
      <c r="W30" s="3308">
        <f>'16)GSHeuGrünMischung-(a)'!N25</f>
        <v>0</v>
      </c>
      <c r="X30" s="3308">
        <f>'16)GSHeuGrünMischung-(a)'!O25</f>
        <v>0</v>
      </c>
      <c r="Y30" s="3308">
        <f>'16)GSHeuGrünMischung-(a)'!P25</f>
        <v>0</v>
      </c>
      <c r="Z30" s="3308">
        <f>'16)GSHeuGrünMischung-(a)'!Q25</f>
        <v>0</v>
      </c>
      <c r="AA30"/>
      <c r="AB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M27*'16)GSHeuGrünMischung-(a)'!$L$72*'16)GSHeuGrünMischung-(a)'!$Q$72/12/100</f>
        <v>9.7589866108288792</v>
      </c>
      <c r="N31" s="1979">
        <f>N27*'16)GSHeuGrünMischung-(a)'!$L$72*'16)GSHeuGrünMischung-(a)'!$Q$72/12/100</f>
        <v>2.1310418663326103</v>
      </c>
      <c r="O31" s="1979">
        <f>O27*'16)GSHeuGrünMischung-(a)'!$L$72*'16)GSHeuGrünMischung-(a)'!$Q$72/12/100</f>
        <v>2.1071277809996753</v>
      </c>
      <c r="P31" s="1979">
        <f>P27*'16)GSHeuGrünMischung-(a)'!$L$72*'16)GSHeuGrünMischung-(a)'!$Q$72/12/100</f>
        <v>1.6636750072915911</v>
      </c>
      <c r="Q31" s="1979">
        <f>Q27*'16)GSHeuGrünMischung-(a)'!$L$72*'16)GSHeuGrünMischung-(a)'!$Q$72/12/100</f>
        <v>2.8306495477525</v>
      </c>
      <c r="R31" s="1981">
        <f>R27*'16)GSHeuGrünMischung-(a)'!$L$72*'16)GSHeuGrünMischung-(a)'!$Q$72/12/100</f>
        <v>1.0264924084525</v>
      </c>
      <c r="T31" s="3297" t="s">
        <v>1215</v>
      </c>
      <c r="U31" s="3308">
        <f>'16)GSHeuGrünMischung-(a)'!L30</f>
        <v>270</v>
      </c>
      <c r="V31" s="3308">
        <f>'16)GSHeuGrünMischung-(a)'!M30</f>
        <v>75.599999999999994</v>
      </c>
      <c r="W31" s="3308">
        <f>'16)GSHeuGrünMischung-(a)'!N30</f>
        <v>67.5</v>
      </c>
      <c r="X31" s="3308">
        <f>'16)GSHeuGrünMischung-(a)'!O30</f>
        <v>54</v>
      </c>
      <c r="Y31" s="3308">
        <f>'16)GSHeuGrünMischung-(a)'!P30</f>
        <v>40.5</v>
      </c>
      <c r="Z31" s="3308">
        <f>'16)GSHeuGrünMischung-(a)'!Q30</f>
        <v>32.4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-1301.1968443434496</v>
      </c>
      <c r="N32" s="1769">
        <f t="shared" si="9"/>
        <v>-267.49774047955026</v>
      </c>
      <c r="O32" s="1769">
        <f t="shared" si="9"/>
        <v>-271.7475727409477</v>
      </c>
      <c r="P32" s="1769">
        <f t="shared" si="9"/>
        <v>-213.85167617394615</v>
      </c>
      <c r="Q32" s="1769">
        <f t="shared" si="9"/>
        <v>-415.23457718815251</v>
      </c>
      <c r="R32" s="1776">
        <f t="shared" si="9"/>
        <v>-132.86527776085248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75.599999999999994</v>
      </c>
      <c r="W32" s="429">
        <f t="shared" si="10"/>
        <v>67.5</v>
      </c>
      <c r="X32" s="429">
        <f t="shared" si="10"/>
        <v>54</v>
      </c>
      <c r="Y32" s="429">
        <f t="shared" si="10"/>
        <v>40.5</v>
      </c>
      <c r="Z32" s="429">
        <f t="shared" si="10"/>
        <v>32.4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-0.2506426140754025</v>
      </c>
      <c r="N33" s="1581">
        <f t="shared" si="11"/>
        <v>-0.17726610317408426</v>
      </c>
      <c r="O33" s="1581">
        <f t="shared" si="11"/>
        <v>-0.23115157702579284</v>
      </c>
      <c r="P33" s="1581">
        <f t="shared" si="11"/>
        <v>-0.20170880604975111</v>
      </c>
      <c r="Q33" s="1581">
        <f t="shared" si="11"/>
        <v>-0.48565447624345326</v>
      </c>
      <c r="R33" s="2404">
        <f t="shared" si="11"/>
        <v>-0.224586338338155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-0.15038556844524145</v>
      </c>
      <c r="N34" s="2149">
        <f t="shared" si="12"/>
        <v>-0.10635966190445054</v>
      </c>
      <c r="O34" s="2149">
        <f t="shared" si="12"/>
        <v>-0.13869094621547567</v>
      </c>
      <c r="P34" s="2149">
        <f t="shared" si="12"/>
        <v>-0.12102528362985066</v>
      </c>
      <c r="Q34" s="2149">
        <f t="shared" si="12"/>
        <v>-0.29139268574607197</v>
      </c>
      <c r="R34" s="2412">
        <f t="shared" si="12"/>
        <v>-0.13475180300289302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'16)GSHeuGrünMischung-(a)'!K58</f>
        <v>26.26172734822546</v>
      </c>
      <c r="N36" s="2397">
        <f>'16)GSHeuGrünMischung-(a)'!M58</f>
        <v>5.4623587223587222</v>
      </c>
      <c r="O36" s="2397">
        <f>'16)GSHeuGrünMischung-(a)'!N58</f>
        <v>7.9697684854665987</v>
      </c>
      <c r="P36" s="2397">
        <f>'16)GSHeuGrünMischung-(a)'!O58</f>
        <v>5.03812987012987</v>
      </c>
      <c r="Q36" s="2397">
        <f>'16)GSHeuGrünMischung-(a)'!P58</f>
        <v>2.3374702702702703</v>
      </c>
      <c r="R36" s="2398">
        <f>'16)GSHeuGrünMischung-(a)'!Q58</f>
        <v>5.4540000000000006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'16)GSHeuGrünMischung-(a)'!K16</f>
        <v>54.996212121212125</v>
      </c>
      <c r="N37" s="2400">
        <f>'16)GSHeuGrünMischung-(a)'!M16</f>
        <v>12.666666666666666</v>
      </c>
      <c r="O37" s="2400">
        <f>'16)GSHeuGrünMischung-(a)'!N16</f>
        <v>14.204545454545453</v>
      </c>
      <c r="P37" s="2400">
        <f>'16)GSHeuGrünMischung-(a)'!O16</f>
        <v>8.3333333333333339</v>
      </c>
      <c r="Q37" s="2422">
        <f>'16)GSHeuGrünMischung-(a)'!P16</f>
        <v>19.791666666666668</v>
      </c>
      <c r="R37" s="2401">
        <f>'16)GSHeuGrünMischung-(a)'!Q16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'16)GSHeuGrünMischung-(a)'!M78</f>
        <v>4.8591666666666669</v>
      </c>
      <c r="O38" s="1997">
        <f>'16)GSHeuGrünMischung-(a)'!N78</f>
        <v>3.0156583333333336</v>
      </c>
      <c r="P38" s="1997">
        <f>'16)GSHeuGrünMischung-(a)'!O78</f>
        <v>4.8591666666666669</v>
      </c>
      <c r="Q38" s="1997">
        <f>'16)GSHeuGrünMischung-(a)'!P78</f>
        <v>9.3018333333333345</v>
      </c>
      <c r="R38" s="1998">
        <f>'16)GSHeuGrünMischung-(a)'!Q78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459.58022859394555</v>
      </c>
      <c r="N39" s="285">
        <f t="shared" si="14"/>
        <v>95.591277641277642</v>
      </c>
      <c r="O39" s="285">
        <f t="shared" si="14"/>
        <v>139.47094849566548</v>
      </c>
      <c r="P39" s="285">
        <f t="shared" si="14"/>
        <v>88.167272727272731</v>
      </c>
      <c r="Q39" s="285">
        <f t="shared" si="14"/>
        <v>40.905729729729728</v>
      </c>
      <c r="R39" s="1574">
        <f t="shared" si="14"/>
        <v>95.445000000000007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328.97734059343441</v>
      </c>
      <c r="N40" s="285">
        <f>N37*N38</f>
        <v>61.549444444444447</v>
      </c>
      <c r="O40" s="285">
        <f>O37*O38</f>
        <v>42.836055871212118</v>
      </c>
      <c r="P40" s="285">
        <f>P37*P38</f>
        <v>40.493055555555557</v>
      </c>
      <c r="Q40" s="285">
        <f>Q37*Q38</f>
        <v>184.09878472222226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</f>
        <v>481.11670210437717</v>
      </c>
      <c r="N41" s="285">
        <f>N$6/$M$6*$M$41</f>
        <v>134.71267658922562</v>
      </c>
      <c r="O41" s="285">
        <f>O$6/$M$6*$M$41</f>
        <v>120.27917552609429</v>
      </c>
      <c r="P41" s="285">
        <f>P$6/$M$6*$M$41</f>
        <v>96.223340420875445</v>
      </c>
      <c r="Q41" s="285">
        <f>Q$6/$M$6*$M$41</f>
        <v>72.16750531565657</v>
      </c>
      <c r="R41" s="1574">
        <f>R$6/$M$6*$M$41</f>
        <v>57.73400425252526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19.325600000000001</v>
      </c>
      <c r="O42" s="285">
        <f>O$6/$M$6*$M$42</f>
        <v>17.254999999999999</v>
      </c>
      <c r="P42" s="285">
        <f>P$6/$M$6*$M$42</f>
        <v>13.804</v>
      </c>
      <c r="Q42" s="285">
        <f>Q$6/$M$6*$M$42</f>
        <v>10.353</v>
      </c>
      <c r="R42" s="1574">
        <f>R$6/$M$6*$M$42</f>
        <v>8.2823999999999991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36.064000000000007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19.32</v>
      </c>
      <c r="R44" s="1981">
        <f>R$6/$M$6*$M$44</f>
        <v>15.456000000000001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1467.4942712917571</v>
      </c>
      <c r="N45" s="1991">
        <f t="shared" si="15"/>
        <v>347.24299867494773</v>
      </c>
      <c r="O45" s="1991">
        <f t="shared" si="15"/>
        <v>352.04117989297191</v>
      </c>
      <c r="P45" s="1991">
        <f t="shared" si="15"/>
        <v>264.44766870370375</v>
      </c>
      <c r="Q45" s="1991">
        <f t="shared" si="15"/>
        <v>326.84501976760856</v>
      </c>
      <c r="R45" s="1994">
        <f t="shared" si="15"/>
        <v>176.91740425252524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3038.6911156352066</v>
      </c>
      <c r="N48" s="2127">
        <f t="shared" si="17"/>
        <v>690.34073915449801</v>
      </c>
      <c r="O48" s="2041">
        <f t="shared" si="17"/>
        <v>691.28875263391956</v>
      </c>
      <c r="P48" s="2041">
        <f t="shared" si="17"/>
        <v>532.2993448776499</v>
      </c>
      <c r="Q48" s="2041">
        <f t="shared" si="17"/>
        <v>782.57959695576108</v>
      </c>
      <c r="R48" s="2080">
        <f t="shared" si="17"/>
        <v>342.18268201337776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-3038.6911156352066</v>
      </c>
      <c r="N49" s="2125">
        <f t="shared" si="18"/>
        <v>-690.34073915449801</v>
      </c>
      <c r="O49" s="1772">
        <f t="shared" si="18"/>
        <v>-691.28875263391956</v>
      </c>
      <c r="P49" s="1772">
        <f t="shared" si="18"/>
        <v>-532.2993448776499</v>
      </c>
      <c r="Q49" s="1772">
        <f t="shared" si="18"/>
        <v>-782.57959695576108</v>
      </c>
      <c r="R49" s="1773">
        <f t="shared" si="18"/>
        <v>-342.18268201337776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-0.58532687648409254</v>
      </c>
      <c r="N50" s="2511">
        <f t="shared" si="19"/>
        <v>-0.45747680886145692</v>
      </c>
      <c r="O50" s="2168">
        <f t="shared" si="19"/>
        <v>-0.58801807773220161</v>
      </c>
      <c r="P50" s="2168">
        <f t="shared" si="19"/>
        <v>-0.50207446225018848</v>
      </c>
      <c r="Q50" s="2168">
        <f t="shared" si="19"/>
        <v>-0.91529777421726444</v>
      </c>
      <c r="R50" s="2187">
        <f t="shared" si="19"/>
        <v>-0.57840209941409371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75.599999999999994</v>
      </c>
      <c r="O51" s="2185">
        <f t="shared" si="20"/>
        <v>67.5</v>
      </c>
      <c r="P51" s="2185">
        <f t="shared" si="20"/>
        <v>54</v>
      </c>
      <c r="Q51" s="2185">
        <f t="shared" si="20"/>
        <v>40.5</v>
      </c>
      <c r="R51" s="2186">
        <f t="shared" si="20"/>
        <v>32.4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-2768.6911156352066</v>
      </c>
      <c r="N52" s="2178">
        <f t="shared" si="21"/>
        <v>-614.74073915449799</v>
      </c>
      <c r="O52" s="2081">
        <f t="shared" si="21"/>
        <v>-623.78875263391956</v>
      </c>
      <c r="P52" s="2081">
        <f t="shared" si="21"/>
        <v>-478.2993448776499</v>
      </c>
      <c r="Q52" s="2081">
        <f t="shared" si="21"/>
        <v>-742.07959695576108</v>
      </c>
      <c r="R52" s="2082">
        <f t="shared" si="21"/>
        <v>-309.78268201337778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-0.53331821530838475</v>
      </c>
      <c r="N53" s="2511">
        <f t="shared" si="22"/>
        <v>-0.40737800288299941</v>
      </c>
      <c r="O53" s="2168">
        <f t="shared" si="22"/>
        <v>-0.53060180978961791</v>
      </c>
      <c r="P53" s="2168">
        <f t="shared" si="22"/>
        <v>-0.45114067617209008</v>
      </c>
      <c r="Q53" s="2168">
        <f t="shared" si="22"/>
        <v>-0.86792935316463282</v>
      </c>
      <c r="R53" s="2187">
        <f t="shared" si="22"/>
        <v>-0.52363536513417486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2768.6911156352066</v>
      </c>
      <c r="N55" s="2038">
        <f t="shared" si="23"/>
        <v>614.74073915449799</v>
      </c>
      <c r="O55" s="2038">
        <f t="shared" si="23"/>
        <v>623.78875263391956</v>
      </c>
      <c r="P55" s="2038">
        <f t="shared" si="23"/>
        <v>478.2993448776499</v>
      </c>
      <c r="Q55" s="2038">
        <f t="shared" si="23"/>
        <v>742.07959695576108</v>
      </c>
      <c r="R55" s="2039">
        <f t="shared" si="23"/>
        <v>309.78268201337778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12.915611433809994</v>
      </c>
      <c r="N56" s="2103">
        <f t="shared" si="25"/>
        <v>9.1945215250692947</v>
      </c>
      <c r="O56" s="2103">
        <f t="shared" si="25"/>
        <v>26.264789584586087</v>
      </c>
      <c r="P56" s="2103">
        <f t="shared" si="25"/>
        <v>10.827376228130161</v>
      </c>
      <c r="Q56" s="2103">
        <f t="shared" si="25"/>
        <v>46.868185070890178</v>
      </c>
      <c r="R56" s="2104">
        <f t="shared" si="25"/>
        <v>4.859336188445142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31.37931517272683</v>
      </c>
      <c r="N57" s="3427">
        <f>IF($N$7=0,0,N$55/$N$9)</f>
        <v>24.850058175862959</v>
      </c>
      <c r="O57" s="3427">
        <f>IF($O$7=0,0,O$55/$O$9)</f>
        <v>29.183099538428984</v>
      </c>
      <c r="P57" s="3427">
        <f>IF($P$7=0,0,P$55/$P$9)</f>
        <v>27.068440570325404</v>
      </c>
      <c r="Q57" s="3427">
        <f>IF($Q$7=0,0,Q$55/$Q$9)</f>
        <v>52.075761189877973</v>
      </c>
      <c r="R57" s="3428">
        <f>IF($R$7=0,0,R$55/$R$9)</f>
        <v>30.370851177782136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78.614219938247203</v>
      </c>
      <c r="N58" s="2134">
        <f t="shared" si="26"/>
        <v>55.167129150415775</v>
      </c>
      <c r="O58" s="2134">
        <f t="shared" si="26"/>
        <v>47.276621252254955</v>
      </c>
      <c r="P58" s="2134">
        <f t="shared" si="26"/>
        <v>64.964257368780963</v>
      </c>
      <c r="Q58" s="2134">
        <f t="shared" si="26"/>
        <v>210.90683281900581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0.53331821530838475</v>
      </c>
      <c r="N59" s="2136">
        <f t="shared" si="26"/>
        <v>0.40737800288299941</v>
      </c>
      <c r="O59" s="2136">
        <f t="shared" si="26"/>
        <v>0.53060180978961791</v>
      </c>
      <c r="P59" s="2136">
        <f t="shared" si="26"/>
        <v>0.45114067617209008</v>
      </c>
      <c r="Q59" s="2136">
        <f t="shared" si="26"/>
        <v>0.86792935316463282</v>
      </c>
      <c r="R59" s="2137">
        <f t="shared" si="26"/>
        <v>0.52363536513417486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0.14814394869677355</v>
      </c>
      <c r="N60" s="2136">
        <f t="shared" si="27"/>
        <v>0.11316055635638873</v>
      </c>
      <c r="O60" s="2136">
        <f t="shared" si="27"/>
        <v>0.1473893916082272</v>
      </c>
      <c r="P60" s="2136">
        <f t="shared" si="27"/>
        <v>0.12531685449224725</v>
      </c>
      <c r="Q60" s="2136">
        <f t="shared" si="27"/>
        <v>0.24109148699017577</v>
      </c>
      <c r="R60" s="2137">
        <f t="shared" si="27"/>
        <v>0.14545426809282636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0.53331821530838475</v>
      </c>
      <c r="N61" s="2136">
        <f t="shared" si="28"/>
        <v>0.40737800288299941</v>
      </c>
      <c r="O61" s="2136">
        <f t="shared" si="28"/>
        <v>0.53060180978961791</v>
      </c>
      <c r="P61" s="2136">
        <f t="shared" si="28"/>
        <v>0.45114067617209008</v>
      </c>
      <c r="Q61" s="2136">
        <f t="shared" si="28"/>
        <v>0.86792935316463282</v>
      </c>
      <c r="R61" s="2137">
        <f t="shared" si="28"/>
        <v>0.52363536513417486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0.3199909291850308</v>
      </c>
      <c r="N62" s="2513">
        <f t="shared" si="29"/>
        <v>0.24442680172979961</v>
      </c>
      <c r="O62" s="2513">
        <f t="shared" si="29"/>
        <v>0.31836108587377071</v>
      </c>
      <c r="P62" s="2513">
        <f t="shared" si="29"/>
        <v>0.27068440570325403</v>
      </c>
      <c r="Q62" s="2513">
        <f t="shared" si="29"/>
        <v>0.52075761189877967</v>
      </c>
      <c r="R62" s="2514">
        <f t="shared" si="29"/>
        <v>0.31418121908050495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2439.7137750417724</v>
      </c>
      <c r="N63" s="1769">
        <f t="shared" si="30"/>
        <v>553.19129471005351</v>
      </c>
      <c r="O63" s="1769">
        <f t="shared" si="30"/>
        <v>580.95269676270743</v>
      </c>
      <c r="P63" s="1769">
        <f t="shared" si="30"/>
        <v>437.80628932209436</v>
      </c>
      <c r="Q63" s="1769">
        <f t="shared" si="30"/>
        <v>557.98081223353881</v>
      </c>
      <c r="R63" s="1776">
        <f t="shared" si="30"/>
        <v>309.78268201337778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27.650808371491078</v>
      </c>
      <c r="N64" s="3427">
        <f>IF($N$7=0,0,N$63/$N$9)</f>
        <v>22.36200560716523</v>
      </c>
      <c r="O64" s="3427">
        <f>IF($O$7=0,0,O$63/$O$9)</f>
        <v>27.179073532758242</v>
      </c>
      <c r="P64" s="3427">
        <f>IF($P$7=0,0,P$63/$P$9)</f>
        <v>24.7768132044196</v>
      </c>
      <c r="Q64" s="3427">
        <f>IF($Q$7=0,0,Q$63/$Q$9)</f>
        <v>39.156548226915007</v>
      </c>
      <c r="R64" s="3428">
        <f>IF($R$7=0,0,R$63/$R$9)</f>
        <v>30.370851177782136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0.46994906330316499</v>
      </c>
      <c r="N65" s="2169">
        <f t="shared" si="31"/>
        <v>0.36659025585516775</v>
      </c>
      <c r="O65" s="2169">
        <f t="shared" si="31"/>
        <v>0.49416497332287712</v>
      </c>
      <c r="P65" s="2169">
        <f t="shared" si="31"/>
        <v>0.41294688674032665</v>
      </c>
      <c r="Q65" s="2169">
        <f t="shared" si="31"/>
        <v>0.65260913711525004</v>
      </c>
      <c r="R65" s="2172">
        <f t="shared" si="31"/>
        <v>0.52363536513417486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0.28196943798189894</v>
      </c>
      <c r="N66" s="2171">
        <f t="shared" si="31"/>
        <v>0.21995415351310063</v>
      </c>
      <c r="O66" s="2171">
        <f t="shared" si="31"/>
        <v>0.29649898399372626</v>
      </c>
      <c r="P66" s="2171">
        <f t="shared" si="31"/>
        <v>0.24776813204419598</v>
      </c>
      <c r="Q66" s="2171">
        <f t="shared" si="31"/>
        <v>0.39156548226915006</v>
      </c>
      <c r="R66" s="2173">
        <f t="shared" si="31"/>
        <v>0.31418121908050495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57"/>
      <c r="E67" s="2518"/>
      <c r="F67" s="2158"/>
      <c r="G67" s="2158"/>
      <c r="H67" s="2158"/>
      <c r="I67" s="2159"/>
      <c r="J67" s="2159"/>
      <c r="K67" s="2159"/>
      <c r="L67" s="2160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857.79513061082901</v>
      </c>
      <c r="N68" s="1772">
        <f t="shared" si="32"/>
        <v>242.44668218633262</v>
      </c>
      <c r="O68" s="1772">
        <f t="shared" si="32"/>
        <v>206.26216378099969</v>
      </c>
      <c r="P68" s="1772">
        <f t="shared" si="32"/>
        <v>173.31770380729162</v>
      </c>
      <c r="Q68" s="1772">
        <f t="shared" si="32"/>
        <v>125.32367114775252</v>
      </c>
      <c r="R68" s="1773">
        <f t="shared" si="32"/>
        <v>110.4449096884525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0.16523250483744675</v>
      </c>
      <c r="N69" s="2031">
        <f t="shared" si="33"/>
        <v>0.16066520226155859</v>
      </c>
      <c r="O69" s="2031">
        <f t="shared" si="33"/>
        <v>0.17544894314173284</v>
      </c>
      <c r="P69" s="2031">
        <f t="shared" si="33"/>
        <v>0.16347642313458935</v>
      </c>
      <c r="Q69" s="2031">
        <f t="shared" si="33"/>
        <v>0.14657739315526611</v>
      </c>
      <c r="R69" s="2032">
        <f t="shared" si="33"/>
        <v>0.18668848831719492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1654.0986444309431</v>
      </c>
      <c r="N70" s="1769">
        <f t="shared" si="34"/>
        <v>330.95501252372094</v>
      </c>
      <c r="O70" s="1769">
        <f t="shared" si="34"/>
        <v>392.73553298170776</v>
      </c>
      <c r="P70" s="1769">
        <f t="shared" si="34"/>
        <v>278.92458551480269</v>
      </c>
      <c r="Q70" s="1769">
        <f t="shared" si="34"/>
        <v>443.48414108578629</v>
      </c>
      <c r="R70" s="1776">
        <f t="shared" si="34"/>
        <v>207.99937232492528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0.31862020722002404</v>
      </c>
      <c r="N71" s="2168">
        <f t="shared" si="35"/>
        <v>0.21931813439185016</v>
      </c>
      <c r="O71" s="2168">
        <f t="shared" si="35"/>
        <v>0.33406531247779503</v>
      </c>
      <c r="P71" s="2168">
        <f t="shared" si="35"/>
        <v>0.26308676241728229</v>
      </c>
      <c r="Q71" s="2168">
        <f t="shared" si="35"/>
        <v>0.51869490185472078</v>
      </c>
      <c r="R71" s="2187">
        <f t="shared" si="35"/>
        <v>0.35158785044781155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  <mergeCell ref="B1:H1"/>
    <mergeCell ref="L1:N1"/>
    <mergeCell ref="O1:R1"/>
    <mergeCell ref="I3:M3"/>
    <mergeCell ref="B6:B13"/>
    <mergeCell ref="B3:B5"/>
  </mergeCells>
  <phoneticPr fontId="0" type="noConversion"/>
  <printOptions horizontalCentered="1"/>
  <pageMargins left="0.51181102362204722" right="0.27559055118110237" top="0.55118110236220474" bottom="0.51181102362204722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49&amp;9
&amp;R&amp;12&amp;F
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5">
    <tabColor theme="6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59" customWidth="1"/>
    <col min="26" max="26" width="11.140625" style="530" customWidth="1"/>
    <col min="27" max="30" width="8.85546875" style="530" customWidth="1"/>
    <col min="31" max="33" width="11" style="3659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1618</v>
      </c>
      <c r="L2" s="4312"/>
      <c r="M2" s="4312"/>
      <c r="N2" s="4312"/>
      <c r="O2" s="4312"/>
      <c r="P2" s="4312"/>
      <c r="Q2" s="4313"/>
      <c r="R2" s="538"/>
      <c r="S2" s="3659"/>
      <c r="T2" s="3659"/>
      <c r="U2" s="523"/>
      <c r="V2" s="523"/>
      <c r="W2" s="523"/>
      <c r="X2" s="523"/>
      <c r="Y2" s="3659"/>
      <c r="Z2" s="523"/>
      <c r="AA2" s="523"/>
      <c r="AB2" s="523"/>
      <c r="AC2" s="523"/>
      <c r="AD2" s="523"/>
      <c r="AE2" s="3659"/>
      <c r="AF2" s="3659"/>
      <c r="AG2" s="3659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1886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59"/>
      <c r="U3" s="3659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59"/>
      <c r="AF3" s="3659"/>
      <c r="AG3" s="3659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59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59"/>
      <c r="AF4" s="3659"/>
      <c r="AG4" s="3659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Grün</v>
      </c>
      <c r="N5" s="246" t="str">
        <f>VLOOKUP(W5,$S$4:$T$9,2)</f>
        <v>Grün</v>
      </c>
      <c r="O5" s="246" t="str">
        <f>VLOOKUP($X$5,$S$4:$T$9,2)</f>
        <v>Grün</v>
      </c>
      <c r="P5" s="246" t="str">
        <f>VLOOKUP($Y$5,$S$4:$T$9,2)</f>
        <v>Grün</v>
      </c>
      <c r="Q5" s="255" t="str">
        <f>VLOOKUP($Z$5,$S$4:$T$9,2)</f>
        <v>Grün</v>
      </c>
      <c r="R5" s="565"/>
      <c r="S5" s="599">
        <v>2</v>
      </c>
      <c r="T5" s="602" t="s">
        <v>1120</v>
      </c>
      <c r="U5" s="3659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A5" s="525"/>
      <c r="AB5" s="525"/>
      <c r="AC5" s="525"/>
      <c r="AD5" s="525"/>
      <c r="AE5" s="3659"/>
      <c r="AF5" s="3659"/>
      <c r="AG5" s="3659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110</v>
      </c>
      <c r="L6" s="1676"/>
      <c r="M6" s="520">
        <f>$K$6*M7/100</f>
        <v>33</v>
      </c>
      <c r="N6" s="521">
        <f>$K$6*N7/100</f>
        <v>27.5</v>
      </c>
      <c r="O6" s="521">
        <f>$K$6*O7/100</f>
        <v>27.5</v>
      </c>
      <c r="P6" s="521">
        <f>$K$6*P7/100</f>
        <v>22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59"/>
      <c r="Z6" s="525"/>
      <c r="AA6" s="525"/>
      <c r="AB6" s="525"/>
      <c r="AC6" s="525"/>
      <c r="AD6" s="525"/>
      <c r="AE6" s="3659"/>
      <c r="AF6" s="3659"/>
      <c r="AG6" s="3659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25</v>
      </c>
      <c r="O7" s="466">
        <v>25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59"/>
      <c r="Z7" s="525"/>
      <c r="AA7" s="525"/>
      <c r="AB7" s="525"/>
      <c r="AC7" s="525"/>
      <c r="AD7" s="525"/>
      <c r="AE7" s="3659"/>
      <c r="AF7" s="3659"/>
      <c r="AG7" s="3659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59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/>
      <c r="N9" s="489"/>
      <c r="O9" s="489"/>
      <c r="P9" s="489"/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59"/>
      <c r="Z9" s="540"/>
      <c r="AA9" s="540"/>
      <c r="AB9" s="540"/>
      <c r="AC9" s="540"/>
      <c r="AD9" s="540"/>
      <c r="AE9" s="3659"/>
      <c r="AF9" s="3659"/>
      <c r="AG9" s="365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59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16</v>
      </c>
      <c r="L10" s="1679"/>
      <c r="M10" s="443">
        <v>16</v>
      </c>
      <c r="N10" s="444">
        <v>16</v>
      </c>
      <c r="O10" s="444">
        <v>16</v>
      </c>
      <c r="P10" s="444">
        <v>16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59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16</v>
      </c>
      <c r="L11" s="1682"/>
      <c r="M11" s="488">
        <v>16</v>
      </c>
      <c r="N11" s="489">
        <v>16</v>
      </c>
      <c r="O11" s="489">
        <v>16</v>
      </c>
      <c r="P11" s="489">
        <v>16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59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3.2</v>
      </c>
      <c r="L12" s="1679"/>
      <c r="M12" s="644">
        <v>3.2</v>
      </c>
      <c r="N12" s="645">
        <v>3.2</v>
      </c>
      <c r="O12" s="645">
        <v>3.2</v>
      </c>
      <c r="P12" s="645">
        <v>3.2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59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0.51200000000000001</v>
      </c>
      <c r="L13" s="1683"/>
      <c r="M13" s="641">
        <f>M12*M11/100</f>
        <v>0.51200000000000001</v>
      </c>
      <c r="N13" s="642">
        <f>N12*N11/100</f>
        <v>0.51200000000000001</v>
      </c>
      <c r="O13" s="642">
        <f>O12*O11/100</f>
        <v>0.51200000000000001</v>
      </c>
      <c r="P13" s="642">
        <f>P12*P11/100</f>
        <v>0.51200000000000001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59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104.5</v>
      </c>
      <c r="L14" s="1684"/>
      <c r="M14" s="251">
        <f>M6*(100-M8)/100</f>
        <v>31.35</v>
      </c>
      <c r="N14" s="252">
        <f>N6*(100-N8)/100</f>
        <v>26.125</v>
      </c>
      <c r="O14" s="252">
        <f>O6*(100-O8)/100</f>
        <v>26.125</v>
      </c>
      <c r="P14" s="252">
        <f>P6*(100-P8)/100</f>
        <v>20.9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59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653.125</v>
      </c>
      <c r="L15" s="1684"/>
      <c r="M15" s="251">
        <f>IF(M10=0,0,M14/M10*100)</f>
        <v>195.9375</v>
      </c>
      <c r="N15" s="252">
        <f>IF(N10=0,0,N14/N10*100)</f>
        <v>163.28125</v>
      </c>
      <c r="O15" s="252">
        <f>IF(O10=0,0,O14/O10*100)</f>
        <v>163.28125</v>
      </c>
      <c r="P15" s="252">
        <f>IF(P10=0,0,P14/P10*100)</f>
        <v>130.625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5" t="s">
        <v>1201</v>
      </c>
      <c r="L16" s="4311"/>
      <c r="M16" s="3670"/>
      <c r="N16" s="2420"/>
      <c r="O16" s="2420"/>
      <c r="P16" s="2420"/>
      <c r="Q16" s="2421"/>
      <c r="R16" s="539"/>
      <c r="S16" s="608"/>
      <c r="T16" s="608"/>
      <c r="U16" s="608"/>
      <c r="V16" s="608"/>
      <c r="W16" s="608"/>
      <c r="X16" s="608"/>
      <c r="Y16" s="3659"/>
      <c r="Z16" s="608"/>
      <c r="AA16" s="2731" t="s">
        <v>564</v>
      </c>
      <c r="AB16" s="608"/>
      <c r="AC16" s="3042">
        <v>0</v>
      </c>
      <c r="AD16" s="608"/>
      <c r="AE16" s="3659"/>
      <c r="AF16" s="3659"/>
      <c r="AG16" s="3659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104.5</v>
      </c>
      <c r="L17" s="1686"/>
      <c r="M17" s="251">
        <f>M14*(100-M9)/100</f>
        <v>31.35</v>
      </c>
      <c r="N17" s="254">
        <f>N14*(100-N9)/100</f>
        <v>26.125</v>
      </c>
      <c r="O17" s="254">
        <f>O14*(100-O9)/100</f>
        <v>26.125</v>
      </c>
      <c r="P17" s="254">
        <f>P14*(100-P9)/100</f>
        <v>20.9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59"/>
      <c r="Z17" s="525"/>
      <c r="AA17" s="3045" t="s">
        <v>361</v>
      </c>
      <c r="AB17" s="525"/>
      <c r="AC17" s="3044">
        <v>0</v>
      </c>
      <c r="AD17" s="525"/>
      <c r="AE17" s="3659"/>
      <c r="AF17" s="3659"/>
      <c r="AG17" s="3659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653.125</v>
      </c>
      <c r="L18" s="1686"/>
      <c r="M18" s="251">
        <f>IF(M11=0,0,M17/M11*100)</f>
        <v>195.9375</v>
      </c>
      <c r="N18" s="254">
        <f>IF(N11=0,0,N17/N11*100)</f>
        <v>163.28125</v>
      </c>
      <c r="O18" s="254">
        <f>IF(O11=0,0,O17/O11*100)</f>
        <v>163.28125</v>
      </c>
      <c r="P18" s="254">
        <f>IF(P11=0,0,P17/P11*100)</f>
        <v>130.625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59"/>
      <c r="Z18" s="525"/>
      <c r="AA18" s="525"/>
      <c r="AB18" s="525"/>
      <c r="AC18" s="525"/>
      <c r="AD18" s="525"/>
      <c r="AE18" s="3659"/>
      <c r="AF18" s="3659"/>
      <c r="AG18" s="3659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3671" t="s">
        <v>1203</v>
      </c>
      <c r="K19" s="1687">
        <f t="shared" si="0"/>
        <v>204.1015625</v>
      </c>
      <c r="L19" s="1688"/>
      <c r="M19" s="504">
        <f>IF(M12=0,0,1/M12*M18)</f>
        <v>61.23046875</v>
      </c>
      <c r="N19" s="505">
        <f>IF(N12=0,0,1/N12*N18)</f>
        <v>51.025390625</v>
      </c>
      <c r="O19" s="505">
        <f>IF(O12=0,0,1/O12*O18)</f>
        <v>51.025390625</v>
      </c>
      <c r="P19" s="505">
        <f>IF(P12=0,0,1/P12*P18)</f>
        <v>40.8203125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59"/>
      <c r="Z19" s="525"/>
      <c r="AA19" s="525"/>
      <c r="AB19" s="525"/>
      <c r="AC19" s="525"/>
      <c r="AD19" s="525"/>
      <c r="AE19" s="3659"/>
      <c r="AF19" s="3659"/>
      <c r="AG19" s="365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59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6.2000000000000011</v>
      </c>
      <c r="L20" s="1689"/>
      <c r="M20" s="312">
        <v>6.2</v>
      </c>
      <c r="N20" s="313">
        <v>6.2</v>
      </c>
      <c r="O20" s="313">
        <v>6.2</v>
      </c>
      <c r="P20" s="313">
        <v>6.2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59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10.333333333333334</v>
      </c>
      <c r="L21" s="1689"/>
      <c r="M21" s="515">
        <f>IF($G21=0,0,M20/$G21)</f>
        <v>10.333333333333334</v>
      </c>
      <c r="N21" s="516">
        <f>IF($G21=0,0,N20/$G21)</f>
        <v>10.333333333333334</v>
      </c>
      <c r="O21" s="516">
        <f>IF($G21=0,0,O20/$G21)</f>
        <v>10.333333333333334</v>
      </c>
      <c r="P21" s="516">
        <f>IF($G21=0,0,P20/$G21)</f>
        <v>10.333333333333334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59"/>
      <c r="Z21" s="525"/>
      <c r="AA21" s="525"/>
      <c r="AB21" s="525"/>
      <c r="AC21" s="525"/>
      <c r="AD21" s="525"/>
      <c r="AE21" s="3659"/>
      <c r="AF21" s="3659"/>
      <c r="AG21" s="3659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6479</v>
      </c>
      <c r="L22" s="1690"/>
      <c r="M22" s="446">
        <f t="shared" ref="M22:Q23" si="1">M$17*M20*10</f>
        <v>1943.7</v>
      </c>
      <c r="N22" s="448">
        <f t="shared" si="1"/>
        <v>1619.75</v>
      </c>
      <c r="O22" s="448">
        <f t="shared" si="1"/>
        <v>1619.75</v>
      </c>
      <c r="P22" s="448">
        <f t="shared" si="1"/>
        <v>1295.7999999999997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 s="3659"/>
      <c r="Z22" s="525"/>
      <c r="AA22" s="525"/>
      <c r="AB22" s="525"/>
      <c r="AC22" s="525"/>
      <c r="AD22" s="525"/>
      <c r="AE22" s="3659"/>
      <c r="AF22" s="3659"/>
      <c r="AG22" s="3659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10798.333333333334</v>
      </c>
      <c r="L23" s="1691"/>
      <c r="M23" s="447">
        <f t="shared" si="1"/>
        <v>3239.5000000000005</v>
      </c>
      <c r="N23" s="449">
        <f t="shared" si="1"/>
        <v>2699.5833333333339</v>
      </c>
      <c r="O23" s="449">
        <f t="shared" si="1"/>
        <v>2699.5833333333339</v>
      </c>
      <c r="P23" s="449">
        <f t="shared" si="1"/>
        <v>2159.6666666666665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 s="3659"/>
      <c r="Z23" s="525"/>
      <c r="AA23" s="525"/>
      <c r="AB23" s="525"/>
      <c r="AC23" s="525"/>
      <c r="AD23" s="525"/>
      <c r="AE23" s="3659"/>
      <c r="AF23" s="3659"/>
      <c r="AG23" s="3659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59"/>
      <c r="Z24" s="525"/>
      <c r="AA24" s="525"/>
      <c r="AB24" s="525"/>
      <c r="AC24" s="525"/>
      <c r="AD24" s="525"/>
      <c r="AE24" s="3659"/>
      <c r="AF24" s="3659"/>
      <c r="AG24" s="3659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59"/>
      <c r="Z25" s="527"/>
      <c r="AA25" s="527"/>
      <c r="AB25" s="527"/>
      <c r="AC25" s="527"/>
      <c r="AD25" s="527"/>
      <c r="AE25" s="3659"/>
      <c r="AF25" s="3659"/>
      <c r="AG25" s="3659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59"/>
      <c r="I26" s="3659"/>
      <c r="J26" s="3659"/>
      <c r="K26" s="1694"/>
      <c r="L26" s="1631">
        <f>IF($B26=0,0,VLOOKUP($B26,Ausglleist!$C$8:$O$32,13, 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 s="3659"/>
      <c r="Z26" s="528"/>
      <c r="AA26" s="528"/>
      <c r="AB26" s="528"/>
      <c r="AC26" s="528"/>
      <c r="AD26" s="528"/>
      <c r="AE26" s="3659"/>
      <c r="AF26" s="3659"/>
      <c r="AG26" s="3659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59"/>
      <c r="I27" s="3659"/>
      <c r="J27" s="3659"/>
      <c r="K27" s="1694"/>
      <c r="L27" s="1631">
        <f>IF($B27=0,0,VLOOKUP($B27,Ausglleist!$C$8:$O$32,13, 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 s="3659"/>
      <c r="Z27" s="528"/>
      <c r="AA27" s="528"/>
      <c r="AB27" s="528"/>
      <c r="AC27" s="528"/>
      <c r="AD27" s="528"/>
      <c r="AE27" s="3659"/>
      <c r="AF27" s="3659"/>
      <c r="AG27" s="3659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59"/>
      <c r="I28" s="3659"/>
      <c r="J28" s="3659"/>
      <c r="K28" s="1694"/>
      <c r="L28" s="1631">
        <f>IF($B28=0,0,VLOOKUP($B28,Ausglleist!$C$8:$O$32,13, 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 s="3659"/>
      <c r="Z28" s="528"/>
      <c r="AA28" s="528"/>
      <c r="AB28" s="528"/>
      <c r="AC28" s="528"/>
      <c r="AD28" s="528"/>
      <c r="AE28" s="3659"/>
      <c r="AF28" s="3659"/>
      <c r="AG28" s="3659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IF($B29=0,0,VLOOKUP($B29,Ausglleist!$C$8:$O$32,13, 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 s="3659"/>
      <c r="Z29" s="528"/>
      <c r="AA29" s="528"/>
      <c r="AB29" s="528"/>
      <c r="AC29" s="528"/>
      <c r="AD29" s="528"/>
      <c r="AE29" s="3659"/>
      <c r="AF29" s="3659"/>
      <c r="AG29" s="365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67.5</v>
      </c>
      <c r="O30" s="254">
        <f>$L30*O7/100</f>
        <v>67.5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59"/>
      <c r="Z30" s="528"/>
      <c r="AA30" s="528"/>
      <c r="AB30" s="528"/>
      <c r="AC30" s="528"/>
      <c r="AD30" s="528"/>
      <c r="AE30" s="3659"/>
      <c r="AF30" s="3659"/>
      <c r="AG30" s="3659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59"/>
      <c r="Z31" s="528"/>
      <c r="AA31" s="528"/>
      <c r="AB31" s="528"/>
      <c r="AC31" s="528"/>
      <c r="AD31" s="528"/>
      <c r="AE31" s="3659"/>
      <c r="AF31" s="3659"/>
      <c r="AG31" s="3659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61.79249999999999</v>
      </c>
      <c r="M32" s="460">
        <f>$L32*M$7/100</f>
        <v>18.537749999999996</v>
      </c>
      <c r="N32" s="461">
        <f>$L32*N$7/100</f>
        <v>15.448124999999997</v>
      </c>
      <c r="O32" s="461">
        <f>$L32*O$7/100</f>
        <v>15.448124999999997</v>
      </c>
      <c r="P32" s="461">
        <f>$L32*P$7/100</f>
        <v>12.358499999999999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3.85</v>
      </c>
      <c r="G33" s="454" t="s">
        <v>802</v>
      </c>
      <c r="H33" s="690">
        <f>F33*(100+H32)/100</f>
        <v>4.1194999999999995</v>
      </c>
      <c r="I33" s="453" t="s">
        <v>249</v>
      </c>
      <c r="J33" s="455">
        <v>15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677.64530166666657</v>
      </c>
      <c r="M34" s="460">
        <f>$L34*M$7/100</f>
        <v>203.29359049999997</v>
      </c>
      <c r="N34" s="461">
        <f>$L34*N$7/100</f>
        <v>169.41132541666667</v>
      </c>
      <c r="O34" s="461">
        <f>$L34*O$7/100</f>
        <v>169.41132541666667</v>
      </c>
      <c r="P34" s="461">
        <f>$L34*P$7/100</f>
        <v>135.52906033333332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59"/>
      <c r="Z34" s="529"/>
      <c r="AA34" s="529"/>
      <c r="AB34" s="529"/>
      <c r="AC34" s="529"/>
      <c r="AD34" s="529"/>
      <c r="AE34" s="3659"/>
      <c r="AF34" s="3659"/>
      <c r="AG34" s="365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3672" t="s">
        <v>1620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3536" t="s">
        <v>1621</v>
      </c>
      <c r="U35" s="529"/>
      <c r="V35" s="529"/>
      <c r="W35" s="529"/>
      <c r="X35" s="529"/>
      <c r="Y35" s="3659"/>
      <c r="Z35" s="529"/>
      <c r="AA35" s="529"/>
      <c r="AB35" s="529"/>
      <c r="AC35" s="529"/>
      <c r="AD35" s="529"/>
      <c r="AE35" s="3659"/>
      <c r="AF35" s="3659"/>
      <c r="AG35" s="365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59"/>
      <c r="H36" s="116">
        <v>2.7</v>
      </c>
      <c r="I36" s="3673">
        <v>-1.35</v>
      </c>
      <c r="J36" s="159"/>
      <c r="K36" s="1703">
        <f>H36*$K$14+(I36*$K$6)</f>
        <v>133.65000000000003</v>
      </c>
      <c r="L36" s="1704">
        <f>K36*$F36</f>
        <v>229.55278500000006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59"/>
      <c r="Z36" s="528"/>
      <c r="AA36" s="528"/>
      <c r="AB36" s="528"/>
      <c r="AC36" s="528"/>
      <c r="AD36" s="528"/>
      <c r="AE36" s="3659"/>
      <c r="AF36" s="3659"/>
      <c r="AG36" s="3659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59"/>
      <c r="H37" s="116">
        <v>0.7</v>
      </c>
      <c r="I37" s="117"/>
      <c r="J37" s="159"/>
      <c r="K37" s="1703">
        <f t="shared" ref="K37:K39" si="2">H37*$K$14+(I37*$K$6)</f>
        <v>73.149999999999991</v>
      </c>
      <c r="L37" s="1704">
        <f>K37*$F37</f>
        <v>82.696074999999979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59"/>
      <c r="Z37" s="528"/>
      <c r="AA37" s="528"/>
      <c r="AB37" s="528"/>
      <c r="AC37" s="528"/>
      <c r="AD37" s="528"/>
      <c r="AE37" s="3659"/>
      <c r="AF37" s="3659"/>
      <c r="AG37" s="3659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59"/>
      <c r="H38" s="116">
        <v>3.1</v>
      </c>
      <c r="I38" s="117"/>
      <c r="J38" s="159"/>
      <c r="K38" s="1703">
        <f t="shared" si="2"/>
        <v>323.95</v>
      </c>
      <c r="L38" s="1704">
        <f>K38*$F38</f>
        <v>340.52544166666661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59"/>
      <c r="Z38" s="528"/>
      <c r="AA38" s="528"/>
      <c r="AB38" s="528"/>
      <c r="AC38" s="528"/>
      <c r="AD38" s="528"/>
      <c r="AE38" s="3659"/>
      <c r="AF38" s="3659"/>
      <c r="AG38" s="3659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</v>
      </c>
      <c r="I39" s="120"/>
      <c r="J39" s="161"/>
      <c r="K39" s="1705">
        <f t="shared" si="2"/>
        <v>41.800000000000004</v>
      </c>
      <c r="L39" s="1706">
        <f>K39*$F39</f>
        <v>24.871000000000002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59"/>
      <c r="Z39" s="528"/>
      <c r="AA39" s="528"/>
      <c r="AB39" s="528"/>
      <c r="AC39" s="528"/>
      <c r="AD39" s="528"/>
      <c r="AE39" s="3659"/>
      <c r="AF39" s="3659"/>
      <c r="AG39" s="365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59"/>
      <c r="Z40" s="529"/>
      <c r="AA40" s="529"/>
      <c r="AB40" s="529"/>
      <c r="AC40" s="529"/>
      <c r="AD40" s="529"/>
      <c r="AE40" s="3659"/>
      <c r="AF40" s="3659"/>
      <c r="AG40" s="3659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59"/>
      <c r="Z41" s="529"/>
      <c r="AA41" s="529"/>
      <c r="AB41" s="529"/>
      <c r="AC41" s="529"/>
      <c r="AD41" s="529"/>
      <c r="AE41" s="3659"/>
      <c r="AF41" s="3659"/>
      <c r="AG41" s="365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59"/>
      <c r="Z42" s="528"/>
      <c r="AA42" s="528"/>
      <c r="AB42" s="528"/>
      <c r="AC42" s="528"/>
      <c r="AD42" s="528"/>
      <c r="AE42" s="3659"/>
      <c r="AF42" s="3659"/>
      <c r="AG42" s="3659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59"/>
      <c r="J43" s="359" t="s">
        <v>266</v>
      </c>
      <c r="K43" s="1710"/>
      <c r="L43" s="1693">
        <f>SUM(M43:Q43)</f>
        <v>437.98130991072003</v>
      </c>
      <c r="M43" s="484">
        <f>SUM(Z46:Z56)</f>
        <v>126.98829046518001</v>
      </c>
      <c r="N43" s="484">
        <f>SUM(AA46:AA56)</f>
        <v>109.49532747768001</v>
      </c>
      <c r="O43" s="484">
        <f>SUM(AB46:AB56)</f>
        <v>109.49532747768001</v>
      </c>
      <c r="P43" s="484">
        <f>SUM(AC46:AC56)</f>
        <v>92.002364490180014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59"/>
      <c r="Z43" s="526" t="s">
        <v>874</v>
      </c>
      <c r="AA43" s="529"/>
      <c r="AB43" s="529"/>
      <c r="AC43" s="529"/>
      <c r="AD43" s="529"/>
      <c r="AE43" s="3659"/>
      <c r="AF43" s="3659"/>
      <c r="AG43" s="3659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59"/>
      <c r="Z44" s="543" t="s">
        <v>328</v>
      </c>
      <c r="AA44" s="544"/>
      <c r="AB44" s="544"/>
      <c r="AC44" s="544"/>
      <c r="AD44" s="545"/>
      <c r="AE44" s="3659"/>
      <c r="AF44" s="3659"/>
      <c r="AG44" s="3659"/>
      <c r="AH44" s="526"/>
      <c r="AI44" s="3659"/>
      <c r="AJ44" s="3659"/>
      <c r="AK44" s="3659"/>
      <c r="AL44" s="3659"/>
      <c r="AM44" s="3659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59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59"/>
      <c r="AF45" s="3659"/>
      <c r="AG45" s="3659"/>
      <c r="AH45" s="526"/>
      <c r="AI45" s="3659"/>
      <c r="AJ45" s="3659"/>
      <c r="AK45" s="3659"/>
      <c r="AL45" s="3659"/>
      <c r="AM45" s="3659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468" t="str">
        <f>IF($B46=0,0,VLOOKUP($B46,Arbeitsgänge!$B$27:$T$80,7))</f>
        <v>120 Kw</v>
      </c>
      <c r="H46" s="507">
        <f>IF($B46=0,0,VLOOKUP($B46,Arbeitsgänge!$B$27:$O$79,12))</f>
        <v>1.45</v>
      </c>
      <c r="I46" s="469">
        <f>IF($B46=0,0,VLOOKUP($B46,Arbeitsgänge!$B$27:$T$80,14))</f>
        <v>91.198364600000005</v>
      </c>
      <c r="J46" s="593">
        <f t="shared" ref="J46:J56" si="3">SUM(M46:Q46)</f>
        <v>0.52</v>
      </c>
      <c r="K46" s="1651">
        <f t="shared" ref="K46:K56" si="4">J46*H46</f>
        <v>0.754</v>
      </c>
      <c r="L46" s="1704">
        <f t="shared" ref="L46:L56" si="5">J46*I46</f>
        <v>47.423149592000001</v>
      </c>
      <c r="M46" s="317">
        <v>0.13</v>
      </c>
      <c r="N46" s="318">
        <v>0.13</v>
      </c>
      <c r="O46" s="318">
        <v>0.13</v>
      </c>
      <c r="P46" s="318">
        <v>0.13</v>
      </c>
      <c r="Q46" s="319"/>
      <c r="R46" s="542"/>
      <c r="S46" s="542"/>
      <c r="T46" s="478">
        <f t="shared" ref="T46:X55" si="6">IF(M46&lt;&gt;0,M46*$H46,0)</f>
        <v>0.1885</v>
      </c>
      <c r="U46" s="479">
        <f t="shared" si="6"/>
        <v>0.1885</v>
      </c>
      <c r="V46" s="479">
        <f t="shared" si="6"/>
        <v>0.1885</v>
      </c>
      <c r="W46" s="479">
        <f t="shared" si="6"/>
        <v>0.1885</v>
      </c>
      <c r="X46" s="480">
        <f t="shared" si="6"/>
        <v>0</v>
      </c>
      <c r="Y46" s="3659"/>
      <c r="Z46" s="478">
        <f t="shared" ref="Z46:AD55" si="7">IF(M46&lt;&gt;0,M46*$I46,0)</f>
        <v>11.855787398</v>
      </c>
      <c r="AA46" s="479">
        <f t="shared" si="7"/>
        <v>11.855787398</v>
      </c>
      <c r="AB46" s="479">
        <f t="shared" si="7"/>
        <v>11.855787398</v>
      </c>
      <c r="AC46" s="479">
        <f t="shared" si="7"/>
        <v>11.855787398</v>
      </c>
      <c r="AD46" s="480">
        <f t="shared" si="7"/>
        <v>0</v>
      </c>
      <c r="AE46" s="3659"/>
      <c r="AF46" s="3659"/>
      <c r="AG46" s="3659"/>
      <c r="AH46" s="526"/>
      <c r="AI46" s="3659"/>
      <c r="AJ46" s="3659"/>
      <c r="AK46" s="3659"/>
      <c r="AL46" s="3659"/>
      <c r="AM46" s="3659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7</v>
      </c>
      <c r="C47" s="104"/>
      <c r="D47" s="137"/>
      <c r="E47" s="8"/>
      <c r="F47" s="8"/>
      <c r="G47" s="468" t="str">
        <f>IF($B47=0,0,VLOOKUP($B47,Arbeitsgänge!$B$27:$T$80,7))</f>
        <v>67 Kw</v>
      </c>
      <c r="H47" s="507">
        <f>IF($B47=0,0,VLOOKUP($B47,Arbeitsgänge!$B$27:$O$79,12))</f>
        <v>1.06</v>
      </c>
      <c r="I47" s="469">
        <f>IF($B47=0,0,VLOOKUP($B47,Arbeitsgänge!$B$27:$T$80,14))</f>
        <v>44.858599975999994</v>
      </c>
      <c r="J47" s="593">
        <f t="shared" si="3"/>
        <v>0.52</v>
      </c>
      <c r="K47" s="1651">
        <f t="shared" si="4"/>
        <v>0.55120000000000002</v>
      </c>
      <c r="L47" s="1704">
        <f t="shared" si="5"/>
        <v>23.326471987519998</v>
      </c>
      <c r="M47" s="317">
        <v>0.13</v>
      </c>
      <c r="N47" s="318">
        <v>0.13</v>
      </c>
      <c r="O47" s="318">
        <v>0.13</v>
      </c>
      <c r="P47" s="318">
        <v>0.13</v>
      </c>
      <c r="Q47" s="319"/>
      <c r="R47" s="542"/>
      <c r="S47" s="542"/>
      <c r="T47" s="478">
        <f t="shared" si="6"/>
        <v>0.13780000000000001</v>
      </c>
      <c r="U47" s="479">
        <f t="shared" si="6"/>
        <v>0.13780000000000001</v>
      </c>
      <c r="V47" s="479">
        <f t="shared" si="6"/>
        <v>0.13780000000000001</v>
      </c>
      <c r="W47" s="479">
        <f t="shared" si="6"/>
        <v>0.13780000000000001</v>
      </c>
      <c r="X47" s="480">
        <f t="shared" si="6"/>
        <v>0</v>
      </c>
      <c r="Y47" s="3659"/>
      <c r="Z47" s="478">
        <f t="shared" si="7"/>
        <v>5.8316179968799995</v>
      </c>
      <c r="AA47" s="479">
        <f t="shared" si="7"/>
        <v>5.8316179968799995</v>
      </c>
      <c r="AB47" s="479">
        <f t="shared" si="7"/>
        <v>5.8316179968799995</v>
      </c>
      <c r="AC47" s="479">
        <f t="shared" si="7"/>
        <v>5.8316179968799995</v>
      </c>
      <c r="AD47" s="480">
        <f t="shared" si="7"/>
        <v>0</v>
      </c>
      <c r="AE47" s="3659"/>
      <c r="AF47" s="3659"/>
      <c r="AG47" s="3659"/>
      <c r="AH47" s="526"/>
      <c r="AI47" s="3659"/>
      <c r="AJ47" s="3659"/>
      <c r="AK47" s="3659"/>
      <c r="AL47" s="3659"/>
      <c r="AM47" s="3659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3"/>
        <v>1</v>
      </c>
      <c r="K48" s="1651">
        <f t="shared" si="4"/>
        <v>0.37</v>
      </c>
      <c r="L48" s="1704">
        <f t="shared" si="5"/>
        <v>5.4505114075999996</v>
      </c>
      <c r="M48" s="317">
        <v>0.25</v>
      </c>
      <c r="N48" s="318">
        <v>0.25</v>
      </c>
      <c r="O48" s="318">
        <v>0.25</v>
      </c>
      <c r="P48" s="318">
        <v>0.25</v>
      </c>
      <c r="Q48" s="319"/>
      <c r="R48" s="542"/>
      <c r="S48" s="542"/>
      <c r="T48" s="478">
        <f t="shared" si="6"/>
        <v>9.2499999999999999E-2</v>
      </c>
      <c r="U48" s="479">
        <f t="shared" si="6"/>
        <v>9.2499999999999999E-2</v>
      </c>
      <c r="V48" s="479">
        <f t="shared" si="6"/>
        <v>9.2499999999999999E-2</v>
      </c>
      <c r="W48" s="479">
        <f t="shared" si="6"/>
        <v>9.2499999999999999E-2</v>
      </c>
      <c r="X48" s="480">
        <f t="shared" si="6"/>
        <v>0</v>
      </c>
      <c r="Y48" s="3659"/>
      <c r="Z48" s="478">
        <f t="shared" si="7"/>
        <v>1.3626278518999999</v>
      </c>
      <c r="AA48" s="479">
        <f t="shared" si="7"/>
        <v>1.3626278518999999</v>
      </c>
      <c r="AB48" s="479">
        <f t="shared" si="7"/>
        <v>1.3626278518999999</v>
      </c>
      <c r="AC48" s="479">
        <f t="shared" si="7"/>
        <v>1.3626278518999999</v>
      </c>
      <c r="AD48" s="480">
        <f t="shared" si="7"/>
        <v>0</v>
      </c>
      <c r="AE48" s="3659"/>
      <c r="AF48" s="3659"/>
      <c r="AG48" s="3659"/>
      <c r="AH48" s="526"/>
      <c r="AI48" s="3659"/>
      <c r="AJ48" s="3659"/>
      <c r="AK48" s="3659"/>
      <c r="AL48" s="3659"/>
      <c r="AM48" s="3659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0.82</v>
      </c>
      <c r="I49" s="469">
        <f>IF($B49=0,0,VLOOKUP($B49,Arbeitsgänge!$B$27:$T$80,14))</f>
        <v>11.921917173599995</v>
      </c>
      <c r="J49" s="593">
        <f t="shared" si="3"/>
        <v>1</v>
      </c>
      <c r="K49" s="1651">
        <f>J49*H49</f>
        <v>0.82</v>
      </c>
      <c r="L49" s="1704">
        <f>J49*I49</f>
        <v>11.921917173599995</v>
      </c>
      <c r="M49" s="317">
        <v>0.25</v>
      </c>
      <c r="N49" s="318">
        <v>0.25</v>
      </c>
      <c r="O49" s="318">
        <v>0.25</v>
      </c>
      <c r="P49" s="318">
        <v>0.25</v>
      </c>
      <c r="Q49" s="319"/>
      <c r="R49" s="542"/>
      <c r="S49" s="542"/>
      <c r="T49" s="478">
        <f t="shared" si="6"/>
        <v>0.20499999999999999</v>
      </c>
      <c r="U49" s="479">
        <f t="shared" si="6"/>
        <v>0.20499999999999999</v>
      </c>
      <c r="V49" s="479">
        <f t="shared" si="6"/>
        <v>0.20499999999999999</v>
      </c>
      <c r="W49" s="479">
        <f t="shared" si="6"/>
        <v>0.20499999999999999</v>
      </c>
      <c r="X49" s="480">
        <f t="shared" si="6"/>
        <v>0</v>
      </c>
      <c r="Y49" s="3659"/>
      <c r="Z49" s="478">
        <f t="shared" si="7"/>
        <v>2.9804792933999988</v>
      </c>
      <c r="AA49" s="479">
        <f t="shared" si="7"/>
        <v>2.9804792933999988</v>
      </c>
      <c r="AB49" s="479">
        <f t="shared" si="7"/>
        <v>2.9804792933999988</v>
      </c>
      <c r="AC49" s="479">
        <f t="shared" si="7"/>
        <v>2.9804792933999988</v>
      </c>
      <c r="AD49" s="480">
        <f t="shared" si="7"/>
        <v>0</v>
      </c>
      <c r="AE49" s="3659"/>
      <c r="AF49" s="3659"/>
      <c r="AG49" s="3659"/>
      <c r="AH49" s="526"/>
      <c r="AI49" s="3659"/>
      <c r="AJ49" s="3659"/>
      <c r="AK49" s="3659"/>
      <c r="AL49" s="3659"/>
      <c r="AM49" s="365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34</v>
      </c>
      <c r="C50" s="104"/>
      <c r="D50" s="137"/>
      <c r="E50" s="8"/>
      <c r="F50" s="8"/>
      <c r="G50" s="468" t="str">
        <f>IF($B50=0,0,VLOOKUP($B50,Arbeitsgänge!$B$27:$T$80,7))</f>
        <v>120 Kw</v>
      </c>
      <c r="H50" s="507">
        <f>IF($B50=0,0,VLOOKUP($B50,Arbeitsgänge!$B$27:$O$79,12))</f>
        <v>1.3</v>
      </c>
      <c r="I50" s="469">
        <f>IF($B50=0,0,VLOOKUP($B50,Arbeitsgänge!$B$27:$T$80,14))</f>
        <v>64.280361600000006</v>
      </c>
      <c r="J50" s="593">
        <f t="shared" si="3"/>
        <v>5.442708333333333</v>
      </c>
      <c r="K50" s="1651">
        <f t="shared" si="4"/>
        <v>7.075520833333333</v>
      </c>
      <c r="L50" s="1704">
        <f t="shared" si="5"/>
        <v>349.85925975000004</v>
      </c>
      <c r="M50" s="317">
        <f>M18/120</f>
        <v>1.6328125</v>
      </c>
      <c r="N50" s="317">
        <f t="shared" ref="N50:Q50" si="8">N18/120</f>
        <v>1.3606770833333333</v>
      </c>
      <c r="O50" s="317">
        <f t="shared" si="8"/>
        <v>1.3606770833333333</v>
      </c>
      <c r="P50" s="317">
        <f t="shared" si="8"/>
        <v>1.0885416666666667</v>
      </c>
      <c r="Q50" s="4091">
        <f t="shared" si="8"/>
        <v>0</v>
      </c>
      <c r="R50" s="542"/>
      <c r="S50" s="542"/>
      <c r="T50" s="478">
        <f t="shared" si="6"/>
        <v>2.1226562499999999</v>
      </c>
      <c r="U50" s="479">
        <f t="shared" si="6"/>
        <v>1.7688802083333333</v>
      </c>
      <c r="V50" s="479">
        <f t="shared" si="6"/>
        <v>1.7688802083333333</v>
      </c>
      <c r="W50" s="479">
        <f t="shared" si="6"/>
        <v>1.4151041666666668</v>
      </c>
      <c r="X50" s="480">
        <f t="shared" si="6"/>
        <v>0</v>
      </c>
      <c r="Y50" s="3659"/>
      <c r="Z50" s="478">
        <f t="shared" si="7"/>
        <v>104.95777792500002</v>
      </c>
      <c r="AA50" s="479">
        <f t="shared" si="7"/>
        <v>87.464814937500009</v>
      </c>
      <c r="AB50" s="479">
        <f t="shared" si="7"/>
        <v>87.464814937500009</v>
      </c>
      <c r="AC50" s="479">
        <f t="shared" si="7"/>
        <v>69.971851950000016</v>
      </c>
      <c r="AD50" s="480">
        <f t="shared" si="7"/>
        <v>0</v>
      </c>
      <c r="AE50" s="3659"/>
      <c r="AF50" s="3659"/>
      <c r="AG50" s="3659"/>
      <c r="AH50" s="526"/>
      <c r="AI50" s="3659"/>
      <c r="AJ50" s="3659"/>
      <c r="AK50" s="3659"/>
      <c r="AL50" s="3659"/>
      <c r="AM50" s="3659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47</v>
      </c>
      <c r="C51" s="104"/>
      <c r="D51" s="137"/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3"/>
        <v>0</v>
      </c>
      <c r="K51" s="1651">
        <f t="shared" si="4"/>
        <v>0</v>
      </c>
      <c r="L51" s="1704">
        <f t="shared" si="5"/>
        <v>0</v>
      </c>
      <c r="M51" s="317"/>
      <c r="N51" s="318"/>
      <c r="O51" s="318"/>
      <c r="P51" s="318"/>
      <c r="Q51" s="319"/>
      <c r="R51" s="542"/>
      <c r="S51" s="542"/>
      <c r="T51" s="478">
        <f t="shared" si="6"/>
        <v>0</v>
      </c>
      <c r="U51" s="479">
        <f t="shared" si="6"/>
        <v>0</v>
      </c>
      <c r="V51" s="479">
        <f t="shared" si="6"/>
        <v>0</v>
      </c>
      <c r="W51" s="479">
        <f t="shared" si="6"/>
        <v>0</v>
      </c>
      <c r="X51" s="480">
        <f t="shared" si="6"/>
        <v>0</v>
      </c>
      <c r="Y51" s="3659"/>
      <c r="Z51" s="478">
        <f t="shared" si="7"/>
        <v>0</v>
      </c>
      <c r="AA51" s="479">
        <f t="shared" si="7"/>
        <v>0</v>
      </c>
      <c r="AB51" s="479">
        <f t="shared" si="7"/>
        <v>0</v>
      </c>
      <c r="AC51" s="479">
        <f t="shared" si="7"/>
        <v>0</v>
      </c>
      <c r="AD51" s="480">
        <f t="shared" si="7"/>
        <v>0</v>
      </c>
      <c r="AE51" s="3659"/>
      <c r="AF51" s="3659"/>
      <c r="AG51" s="3659"/>
      <c r="AH51" s="526"/>
      <c r="AI51" s="3659"/>
      <c r="AJ51" s="3659"/>
      <c r="AK51" s="3659"/>
      <c r="AL51" s="3659"/>
      <c r="AM51" s="3659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3"/>
        <v>0</v>
      </c>
      <c r="K52" s="1651">
        <f t="shared" si="4"/>
        <v>0</v>
      </c>
      <c r="L52" s="1704">
        <f t="shared" si="5"/>
        <v>0</v>
      </c>
      <c r="M52" s="317"/>
      <c r="N52" s="318"/>
      <c r="O52" s="318"/>
      <c r="P52" s="318"/>
      <c r="Q52" s="319"/>
      <c r="R52" s="542"/>
      <c r="S52" s="542"/>
      <c r="T52" s="478">
        <f t="shared" si="6"/>
        <v>0</v>
      </c>
      <c r="U52" s="479">
        <f t="shared" si="6"/>
        <v>0</v>
      </c>
      <c r="V52" s="479">
        <f t="shared" si="6"/>
        <v>0</v>
      </c>
      <c r="W52" s="479">
        <f t="shared" si="6"/>
        <v>0</v>
      </c>
      <c r="X52" s="480">
        <f t="shared" si="6"/>
        <v>0</v>
      </c>
      <c r="Y52" s="3659"/>
      <c r="Z52" s="478">
        <f t="shared" si="7"/>
        <v>0</v>
      </c>
      <c r="AA52" s="479">
        <f t="shared" si="7"/>
        <v>0</v>
      </c>
      <c r="AB52" s="479">
        <f t="shared" si="7"/>
        <v>0</v>
      </c>
      <c r="AC52" s="479">
        <f t="shared" si="7"/>
        <v>0</v>
      </c>
      <c r="AD52" s="480">
        <f t="shared" si="7"/>
        <v>0</v>
      </c>
      <c r="AE52" s="3659"/>
      <c r="AF52" s="3659"/>
      <c r="AG52" s="3659"/>
      <c r="AH52" s="526"/>
      <c r="AI52" s="3659"/>
      <c r="AJ52" s="3659"/>
      <c r="AK52" s="3659"/>
      <c r="AL52" s="3659"/>
      <c r="AM52" s="3659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3"/>
        <v>0</v>
      </c>
      <c r="K53" s="1651">
        <f t="shared" si="4"/>
        <v>0</v>
      </c>
      <c r="L53" s="1704">
        <f t="shared" si="5"/>
        <v>0</v>
      </c>
      <c r="M53" s="317"/>
      <c r="N53" s="318"/>
      <c r="O53" s="318"/>
      <c r="P53" s="318"/>
      <c r="Q53" s="319"/>
      <c r="R53" s="542"/>
      <c r="S53" s="542"/>
      <c r="T53" s="478">
        <f t="shared" si="6"/>
        <v>0</v>
      </c>
      <c r="U53" s="479">
        <f t="shared" si="6"/>
        <v>0</v>
      </c>
      <c r="V53" s="479">
        <f t="shared" si="6"/>
        <v>0</v>
      </c>
      <c r="W53" s="479">
        <f t="shared" si="6"/>
        <v>0</v>
      </c>
      <c r="X53" s="480">
        <f t="shared" si="6"/>
        <v>0</v>
      </c>
      <c r="Y53" s="3659"/>
      <c r="Z53" s="478">
        <f t="shared" si="7"/>
        <v>0</v>
      </c>
      <c r="AA53" s="479">
        <f t="shared" si="7"/>
        <v>0</v>
      </c>
      <c r="AB53" s="479">
        <f t="shared" si="7"/>
        <v>0</v>
      </c>
      <c r="AC53" s="479">
        <f t="shared" si="7"/>
        <v>0</v>
      </c>
      <c r="AD53" s="480">
        <f t="shared" si="7"/>
        <v>0</v>
      </c>
      <c r="AE53" s="3659"/>
      <c r="AF53" s="3659"/>
      <c r="AG53" s="3659"/>
      <c r="AH53" s="526"/>
      <c r="AI53" s="3659"/>
      <c r="AJ53" s="3659"/>
      <c r="AK53" s="3659"/>
      <c r="AL53" s="3659"/>
      <c r="AM53" s="3659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3"/>
        <v>0</v>
      </c>
      <c r="K54" s="1651">
        <f t="shared" si="4"/>
        <v>0</v>
      </c>
      <c r="L54" s="1704">
        <f t="shared" si="5"/>
        <v>0</v>
      </c>
      <c r="M54" s="317"/>
      <c r="N54" s="318"/>
      <c r="O54" s="318"/>
      <c r="P54" s="318"/>
      <c r="Q54" s="319"/>
      <c r="R54" s="542"/>
      <c r="S54" s="542"/>
      <c r="T54" s="478">
        <f t="shared" si="6"/>
        <v>0</v>
      </c>
      <c r="U54" s="479">
        <f t="shared" si="6"/>
        <v>0</v>
      </c>
      <c r="V54" s="479">
        <f t="shared" si="6"/>
        <v>0</v>
      </c>
      <c r="W54" s="479">
        <f t="shared" si="6"/>
        <v>0</v>
      </c>
      <c r="X54" s="480">
        <f t="shared" si="6"/>
        <v>0</v>
      </c>
      <c r="Y54" s="3659"/>
      <c r="Z54" s="478">
        <f t="shared" si="7"/>
        <v>0</v>
      </c>
      <c r="AA54" s="479">
        <f t="shared" si="7"/>
        <v>0</v>
      </c>
      <c r="AB54" s="479">
        <f t="shared" si="7"/>
        <v>0</v>
      </c>
      <c r="AC54" s="479">
        <f t="shared" si="7"/>
        <v>0</v>
      </c>
      <c r="AD54" s="480">
        <f t="shared" si="7"/>
        <v>0</v>
      </c>
      <c r="AE54" s="3659"/>
      <c r="AF54" s="3659"/>
      <c r="AG54" s="3659"/>
      <c r="AH54" s="526"/>
      <c r="AI54" s="3659"/>
      <c r="AJ54" s="3659"/>
      <c r="AK54" s="3659"/>
      <c r="AL54" s="3659"/>
      <c r="AM54" s="3659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3"/>
        <v>0</v>
      </c>
      <c r="K55" s="1651">
        <f t="shared" si="4"/>
        <v>0</v>
      </c>
      <c r="L55" s="1704">
        <f t="shared" si="5"/>
        <v>0</v>
      </c>
      <c r="M55" s="317"/>
      <c r="N55" s="318"/>
      <c r="O55" s="318"/>
      <c r="P55" s="318"/>
      <c r="Q55" s="319"/>
      <c r="R55" s="542"/>
      <c r="S55" s="542"/>
      <c r="T55" s="478">
        <f t="shared" si="6"/>
        <v>0</v>
      </c>
      <c r="U55" s="479">
        <f t="shared" si="6"/>
        <v>0</v>
      </c>
      <c r="V55" s="479">
        <f t="shared" si="6"/>
        <v>0</v>
      </c>
      <c r="W55" s="479">
        <f t="shared" si="6"/>
        <v>0</v>
      </c>
      <c r="X55" s="480">
        <f t="shared" si="6"/>
        <v>0</v>
      </c>
      <c r="Y55" s="3659"/>
      <c r="Z55" s="478">
        <f t="shared" si="7"/>
        <v>0</v>
      </c>
      <c r="AA55" s="479">
        <f t="shared" si="7"/>
        <v>0</v>
      </c>
      <c r="AB55" s="479">
        <f t="shared" si="7"/>
        <v>0</v>
      </c>
      <c r="AC55" s="479">
        <f t="shared" si="7"/>
        <v>0</v>
      </c>
      <c r="AD55" s="480">
        <f t="shared" si="7"/>
        <v>0</v>
      </c>
      <c r="AE55" s="3659"/>
      <c r="AF55" s="3659"/>
      <c r="AG55" s="3659"/>
      <c r="AH55" s="526"/>
      <c r="AI55" s="3659"/>
      <c r="AJ55" s="3659"/>
      <c r="AK55" s="3659"/>
      <c r="AL55" s="3659"/>
      <c r="AM55" s="3659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3"/>
        <v>0</v>
      </c>
      <c r="K56" s="1652">
        <f t="shared" si="4"/>
        <v>0</v>
      </c>
      <c r="L56" s="1714">
        <f t="shared" si="5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59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59"/>
      <c r="AF56" s="3659"/>
      <c r="AG56" s="3659"/>
      <c r="AH56" s="526"/>
      <c r="AI56" s="3659"/>
      <c r="AJ56" s="3659"/>
      <c r="AK56" s="3659"/>
      <c r="AL56" s="3659"/>
      <c r="AM56" s="3659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9.5707208333333327</v>
      </c>
      <c r="L57" s="1716"/>
      <c r="M57" s="278">
        <f>SUM(T46:T56)</f>
        <v>2.74645625</v>
      </c>
      <c r="N57" s="508">
        <f>SUM(U46:U56)</f>
        <v>2.3926802083333332</v>
      </c>
      <c r="O57" s="508">
        <f>SUM(V46:V56)</f>
        <v>2.3926802083333332</v>
      </c>
      <c r="P57" s="508">
        <f>SUM(W46:W56)</f>
        <v>2.0389041666666667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59"/>
      <c r="Z57" s="537"/>
      <c r="AA57" s="537"/>
      <c r="AB57" s="537"/>
      <c r="AC57" s="537"/>
      <c r="AD57" s="537"/>
      <c r="AE57" s="3659"/>
      <c r="AF57" s="3659"/>
      <c r="AG57" s="3659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17.227297499999999</v>
      </c>
      <c r="L58" s="1718"/>
      <c r="M58" s="270">
        <f>IF(M57+(M57*$G$58/100)&gt;M57+10,M57+10,M57+(M57*$G$58/100))</f>
        <v>4.9436212499999996</v>
      </c>
      <c r="N58" s="509">
        <f>IF(N57+(N57*$G$58/100)&gt;(N57+10),N57+10,N57+(N57*$G$58/100))</f>
        <v>4.3068243749999997</v>
      </c>
      <c r="O58" s="509">
        <f>IF(O57+(O57*$G$58/100)&gt;(O57+10),O57+10,O57+(O57*$G$58/100))</f>
        <v>4.3068243749999997</v>
      </c>
      <c r="P58" s="509">
        <f>P57+P57*$G$58/100</f>
        <v>3.6700275000000002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59"/>
      <c r="Z58" s="537"/>
      <c r="AA58" s="537"/>
      <c r="AB58" s="537"/>
      <c r="AC58" s="537"/>
      <c r="AD58" s="537"/>
      <c r="AE58" s="3659"/>
      <c r="AF58" s="3659"/>
      <c r="AG58" s="3659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0</v>
      </c>
      <c r="M59" s="253">
        <f>SUM(T61:T63)</f>
        <v>0</v>
      </c>
      <c r="N59" s="254">
        <f>SUM(U61:U63)</f>
        <v>0</v>
      </c>
      <c r="O59" s="254">
        <f>SUM(V61:V63)</f>
        <v>0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59"/>
      <c r="Z59" s="528"/>
      <c r="AA59" s="528"/>
      <c r="AB59" s="528"/>
      <c r="AC59" s="528"/>
      <c r="AD59" s="528"/>
      <c r="AE59" s="3659"/>
      <c r="AF59" s="3659"/>
      <c r="AG59" s="36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59"/>
      <c r="Z60" s="528"/>
      <c r="AA60" s="528"/>
      <c r="AB60" s="528"/>
      <c r="AC60" s="528"/>
      <c r="AD60" s="528"/>
      <c r="AE60" s="3659"/>
      <c r="AF60" s="3659"/>
      <c r="AG60" s="3659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47"/>
      <c r="E61" s="3077"/>
      <c r="F61" s="4032"/>
      <c r="G61" s="3060"/>
      <c r="H61" s="4045">
        <f>G61*(100+$H$59)/100</f>
        <v>0</v>
      </c>
      <c r="I61" s="4029"/>
      <c r="J61" s="3095">
        <f>SUM(M61:Q61)</f>
        <v>0</v>
      </c>
      <c r="K61" s="2618"/>
      <c r="L61" s="2619">
        <f>J61*H61</f>
        <v>0</v>
      </c>
      <c r="M61" s="3111"/>
      <c r="N61" s="3088"/>
      <c r="O61" s="3088"/>
      <c r="P61" s="3088"/>
      <c r="Q61" s="2620"/>
      <c r="R61" s="542"/>
      <c r="S61" s="542"/>
      <c r="T61" s="594">
        <f>IF(M61&lt;&gt;0,M61*$H61,0)</f>
        <v>0</v>
      </c>
      <c r="U61" s="594">
        <f t="shared" ref="U61:X63" si="9">IF(N61&lt;&gt;0,N61*$H61,0)</f>
        <v>0</v>
      </c>
      <c r="V61" s="594">
        <f t="shared" si="9"/>
        <v>0</v>
      </c>
      <c r="W61" s="594">
        <f t="shared" si="9"/>
        <v>0</v>
      </c>
      <c r="X61" s="594">
        <f t="shared" si="9"/>
        <v>0</v>
      </c>
      <c r="Y61" s="3659"/>
      <c r="Z61" s="266"/>
      <c r="AA61" s="266"/>
      <c r="AB61" s="266"/>
      <c r="AC61" s="266"/>
      <c r="AD61" s="267"/>
      <c r="AE61" s="3659"/>
      <c r="AF61" s="3659"/>
      <c r="AG61" s="3659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59"/>
      <c r="C62" s="354"/>
      <c r="D62" s="3440"/>
      <c r="E62" s="3081"/>
      <c r="F62" s="3081"/>
      <c r="G62" s="3441"/>
      <c r="H62" s="4046">
        <f>G62*(100+$H$59)/100</f>
        <v>0</v>
      </c>
      <c r="I62" s="4030"/>
      <c r="J62" s="3096">
        <f>SUM(M62:Q62)</f>
        <v>0</v>
      </c>
      <c r="K62" s="2304"/>
      <c r="L62" s="3069">
        <f>J62*H62</f>
        <v>0</v>
      </c>
      <c r="M62" s="3442"/>
      <c r="N62" s="3443"/>
      <c r="O62" s="3443"/>
      <c r="P62" s="3443"/>
      <c r="Q62" s="3444"/>
      <c r="R62" s="542"/>
      <c r="S62" s="542"/>
      <c r="T62" s="594">
        <f>IF(M62&lt;&gt;0,M62*$H62,0)</f>
        <v>0</v>
      </c>
      <c r="U62" s="594">
        <f t="shared" si="9"/>
        <v>0</v>
      </c>
      <c r="V62" s="594">
        <f t="shared" si="9"/>
        <v>0</v>
      </c>
      <c r="W62" s="594">
        <f t="shared" si="9"/>
        <v>0</v>
      </c>
      <c r="X62" s="594">
        <f t="shared" si="9"/>
        <v>0</v>
      </c>
      <c r="Y62" s="3659"/>
      <c r="Z62" s="3058"/>
      <c r="AA62" s="3058"/>
      <c r="AB62" s="3058"/>
      <c r="AC62" s="3058"/>
      <c r="AD62" s="3059"/>
      <c r="AE62" s="3659"/>
      <c r="AF62" s="3659"/>
      <c r="AG62" s="3659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119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9"/>
        <v>0</v>
      </c>
      <c r="V63" s="594">
        <f t="shared" si="9"/>
        <v>0</v>
      </c>
      <c r="W63" s="594">
        <f t="shared" si="9"/>
        <v>0</v>
      </c>
      <c r="X63" s="594">
        <f t="shared" si="9"/>
        <v>0</v>
      </c>
      <c r="Y63" s="3659"/>
      <c r="Z63" s="268"/>
      <c r="AA63" s="268"/>
      <c r="AB63" s="268"/>
      <c r="AC63" s="268"/>
      <c r="AD63" s="269"/>
      <c r="AE63" s="3659"/>
      <c r="AF63" s="3659"/>
      <c r="AG63" s="3659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59"/>
      <c r="Z64" s="529"/>
      <c r="AA64" s="529"/>
      <c r="AB64" s="529"/>
      <c r="AC64" s="529"/>
      <c r="AD64" s="529"/>
      <c r="AE64" s="3659"/>
      <c r="AF64" s="3659"/>
      <c r="AG64" s="365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59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59"/>
      <c r="Z65" s="529" t="s">
        <v>1159</v>
      </c>
      <c r="AA65" s="529"/>
      <c r="AB65" s="529"/>
      <c r="AC65" s="529"/>
      <c r="AD65" s="529"/>
      <c r="AE65" s="3659"/>
      <c r="AF65" s="3659"/>
      <c r="AG65" s="365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59"/>
      <c r="U66" s="3659"/>
      <c r="V66" s="3659"/>
      <c r="W66" s="3057">
        <f>K10/100</f>
        <v>0.16</v>
      </c>
      <c r="X66" s="3659"/>
      <c r="Y66" s="3659"/>
      <c r="Z66" s="274" t="s">
        <v>356</v>
      </c>
      <c r="AA66" s="274" t="s">
        <v>563</v>
      </c>
      <c r="AB66" s="274" t="s">
        <v>564</v>
      </c>
      <c r="AC66" s="275"/>
      <c r="AD66" s="529"/>
      <c r="AE66" s="3659"/>
      <c r="AF66" s="3659"/>
      <c r="AG66" s="3659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0">SUM(L69:L70)</f>
        <v>0</v>
      </c>
      <c r="M67" s="253">
        <f t="shared" si="10"/>
        <v>0</v>
      </c>
      <c r="N67" s="254">
        <f t="shared" si="10"/>
        <v>0</v>
      </c>
      <c r="O67" s="254">
        <f t="shared" si="10"/>
        <v>0</v>
      </c>
      <c r="P67" s="254">
        <f t="shared" si="10"/>
        <v>0</v>
      </c>
      <c r="Q67" s="257">
        <f t="shared" si="10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1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>IF(AND($B69&lt;3,V$5=1),M$7*$I69/100,IF(AND($B69=3,V$5=3),M$7*$I69/100,0))</f>
        <v>0</v>
      </c>
      <c r="N69" s="933">
        <f t="shared" ref="N69:P70" si="11">IF(AND($B69&lt;3,W$5=1),N$7*$I69/100,IF(AND($B69=3,W$5=3),N$7*$I69/100,0))</f>
        <v>0</v>
      </c>
      <c r="O69" s="933">
        <f t="shared" si="11"/>
        <v>0</v>
      </c>
      <c r="P69" s="933">
        <f t="shared" si="11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59"/>
      <c r="Z69" s="528"/>
      <c r="AA69" s="528"/>
      <c r="AB69" s="528"/>
      <c r="AC69" s="528"/>
      <c r="AD69" s="528"/>
      <c r="AE69" s="3659"/>
      <c r="AF69" s="3659"/>
      <c r="AG69" s="365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1"/>
        <v>0</v>
      </c>
      <c r="O70" s="933">
        <f t="shared" si="11"/>
        <v>0</v>
      </c>
      <c r="P70" s="933">
        <f t="shared" si="11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59"/>
      <c r="Z70" s="528"/>
      <c r="AA70" s="528"/>
      <c r="AB70" s="528"/>
      <c r="AC70" s="528"/>
      <c r="AD70" s="528"/>
      <c r="AE70" s="3659"/>
      <c r="AF70" s="3659"/>
      <c r="AG70" s="3659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59"/>
      <c r="Z71" s="528"/>
      <c r="AA71" s="528"/>
      <c r="AB71" s="528"/>
      <c r="AC71" s="528"/>
      <c r="AD71" s="528"/>
      <c r="AE71" s="3659"/>
      <c r="AF71" s="3659"/>
      <c r="AG71" s="3659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59"/>
      <c r="Z72" s="529"/>
      <c r="AA72" s="529"/>
      <c r="AB72" s="529"/>
      <c r="AC72" s="529"/>
      <c r="AD72" s="529"/>
      <c r="AE72" s="3659"/>
      <c r="AF72" s="3659"/>
      <c r="AG72" s="365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 t="str">
        <f t="shared" ref="K77:Q77" si="12">K16</f>
        <v>-</v>
      </c>
      <c r="L77" s="3321">
        <f t="shared" si="12"/>
        <v>0</v>
      </c>
      <c r="M77" s="3321">
        <f t="shared" si="12"/>
        <v>0</v>
      </c>
      <c r="N77" s="3321">
        <f t="shared" si="12"/>
        <v>0</v>
      </c>
      <c r="O77" s="3321">
        <f t="shared" si="12"/>
        <v>0</v>
      </c>
      <c r="P77" s="3321">
        <f t="shared" si="12"/>
        <v>0</v>
      </c>
      <c r="Q77" s="3321">
        <f t="shared" si="12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1233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4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5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6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7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8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9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0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1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2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3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4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5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6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7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8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6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59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'17)Kleegras-GrünFu-Eig.mech(a)'!H2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'17)Kleegras-GrünFu-Eig.mech(a)'!K2</f>
        <v>Kleegras, 4 Nutzungen</v>
      </c>
      <c r="S2" s="3659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59"/>
      <c r="AL2" s="3659"/>
      <c r="AM2" s="39"/>
      <c r="AN2" s="3659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'17)Kleegras-GrünFu-Eig.mech(a)'!H3</f>
        <v>2-jährig, Grünfutterernte, grasbetont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59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59"/>
      <c r="AH3" s="205"/>
      <c r="AI3" s="3659"/>
      <c r="AJ3" s="3659"/>
      <c r="AK3" s="3659"/>
      <c r="AL3" s="3659"/>
      <c r="AM3" s="39"/>
      <c r="AN3" s="3659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59"/>
      <c r="V4" s="177"/>
      <c r="AG4" s="3659"/>
      <c r="AH4" s="3659"/>
      <c r="AI4" s="3659"/>
      <c r="AJ4" s="3659"/>
      <c r="AK4" s="3659"/>
      <c r="AL4" s="3659"/>
      <c r="AM4" s="3659"/>
      <c r="AN4" s="3659"/>
      <c r="AO4" s="3659"/>
      <c r="AP4" s="3659"/>
      <c r="AQ4" s="3659"/>
      <c r="AR4" s="3659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'17)Kleegras-GrünFu-Eig.mech(a)'!M5</f>
        <v>Grün</v>
      </c>
      <c r="O5" s="1568" t="str">
        <f>'17)Kleegras-GrünFu-Eig.mech(a)'!N5</f>
        <v>Grün</v>
      </c>
      <c r="P5" s="1568" t="str">
        <f>'17)Kleegras-GrünFu-Eig.mech(a)'!O5</f>
        <v>Grün</v>
      </c>
      <c r="Q5" s="1568" t="str">
        <f>'17)Kleegras-GrünFu-Eig.mech(a)'!P5</f>
        <v>Grün</v>
      </c>
      <c r="R5" s="1573" t="str">
        <f>'17)Kleegras-GrünFu-Eig.mech(a)'!Q5</f>
        <v>Grün</v>
      </c>
      <c r="S5" s="3659"/>
      <c r="V5" s="177"/>
      <c r="AG5" s="3659"/>
      <c r="AH5" s="3659"/>
      <c r="AI5" s="3659"/>
      <c r="AJ5" s="3659"/>
      <c r="AK5" s="3659"/>
      <c r="AL5" s="3659"/>
      <c r="AM5" s="3659"/>
      <c r="AN5" s="3659"/>
      <c r="AO5" s="3659"/>
      <c r="AP5" s="3659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'17)Kleegras-GrünFu-Eig.mech(a)'!K6</f>
        <v>110</v>
      </c>
      <c r="N6" s="1821">
        <f>'17)Kleegras-GrünFu-Eig.mech(a)'!M6</f>
        <v>33</v>
      </c>
      <c r="O6" s="1821">
        <f>'17)Kleegras-GrünFu-Eig.mech(a)'!N6</f>
        <v>27.5</v>
      </c>
      <c r="P6" s="1821">
        <f>'17)Kleegras-GrünFu-Eig.mech(a)'!O6</f>
        <v>27.5</v>
      </c>
      <c r="Q6" s="1821">
        <f>'17)Kleegras-GrünFu-Eig.mech(a)'!P6</f>
        <v>22</v>
      </c>
      <c r="R6" s="1822">
        <f>'17)Kleegras-GrünFu-Eig.mech(a)'!Q6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'17)Kleegras-GrünFu-Eig.mech(a)'!K14</f>
        <v>104.5</v>
      </c>
      <c r="N7" s="452">
        <f>'17)Kleegras-GrünFu-Eig.mech(a)'!M14</f>
        <v>31.35</v>
      </c>
      <c r="O7" s="452">
        <f>'17)Kleegras-GrünFu-Eig.mech(a)'!N14</f>
        <v>26.125</v>
      </c>
      <c r="P7" s="452">
        <f>'17)Kleegras-GrünFu-Eig.mech(a)'!O14</f>
        <v>26.125</v>
      </c>
      <c r="Q7" s="452">
        <f>'17)Kleegras-GrünFu-Eig.mech(a)'!P14</f>
        <v>20.9</v>
      </c>
      <c r="R7" s="1744">
        <f>'17)Kleegras-GrünFu-Eig.mech(a)'!Q14</f>
        <v>0</v>
      </c>
      <c r="S7" s="3659"/>
      <c r="V7" s="177"/>
      <c r="AG7" s="3659"/>
      <c r="AH7" s="3659"/>
      <c r="AI7" s="3659"/>
      <c r="AJ7" s="3659"/>
      <c r="AK7" s="3659"/>
      <c r="AL7" s="3659"/>
      <c r="AM7" s="3659"/>
      <c r="AN7" s="3659"/>
      <c r="AO7" s="3659"/>
      <c r="AP7" s="3659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'17)Kleegras-GrünFu-Eig.mech(a)'!K15</f>
        <v>653.125</v>
      </c>
      <c r="N8" s="473">
        <f>'17)Kleegras-GrünFu-Eig.mech(a)'!M15</f>
        <v>195.9375</v>
      </c>
      <c r="O8" s="473">
        <f>'17)Kleegras-GrünFu-Eig.mech(a)'!N15</f>
        <v>163.28125</v>
      </c>
      <c r="P8" s="473">
        <f>'17)Kleegras-GrünFu-Eig.mech(a)'!O15</f>
        <v>163.28125</v>
      </c>
      <c r="Q8" s="473">
        <f>'17)Kleegras-GrünFu-Eig.mech(a)'!P15</f>
        <v>130.625</v>
      </c>
      <c r="R8" s="1583">
        <f>'17)Kleegras-GrünFu-Eig.mech(a)'!Q15</f>
        <v>0</v>
      </c>
      <c r="S8" s="3659"/>
      <c r="V8" s="177"/>
      <c r="AG8" s="3659"/>
      <c r="AH8" s="3659"/>
      <c r="AI8" s="3659"/>
      <c r="AJ8" s="3659"/>
      <c r="AK8" s="3659"/>
      <c r="AL8" s="3659"/>
      <c r="AM8" s="3659"/>
      <c r="AN8" s="3659"/>
      <c r="AO8" s="3659"/>
      <c r="AP8" s="3659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'17)Kleegras-GrünFu-Eig.mech(a)'!K17</f>
        <v>104.5</v>
      </c>
      <c r="N9" s="452">
        <f>'17)Kleegras-GrünFu-Eig.mech(a)'!M17</f>
        <v>31.35</v>
      </c>
      <c r="O9" s="452">
        <f>'17)Kleegras-GrünFu-Eig.mech(a)'!N17</f>
        <v>26.125</v>
      </c>
      <c r="P9" s="452">
        <f>'17)Kleegras-GrünFu-Eig.mech(a)'!O17</f>
        <v>26.125</v>
      </c>
      <c r="Q9" s="452">
        <f>'17)Kleegras-GrünFu-Eig.mech(a)'!P17</f>
        <v>20.9</v>
      </c>
      <c r="R9" s="1744">
        <f>'17)Kleegras-GrünFu-Eig.mech(a)'!Q17</f>
        <v>0</v>
      </c>
      <c r="S9" s="3659"/>
      <c r="V9" s="177"/>
      <c r="AG9" s="3659"/>
      <c r="AH9" s="3659"/>
      <c r="AI9" s="3659"/>
      <c r="AJ9" s="3659"/>
      <c r="AK9" s="3659"/>
      <c r="AL9" s="3659"/>
      <c r="AM9" s="3659"/>
      <c r="AN9" s="3659"/>
      <c r="AO9" s="3659"/>
      <c r="AP9" s="365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'17)Kleegras-GrünFu-Eig.mech(a)'!K18</f>
        <v>653.125</v>
      </c>
      <c r="N10" s="1748">
        <f>'17)Kleegras-GrünFu-Eig.mech(a)'!M18</f>
        <v>195.9375</v>
      </c>
      <c r="O10" s="1748">
        <f>'17)Kleegras-GrünFu-Eig.mech(a)'!N18</f>
        <v>163.28125</v>
      </c>
      <c r="P10" s="1748">
        <f>'17)Kleegras-GrünFu-Eig.mech(a)'!O18</f>
        <v>163.28125</v>
      </c>
      <c r="Q10" s="1748">
        <f>'17)Kleegras-GrünFu-Eig.mech(a)'!P18</f>
        <v>130.625</v>
      </c>
      <c r="R10" s="1745">
        <f>'17)Kleegras-GrünFu-Eig.mech(a)'!Q18</f>
        <v>0</v>
      </c>
      <c r="S10" s="3659"/>
      <c r="V10" s="177"/>
      <c r="AG10" s="3659"/>
      <c r="AH10" s="3659"/>
      <c r="AI10" s="3659"/>
      <c r="AJ10" s="3659"/>
      <c r="AK10" s="3659"/>
      <c r="AL10" s="3659"/>
      <c r="AM10" s="3659"/>
      <c r="AN10" s="3659"/>
      <c r="AO10" s="3659"/>
      <c r="AP10" s="3659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'17)Kleegras-GrünFu-Eig.mech(a)'!K19</f>
        <v>204.1015625</v>
      </c>
      <c r="N11" s="2094">
        <f>'17)Kleegras-GrünFu-Eig.mech(a)'!M19</f>
        <v>61.23046875</v>
      </c>
      <c r="O11" s="2094">
        <f>'17)Kleegras-GrünFu-Eig.mech(a)'!N19</f>
        <v>51.025390625</v>
      </c>
      <c r="P11" s="2094">
        <f>'17)Kleegras-GrünFu-Eig.mech(a)'!O19</f>
        <v>51.025390625</v>
      </c>
      <c r="Q11" s="2094">
        <f>'17)Kleegras-GrünFu-Eig.mech(a)'!P19</f>
        <v>40.8203125</v>
      </c>
      <c r="R11" s="2078">
        <f>'17)Kleegras-GrünFu-Eig.mech(a)'!Q19</f>
        <v>0</v>
      </c>
      <c r="S11" s="3659"/>
      <c r="V11" s="177"/>
      <c r="AG11" s="3659"/>
      <c r="AH11" s="3659"/>
      <c r="AI11" s="3659"/>
      <c r="AJ11" s="3659"/>
      <c r="AK11" s="3659"/>
      <c r="AL11" s="3659"/>
      <c r="AM11" s="3659"/>
      <c r="AN11" s="3659"/>
      <c r="AO11" s="3659"/>
      <c r="AP11" s="3659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'17)Kleegras-GrünFu-Eig.mech(a)'!K22</f>
        <v>6479</v>
      </c>
      <c r="N12" s="1176">
        <f>'17)Kleegras-GrünFu-Eig.mech(a)'!M22</f>
        <v>1943.7</v>
      </c>
      <c r="O12" s="1176">
        <f>'17)Kleegras-GrünFu-Eig.mech(a)'!N22</f>
        <v>1619.75</v>
      </c>
      <c r="P12" s="1176">
        <f>'17)Kleegras-GrünFu-Eig.mech(a)'!O22</f>
        <v>1619.75</v>
      </c>
      <c r="Q12" s="1176">
        <f>'17)Kleegras-GrünFu-Eig.mech(a)'!P22</f>
        <v>1295.7999999999997</v>
      </c>
      <c r="R12" s="1747">
        <f>'17)Kleegras-GrünFu-Eig.mech(a)'!Q22</f>
        <v>0</v>
      </c>
      <c r="S12" s="3659"/>
      <c r="V12" s="177"/>
      <c r="AG12" s="3659"/>
      <c r="AH12" s="3659"/>
      <c r="AI12" s="3659"/>
      <c r="AJ12" s="3659"/>
      <c r="AK12" s="3659"/>
      <c r="AL12" s="3659"/>
      <c r="AM12" s="3659"/>
      <c r="AN12" s="3659"/>
      <c r="AO12" s="3659"/>
      <c r="AP12" s="3659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'17)Kleegras-GrünFu-Eig.mech(a)'!K23</f>
        <v>10798.333333333334</v>
      </c>
      <c r="N13" s="2065">
        <f>'17)Kleegras-GrünFu-Eig.mech(a)'!M23</f>
        <v>3239.5000000000005</v>
      </c>
      <c r="O13" s="2065">
        <f>'17)Kleegras-GrünFu-Eig.mech(a)'!N23</f>
        <v>2699.5833333333339</v>
      </c>
      <c r="P13" s="2065">
        <f>'17)Kleegras-GrünFu-Eig.mech(a)'!O23</f>
        <v>2699.5833333333339</v>
      </c>
      <c r="Q13" s="2065">
        <f>'17)Kleegras-GrünFu-Eig.mech(a)'!P23</f>
        <v>2159.6666666666665</v>
      </c>
      <c r="R13" s="2067">
        <f>'17)Kleegras-GrünFu-Eig.mech(a)'!Q23</f>
        <v>0</v>
      </c>
      <c r="S13" s="3659"/>
      <c r="V13" s="177"/>
      <c r="AG13" s="3659"/>
      <c r="AH13" s="3659"/>
      <c r="AI13" s="3659"/>
      <c r="AJ13" s="3659"/>
      <c r="AK13" s="3659"/>
      <c r="AL13" s="3659"/>
      <c r="AM13" s="3659"/>
      <c r="AN13" s="3659"/>
      <c r="AO13" s="3659"/>
      <c r="AP13" s="3659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59"/>
      <c r="V14" s="177"/>
      <c r="AG14" s="3659"/>
      <c r="AH14" s="3659"/>
      <c r="AI14" s="3659"/>
      <c r="AJ14" s="3659"/>
      <c r="AK14" s="3659"/>
      <c r="AL14" s="3659"/>
      <c r="AM14" s="3659"/>
      <c r="AN14" s="3659"/>
      <c r="AO14" s="3659"/>
      <c r="AP14" s="3659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67.5</v>
      </c>
      <c r="P15" s="3339">
        <f t="shared" si="0"/>
        <v>67.5</v>
      </c>
      <c r="Q15" s="3340">
        <f t="shared" si="0"/>
        <v>54</v>
      </c>
      <c r="R15" s="3341">
        <f t="shared" si="0"/>
        <v>0</v>
      </c>
      <c r="S15" s="3659"/>
      <c r="V15" s="177"/>
      <c r="AG15" s="3659"/>
      <c r="AH15" s="3659"/>
      <c r="AI15" s="3659"/>
      <c r="AJ15" s="3659"/>
      <c r="AK15" s="3659"/>
      <c r="AL15" s="3659"/>
      <c r="AM15" s="3659"/>
      <c r="AN15" s="3659"/>
      <c r="AO15" s="3659"/>
      <c r="AP15" s="3659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59"/>
      <c r="V16" s="177"/>
      <c r="AG16" s="3659"/>
      <c r="AH16" s="3659"/>
      <c r="AI16" s="3659"/>
      <c r="AJ16" s="3659"/>
      <c r="AK16" s="3659"/>
      <c r="AL16" s="3659"/>
      <c r="AM16" s="3659"/>
      <c r="AN16" s="3659"/>
      <c r="AO16" s="3659"/>
      <c r="AP16" s="3659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67.5</v>
      </c>
      <c r="P17" s="3334">
        <f t="shared" si="2"/>
        <v>67.5</v>
      </c>
      <c r="Q17" s="2065">
        <f t="shared" si="2"/>
        <v>54</v>
      </c>
      <c r="R17" s="3335">
        <f t="shared" si="2"/>
        <v>0</v>
      </c>
      <c r="S17" s="3659"/>
      <c r="V17" s="177"/>
      <c r="AG17" s="3659"/>
      <c r="AH17" s="3659"/>
      <c r="AI17" s="3659"/>
      <c r="AJ17" s="3659"/>
      <c r="AK17" s="3659"/>
      <c r="AL17" s="3659"/>
      <c r="AM17" s="3659"/>
      <c r="AN17" s="3659"/>
      <c r="AO17" s="3659"/>
      <c r="AP17" s="3659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'17)Kleegras-GrünFu-Eig.mech(a)'!L32</f>
        <v>61.79249999999999</v>
      </c>
      <c r="N19" s="2071">
        <f>'17)Kleegras-GrünFu-Eig.mech(a)'!M32</f>
        <v>18.537749999999996</v>
      </c>
      <c r="O19" s="2071">
        <f>'17)Kleegras-GrünFu-Eig.mech(a)'!N32</f>
        <v>15.448124999999997</v>
      </c>
      <c r="P19" s="2071">
        <f>'17)Kleegras-GrünFu-Eig.mech(a)'!O32</f>
        <v>15.448124999999997</v>
      </c>
      <c r="Q19" s="2071">
        <f>'17)Kleegras-GrünFu-Eig.mech(a)'!P32</f>
        <v>12.358499999999999</v>
      </c>
      <c r="R19" s="2073">
        <f>'17)Kleegras-GrünFu-Eig.mech(a)'!Q32</f>
        <v>0</v>
      </c>
      <c r="AG19" s="3659"/>
      <c r="AH19" s="3659"/>
      <c r="AI19" s="3659"/>
      <c r="AJ19" s="3659"/>
      <c r="AK19" s="3659"/>
      <c r="AL19" s="3659"/>
      <c r="AM19" s="3659"/>
      <c r="AN19" s="3659"/>
      <c r="AO19" s="3659"/>
      <c r="AP19" s="365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'17)Kleegras-GrünFu-Eig.mech(a)'!L34</f>
        <v>677.64530166666657</v>
      </c>
      <c r="N20" s="285">
        <f>'17)Kleegras-GrünFu-Eig.mech(a)'!M34</f>
        <v>203.29359049999997</v>
      </c>
      <c r="O20" s="285">
        <f>'17)Kleegras-GrünFu-Eig.mech(a)'!N34</f>
        <v>169.41132541666667</v>
      </c>
      <c r="P20" s="285">
        <f>'17)Kleegras-GrünFu-Eig.mech(a)'!O34</f>
        <v>169.41132541666667</v>
      </c>
      <c r="Q20" s="285">
        <f>'17)Kleegras-GrünFu-Eig.mech(a)'!P34</f>
        <v>135.52906033333332</v>
      </c>
      <c r="R20" s="1574">
        <f>'17)Kleegras-GrünFu-Eig.mech(a)'!Q34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'17)Kleegras-GrünFu-Eig.mech(a)'!L40</f>
        <v>0</v>
      </c>
      <c r="N21" s="285">
        <f>'17)Kleegras-GrünFu-Eig.mech(a)'!M40</f>
        <v>0</v>
      </c>
      <c r="O21" s="285">
        <f>'17)Kleegras-GrünFu-Eig.mech(a)'!N40</f>
        <v>0</v>
      </c>
      <c r="P21" s="285">
        <f>'17)Kleegras-GrünFu-Eig.mech(a)'!O40</f>
        <v>0</v>
      </c>
      <c r="Q21" s="285">
        <f>'17)Kleegras-GrünFu-Eig.mech(a)'!P40</f>
        <v>0</v>
      </c>
      <c r="R21" s="1574">
        <f>'17)Kleegras-GrünFu-Eig.mech(a)'!Q40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'17)Kleegras-GrünFu-Eig.mech(a)'!L67</f>
        <v>0</v>
      </c>
      <c r="N23" s="285">
        <f>'17)Kleegras-GrünFu-Eig.mech(a)'!M67</f>
        <v>0</v>
      </c>
      <c r="O23" s="285">
        <f>'17)Kleegras-GrünFu-Eig.mech(a)'!N67</f>
        <v>0</v>
      </c>
      <c r="P23" s="285">
        <f>'17)Kleegras-GrünFu-Eig.mech(a)'!O67</f>
        <v>0</v>
      </c>
      <c r="Q23" s="285">
        <f>'17)Kleegras-GrünFu-Eig.mech(a)'!P67</f>
        <v>0</v>
      </c>
      <c r="R23" s="1574">
        <f>'17)Kleegras-GrünFu-Eig.mech(a)'!Q67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'17)Kleegras-GrünFu-Eig.mech(a)'!L43</f>
        <v>437.98130991072003</v>
      </c>
      <c r="N24" s="285">
        <f>'17)Kleegras-GrünFu-Eig.mech(a)'!M43</f>
        <v>126.98829046518001</v>
      </c>
      <c r="O24" s="285">
        <f>'17)Kleegras-GrünFu-Eig.mech(a)'!N43</f>
        <v>109.49532747768001</v>
      </c>
      <c r="P24" s="285">
        <f>'17)Kleegras-GrünFu-Eig.mech(a)'!O43</f>
        <v>109.49532747768001</v>
      </c>
      <c r="Q24" s="285">
        <f>'17)Kleegras-GrünFu-Eig.mech(a)'!P43</f>
        <v>92.002364490180014</v>
      </c>
      <c r="R24" s="1574">
        <f>'17)Kleegras-GrünFu-Eig.mech(a)'!Q43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'17)Kleegras-GrünFu-Eig.mech(a)'!L59</f>
        <v>0</v>
      </c>
      <c r="N25" s="285">
        <f>'17)Kleegras-GrünFu-Eig.mech(a)'!M59</f>
        <v>0</v>
      </c>
      <c r="O25" s="285">
        <f>'17)Kleegras-GrünFu-Eig.mech(a)'!N59</f>
        <v>0</v>
      </c>
      <c r="P25" s="285">
        <f>'17)Kleegras-GrünFu-Eig.mech(a)'!O59</f>
        <v>0</v>
      </c>
      <c r="Q25" s="285">
        <f>'17)Kleegras-GrünFu-Eig.mech(a)'!P59</f>
        <v>0</v>
      </c>
      <c r="R25" s="1574">
        <f>'17)Kleegras-GrünFu-Eig.mech(a)'!Q59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'17)Kleegras-GrünFu-Eig.mech(a)'!L64</f>
        <v>0</v>
      </c>
      <c r="N26" s="1979">
        <f>'17)Kleegras-GrünFu-Eig.mech(a)'!M64</f>
        <v>0</v>
      </c>
      <c r="O26" s="1979">
        <f>'17)Kleegras-GrünFu-Eig.mech(a)'!N64</f>
        <v>0</v>
      </c>
      <c r="P26" s="1979">
        <f>'17)Kleegras-GrünFu-Eig.mech(a)'!O64</f>
        <v>0</v>
      </c>
      <c r="Q26" s="1979">
        <f>'17)Kleegras-GrünFu-Eig.mech(a)'!P64</f>
        <v>0</v>
      </c>
      <c r="R26" s="1981">
        <f>'17)Kleegras-GrünFu-Eig.mech(a)'!Q64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1177.4191115773865</v>
      </c>
      <c r="N27" s="2407">
        <f t="shared" si="4"/>
        <v>348.81963096517995</v>
      </c>
      <c r="O27" s="2407">
        <f t="shared" si="4"/>
        <v>294.35477789434668</v>
      </c>
      <c r="P27" s="2407">
        <f t="shared" si="4"/>
        <v>294.35477789434668</v>
      </c>
      <c r="Q27" s="2407">
        <f t="shared" si="4"/>
        <v>239.88992482351333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-1177.4191115773865</v>
      </c>
      <c r="N28" s="1777">
        <f t="shared" si="5"/>
        <v>-348.81963096517995</v>
      </c>
      <c r="O28" s="1777">
        <f t="shared" si="5"/>
        <v>-294.35477789434668</v>
      </c>
      <c r="P28" s="1777">
        <f t="shared" si="5"/>
        <v>-294.35477789434668</v>
      </c>
      <c r="Q28" s="1777">
        <f t="shared" si="5"/>
        <v>-239.88992482351333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-0.1817285247071132</v>
      </c>
      <c r="N29" s="1874">
        <f t="shared" si="6"/>
        <v>-0.17946166124668414</v>
      </c>
      <c r="O29" s="1874">
        <f t="shared" si="6"/>
        <v>-0.18172852470711326</v>
      </c>
      <c r="P29" s="1874">
        <f t="shared" si="6"/>
        <v>-0.18172852470711326</v>
      </c>
      <c r="Q29" s="1874">
        <f t="shared" si="6"/>
        <v>-0.1851288198977569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67.5</v>
      </c>
      <c r="P30" s="2097">
        <f t="shared" si="7"/>
        <v>67.5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'17)Kleegras-GrünFu-Eig.mech(a)'!L25</f>
        <v>0</v>
      </c>
      <c r="V30" s="3308">
        <f>'17)Kleegras-GrünFu-Eig.mech(a)'!M25</f>
        <v>0</v>
      </c>
      <c r="W30" s="3308">
        <f>'17)Kleegras-GrünFu-Eig.mech(a)'!N25</f>
        <v>0</v>
      </c>
      <c r="X30" s="3308">
        <f>'17)Kleegras-GrünFu-Eig.mech(a)'!O25</f>
        <v>0</v>
      </c>
      <c r="Y30" s="3308">
        <f>'17)Kleegras-GrünFu-Eig.mech(a)'!P25</f>
        <v>0</v>
      </c>
      <c r="Z30" s="3308">
        <f>'17)Kleegras-GrünFu-Eig.mech(a)'!Q25</f>
        <v>0</v>
      </c>
      <c r="AA30" s="3659"/>
      <c r="AB30" s="3659"/>
      <c r="AC30" s="3659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M27*'17)Kleegras-GrünFu-Eig.mech(a)'!$L$72*'17)Kleegras-GrünFu-Eig.mech(a)'!$Q$72/12/100</f>
        <v>7.358869447358666</v>
      </c>
      <c r="N31" s="1979">
        <f>N27*'17)Kleegras-GrünFu-Eig.mech(a)'!$L$72*'17)Kleegras-GrünFu-Eig.mech(a)'!$Q$72/12/100</f>
        <v>2.180122693532375</v>
      </c>
      <c r="O31" s="1979">
        <f>O27*'17)Kleegras-GrünFu-Eig.mech(a)'!$L$72*'17)Kleegras-GrünFu-Eig.mech(a)'!$Q$72/12/100</f>
        <v>1.8397173618396667</v>
      </c>
      <c r="P31" s="1979">
        <f>P27*'17)Kleegras-GrünFu-Eig.mech(a)'!$L$72*'17)Kleegras-GrünFu-Eig.mech(a)'!$Q$72/12/100</f>
        <v>1.8397173618396667</v>
      </c>
      <c r="Q31" s="1979">
        <f>Q27*'17)Kleegras-GrünFu-Eig.mech(a)'!$L$72*'17)Kleegras-GrünFu-Eig.mech(a)'!$Q$72/12/100</f>
        <v>1.4993120301469582</v>
      </c>
      <c r="R31" s="1981">
        <f>R27*'17)Kleegras-GrünFu-Eig.mech(a)'!$L$72*'17)Kleegras-GrünFu-Eig.mech(a)'!$Q$72/12/100</f>
        <v>0</v>
      </c>
      <c r="T31" s="3297" t="s">
        <v>1215</v>
      </c>
      <c r="U31" s="3308">
        <f>'17)Kleegras-GrünFu-Eig.mech(a)'!L30</f>
        <v>270</v>
      </c>
      <c r="V31" s="3308">
        <f>'17)Kleegras-GrünFu-Eig.mech(a)'!M30</f>
        <v>81</v>
      </c>
      <c r="W31" s="3308">
        <f>'17)Kleegras-GrünFu-Eig.mech(a)'!N30</f>
        <v>67.5</v>
      </c>
      <c r="X31" s="3308">
        <f>'17)Kleegras-GrünFu-Eig.mech(a)'!O30</f>
        <v>67.5</v>
      </c>
      <c r="Y31" s="3308">
        <f>'17)Kleegras-GrünFu-Eig.mech(a)'!P30</f>
        <v>54</v>
      </c>
      <c r="Z31" s="3308">
        <f>'17)Kleegras-GrünFu-Eig.mech(a)'!Q30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-914.77798102474515</v>
      </c>
      <c r="N32" s="1769">
        <f t="shared" si="8"/>
        <v>-269.99975365871234</v>
      </c>
      <c r="O32" s="1769">
        <f t="shared" si="8"/>
        <v>-228.69449525618634</v>
      </c>
      <c r="P32" s="1769">
        <f t="shared" si="8"/>
        <v>-228.69449525618634</v>
      </c>
      <c r="Q32" s="1769">
        <f t="shared" si="8"/>
        <v>-187.38923685366029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67.5</v>
      </c>
      <c r="X32" s="429">
        <f t="shared" si="9"/>
        <v>67.5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-0.14119123028627029</v>
      </c>
      <c r="N33" s="1581">
        <f t="shared" si="10"/>
        <v>-0.13891019892921352</v>
      </c>
      <c r="O33" s="1581">
        <f t="shared" si="10"/>
        <v>-0.14119123028627031</v>
      </c>
      <c r="P33" s="1581">
        <f t="shared" si="10"/>
        <v>-0.14119123028627031</v>
      </c>
      <c r="Q33" s="1581">
        <f t="shared" si="10"/>
        <v>-0.14461277732185548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-8.4714738171762158E-2</v>
      </c>
      <c r="N34" s="2149">
        <f t="shared" si="11"/>
        <v>-8.3346119357528101E-2</v>
      </c>
      <c r="O34" s="2149">
        <f t="shared" si="11"/>
        <v>-8.4714738171762172E-2</v>
      </c>
      <c r="P34" s="2149">
        <f t="shared" si="11"/>
        <v>-8.4714738171762172E-2</v>
      </c>
      <c r="Q34" s="2149">
        <f t="shared" si="11"/>
        <v>-8.6767666393113271E-2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'17)Kleegras-GrünFu-Eig.mech(a)'!K58</f>
        <v>17.227297499999999</v>
      </c>
      <c r="N36" s="2397">
        <f>'17)Kleegras-GrünFu-Eig.mech(a)'!M58</f>
        <v>4.9436212499999996</v>
      </c>
      <c r="O36" s="2397">
        <f>'17)Kleegras-GrünFu-Eig.mech(a)'!N58</f>
        <v>4.3068243749999997</v>
      </c>
      <c r="P36" s="2397">
        <f>'17)Kleegras-GrünFu-Eig.mech(a)'!O58</f>
        <v>4.3068243749999997</v>
      </c>
      <c r="Q36" s="2397">
        <f>'17)Kleegras-GrünFu-Eig.mech(a)'!P58</f>
        <v>3.6700275000000002</v>
      </c>
      <c r="R36" s="2398">
        <f>'17)Kleegras-GrünFu-Eig.mech(a)'!Q58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 t="str">
        <f>'17)Kleegras-GrünFu-Eig.mech(a)'!K16</f>
        <v>-</v>
      </c>
      <c r="N37" s="2400">
        <f>'17)Kleegras-GrünFu-Eig.mech(a)'!M16</f>
        <v>0</v>
      </c>
      <c r="O37" s="2400">
        <f>'17)Kleegras-GrünFu-Eig.mech(a)'!N16</f>
        <v>0</v>
      </c>
      <c r="P37" s="2400">
        <f>'17)Kleegras-GrünFu-Eig.mech(a)'!O16</f>
        <v>0</v>
      </c>
      <c r="Q37" s="2400">
        <f>'17)Kleegras-GrünFu-Eig.mech(a)'!P16</f>
        <v>0</v>
      </c>
      <c r="R37" s="2401">
        <f>'17)Kleegras-GrünFu-Eig.mech(a)'!Q16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'17)Kleegras-GrünFu-Eig.mech(a)'!M78</f>
        <v>0</v>
      </c>
      <c r="O38" s="1997">
        <f>'17)Kleegras-GrünFu-Eig.mech(a)'!N78</f>
        <v>0</v>
      </c>
      <c r="P38" s="1997">
        <f>'17)Kleegras-GrünFu-Eig.mech(a)'!O78</f>
        <v>0</v>
      </c>
      <c r="Q38" s="1997">
        <f>'17)Kleegras-GrünFu-Eig.mech(a)'!P78</f>
        <v>0</v>
      </c>
      <c r="R38" s="1998">
        <f>'17)Kleegras-GrünFu-Eig.mech(a)'!Q78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301.47770624999998</v>
      </c>
      <c r="N39" s="285">
        <f t="shared" si="13"/>
        <v>86.51337187499999</v>
      </c>
      <c r="O39" s="285">
        <f t="shared" si="13"/>
        <v>75.369426562499996</v>
      </c>
      <c r="P39" s="285">
        <f t="shared" si="13"/>
        <v>75.369426562499996</v>
      </c>
      <c r="Q39" s="285">
        <f t="shared" si="13"/>
        <v>64.225481250000001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75</v>
      </c>
      <c r="O41" s="285">
        <f>O$6/$M$6*$M$41</f>
        <v>62.5</v>
      </c>
      <c r="P41" s="285">
        <f>P$6/$M$6*$M$41</f>
        <v>62.5</v>
      </c>
      <c r="Q41" s="285">
        <f>Q$6/$M$6*$M$41</f>
        <v>50</v>
      </c>
      <c r="R41" s="1574">
        <f>R$6/$M$6*$M$41</f>
        <v>0</v>
      </c>
      <c r="AG41" s="3659"/>
      <c r="AH41" s="3659"/>
      <c r="AI41" s="3659"/>
      <c r="AJ41" s="3659"/>
      <c r="AK41" s="3659"/>
      <c r="AL41" s="3659"/>
      <c r="AM41" s="3659"/>
      <c r="AN41" s="3659"/>
      <c r="AO41" s="3659"/>
      <c r="AP41" s="3659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17.254999999999999</v>
      </c>
      <c r="P42" s="285">
        <f>P$6/$M$6*$M$42</f>
        <v>17.254999999999999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32.200000000000003</v>
      </c>
      <c r="P44" s="1979">
        <f>P$6/$M$6*$M$44</f>
        <v>32.200000000000003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749.29770624999992</v>
      </c>
      <c r="N45" s="1991">
        <f t="shared" si="14"/>
        <v>220.85937187499997</v>
      </c>
      <c r="O45" s="1991">
        <f t="shared" si="14"/>
        <v>187.32442656249998</v>
      </c>
      <c r="P45" s="1991">
        <f t="shared" si="14"/>
        <v>187.32442656249998</v>
      </c>
      <c r="Q45" s="1991">
        <f t="shared" si="14"/>
        <v>153.78948124999999</v>
      </c>
      <c r="R45" s="1994">
        <f t="shared" si="14"/>
        <v>0</v>
      </c>
      <c r="AG45" s="17"/>
      <c r="AH45" s="17"/>
      <c r="AI45" s="3659"/>
      <c r="AJ45" s="168"/>
      <c r="AK45" s="3659"/>
      <c r="AL45" s="3659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59"/>
      <c r="AJ46" s="168"/>
      <c r="AK46" s="3659"/>
      <c r="AL46" s="3659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59"/>
      <c r="AJ47" s="168"/>
      <c r="AK47" s="3659"/>
      <c r="AL47" s="3659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1934.0756872747452</v>
      </c>
      <c r="N48" s="2127">
        <f t="shared" si="16"/>
        <v>571.85912553371236</v>
      </c>
      <c r="O48" s="2041">
        <f t="shared" si="16"/>
        <v>483.51892181868635</v>
      </c>
      <c r="P48" s="2041">
        <f t="shared" si="16"/>
        <v>483.51892181868635</v>
      </c>
      <c r="Q48" s="2041">
        <f t="shared" si="16"/>
        <v>395.17871810366029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-1934.0756872747452</v>
      </c>
      <c r="N49" s="2125">
        <f t="shared" si="17"/>
        <v>-571.85912553371236</v>
      </c>
      <c r="O49" s="1772">
        <f t="shared" si="17"/>
        <v>-483.51892181868635</v>
      </c>
      <c r="P49" s="1772">
        <f t="shared" si="17"/>
        <v>-483.51892181868635</v>
      </c>
      <c r="Q49" s="1772">
        <f t="shared" si="17"/>
        <v>-395.17871810366029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-0.29851453731667621</v>
      </c>
      <c r="N50" s="2511">
        <f t="shared" si="18"/>
        <v>-0.29421161986608652</v>
      </c>
      <c r="O50" s="2168">
        <f t="shared" si="18"/>
        <v>-0.29851453731667627</v>
      </c>
      <c r="P50" s="2168">
        <f t="shared" si="18"/>
        <v>-0.29851453731667627</v>
      </c>
      <c r="Q50" s="2168">
        <f t="shared" si="18"/>
        <v>-0.30496891349256089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67.5</v>
      </c>
      <c r="P51" s="2185">
        <f t="shared" si="19"/>
        <v>67.5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-1664.0756872747452</v>
      </c>
      <c r="N52" s="2178">
        <f t="shared" si="20"/>
        <v>-490.85912553371236</v>
      </c>
      <c r="O52" s="2081">
        <f t="shared" si="20"/>
        <v>-416.01892181868635</v>
      </c>
      <c r="P52" s="2081">
        <f t="shared" si="20"/>
        <v>-416.01892181868635</v>
      </c>
      <c r="Q52" s="2081">
        <f t="shared" si="20"/>
        <v>-341.17871810366029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-0.25684143961641381</v>
      </c>
      <c r="N53" s="2511">
        <f t="shared" si="21"/>
        <v>-0.25253852216582412</v>
      </c>
      <c r="O53" s="2168">
        <f t="shared" si="21"/>
        <v>-0.25684143961641387</v>
      </c>
      <c r="P53" s="2168">
        <f t="shared" si="21"/>
        <v>-0.25684143961641387</v>
      </c>
      <c r="Q53" s="2168">
        <f t="shared" si="21"/>
        <v>-0.26329581579229849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1664.0756872747452</v>
      </c>
      <c r="N55" s="2038">
        <f t="shared" si="22"/>
        <v>490.85912553371236</v>
      </c>
      <c r="O55" s="2038">
        <f t="shared" si="22"/>
        <v>416.01892181868635</v>
      </c>
      <c r="P55" s="2038">
        <f t="shared" si="22"/>
        <v>416.01892181868635</v>
      </c>
      <c r="Q55" s="2038">
        <f t="shared" si="22"/>
        <v>341.17871810366029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2.5478670809948252</v>
      </c>
      <c r="N56" s="2103">
        <f t="shared" si="24"/>
        <v>2.5051821398849752</v>
      </c>
      <c r="O56" s="2103">
        <f t="shared" si="24"/>
        <v>2.5478670809948256</v>
      </c>
      <c r="P56" s="2103">
        <f t="shared" si="24"/>
        <v>2.5478670809948256</v>
      </c>
      <c r="Q56" s="2103">
        <f t="shared" si="24"/>
        <v>2.6118944926596002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15.924169256217658</v>
      </c>
      <c r="N57" s="3427">
        <f>IF($N$7=0,0,N$55/$N$9)</f>
        <v>15.657388374281096</v>
      </c>
      <c r="O57" s="3427">
        <f>IF($O$7=0,0,O$55/$O$9)</f>
        <v>15.92416925621766</v>
      </c>
      <c r="P57" s="3427">
        <f>IF($P$7=0,0,P$55/$P$9)</f>
        <v>15.92416925621766</v>
      </c>
      <c r="Q57" s="3427">
        <f>IF($Q$7=0,0,Q$55/$Q$9)</f>
        <v>16.324340579122502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8.1531746591834402</v>
      </c>
      <c r="N58" s="2134">
        <f t="shared" si="25"/>
        <v>8.0165828476319216</v>
      </c>
      <c r="O58" s="2134">
        <f t="shared" si="25"/>
        <v>8.153174659183442</v>
      </c>
      <c r="P58" s="2134">
        <f t="shared" si="25"/>
        <v>8.153174659183442</v>
      </c>
      <c r="Q58" s="2134">
        <f t="shared" si="25"/>
        <v>8.3580623765107216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0.25684143961641381</v>
      </c>
      <c r="N59" s="2136">
        <f t="shared" si="25"/>
        <v>0.25253852216582412</v>
      </c>
      <c r="O59" s="2136">
        <f t="shared" si="25"/>
        <v>0.25684143961641387</v>
      </c>
      <c r="P59" s="2136">
        <f t="shared" si="25"/>
        <v>0.25684143961641387</v>
      </c>
      <c r="Q59" s="2136">
        <f t="shared" si="25"/>
        <v>0.26329581579229849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7.1344844337892732E-2</v>
      </c>
      <c r="N60" s="2136">
        <f t="shared" si="26"/>
        <v>7.0149589490506703E-2</v>
      </c>
      <c r="O60" s="2136">
        <f t="shared" si="26"/>
        <v>7.1344844337892746E-2</v>
      </c>
      <c r="P60" s="2136">
        <f t="shared" si="26"/>
        <v>7.1344844337892746E-2</v>
      </c>
      <c r="Q60" s="2136">
        <f t="shared" si="26"/>
        <v>7.3137726608971804E-2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59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0.25684143961641381</v>
      </c>
      <c r="N61" s="2136">
        <f t="shared" si="27"/>
        <v>0.25253852216582412</v>
      </c>
      <c r="O61" s="2136">
        <f t="shared" si="27"/>
        <v>0.25684143961641387</v>
      </c>
      <c r="P61" s="2136">
        <f t="shared" si="27"/>
        <v>0.25684143961641387</v>
      </c>
      <c r="Q61" s="2136">
        <f t="shared" si="27"/>
        <v>0.26329581579229849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0.15410486376984828</v>
      </c>
      <c r="N62" s="2513">
        <f t="shared" si="28"/>
        <v>0.15152311329949444</v>
      </c>
      <c r="O62" s="2513">
        <f t="shared" si="28"/>
        <v>0.15410486376984828</v>
      </c>
      <c r="P62" s="2513">
        <f t="shared" si="28"/>
        <v>0.15410486376984828</v>
      </c>
      <c r="Q62" s="2513">
        <f t="shared" si="28"/>
        <v>0.15797748947537907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1664.0756872747452</v>
      </c>
      <c r="N63" s="1769">
        <f t="shared" si="29"/>
        <v>490.85912553371236</v>
      </c>
      <c r="O63" s="1769">
        <f t="shared" si="29"/>
        <v>416.01892181868635</v>
      </c>
      <c r="P63" s="1769">
        <f t="shared" si="29"/>
        <v>416.01892181868635</v>
      </c>
      <c r="Q63" s="1769">
        <f t="shared" si="29"/>
        <v>341.17871810366029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15.924169256217658</v>
      </c>
      <c r="N64" s="3427">
        <f>IF($N$7=0,0,N$63/$N$9)</f>
        <v>15.657388374281096</v>
      </c>
      <c r="O64" s="3427">
        <f>IF($O$7=0,0,O$63/$O$9)</f>
        <v>15.92416925621766</v>
      </c>
      <c r="P64" s="3427">
        <f>IF($P$7=0,0,P$63/$P$9)</f>
        <v>15.92416925621766</v>
      </c>
      <c r="Q64" s="3427">
        <f>IF($Q$7=0,0,Q$63/$Q$9)</f>
        <v>16.324340579122502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0.25684143961641381</v>
      </c>
      <c r="N65" s="2169">
        <f t="shared" si="30"/>
        <v>0.25253852216582412</v>
      </c>
      <c r="O65" s="2169">
        <f t="shared" si="30"/>
        <v>0.25684143961641387</v>
      </c>
      <c r="P65" s="2169">
        <f t="shared" si="30"/>
        <v>0.25684143961641387</v>
      </c>
      <c r="Q65" s="2169">
        <f t="shared" si="30"/>
        <v>0.26329581579229849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0.15410486376984828</v>
      </c>
      <c r="N66" s="2171">
        <f t="shared" si="30"/>
        <v>0.15152311329949444</v>
      </c>
      <c r="O66" s="2171">
        <f t="shared" si="30"/>
        <v>0.15410486376984828</v>
      </c>
      <c r="P66" s="2171">
        <f t="shared" si="30"/>
        <v>0.15410486376984828</v>
      </c>
      <c r="Q66" s="2171">
        <f t="shared" si="30"/>
        <v>0.15797748947537907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746.79667111402523</v>
      </c>
      <c r="N68" s="1772">
        <f t="shared" si="31"/>
        <v>224.01146319353234</v>
      </c>
      <c r="O68" s="1772">
        <f t="shared" si="31"/>
        <v>186.69916777850634</v>
      </c>
      <c r="P68" s="1772">
        <f t="shared" si="31"/>
        <v>186.69916777850634</v>
      </c>
      <c r="Q68" s="1772">
        <f t="shared" si="31"/>
        <v>149.38687236348028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0.11526418754653886</v>
      </c>
      <c r="N69" s="2031">
        <f t="shared" si="32"/>
        <v>0.11525001964991116</v>
      </c>
      <c r="O69" s="2031">
        <f t="shared" si="32"/>
        <v>0.11526418754653887</v>
      </c>
      <c r="P69" s="2031">
        <f t="shared" si="32"/>
        <v>0.11526418754653887</v>
      </c>
      <c r="Q69" s="2031">
        <f t="shared" si="32"/>
        <v>0.11528543939148041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989.45901616072001</v>
      </c>
      <c r="N70" s="1769">
        <f t="shared" si="33"/>
        <v>288.50166234018002</v>
      </c>
      <c r="O70" s="1769">
        <f t="shared" si="33"/>
        <v>247.36475404018</v>
      </c>
      <c r="P70" s="1769">
        <f t="shared" si="33"/>
        <v>247.36475404018</v>
      </c>
      <c r="Q70" s="1769">
        <f t="shared" si="33"/>
        <v>206.22784574018002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0.1527178601884118</v>
      </c>
      <c r="N71" s="2168">
        <f t="shared" si="34"/>
        <v>0.14842911063444977</v>
      </c>
      <c r="O71" s="2168">
        <f t="shared" si="34"/>
        <v>0.1527178601884118</v>
      </c>
      <c r="P71" s="2168">
        <f t="shared" si="34"/>
        <v>0.1527178601884118</v>
      </c>
      <c r="Q71" s="2168">
        <f t="shared" si="34"/>
        <v>0.15915098451935489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59"/>
      <c r="F97" s="3659"/>
      <c r="G97" s="3659"/>
      <c r="H97" s="3659"/>
      <c r="I97" s="3659"/>
      <c r="J97" s="3659"/>
      <c r="K97" s="3659"/>
      <c r="L97" s="203"/>
      <c r="M97" s="3659"/>
      <c r="N97" s="3659"/>
      <c r="O97" s="3659"/>
      <c r="P97" s="3659"/>
      <c r="Q97" s="3659"/>
      <c r="R97" s="3659"/>
      <c r="T97" s="3659"/>
      <c r="U97" s="3659"/>
      <c r="V97" s="3659"/>
      <c r="W97" s="3659"/>
      <c r="X97" s="3659"/>
      <c r="Y97" s="3659"/>
      <c r="Z97" s="3659"/>
      <c r="AA97" s="3659"/>
      <c r="AB97" s="3659"/>
      <c r="AC97" s="3659"/>
      <c r="AD97" s="3659"/>
      <c r="AE97" s="3659"/>
      <c r="AF97" s="3659"/>
    </row>
    <row r="98" spans="5:32" x14ac:dyDescent="0.2">
      <c r="E98" s="3659"/>
      <c r="F98" s="3659"/>
      <c r="G98" s="3659"/>
      <c r="H98" s="3659"/>
      <c r="I98" s="3659"/>
      <c r="J98" s="3659"/>
      <c r="K98" s="3659"/>
      <c r="L98" s="203"/>
      <c r="M98" s="3659"/>
      <c r="N98" s="3659"/>
      <c r="O98" s="3659"/>
      <c r="P98" s="3659"/>
      <c r="Q98" s="3659"/>
      <c r="R98" s="3659"/>
      <c r="T98" s="3659"/>
      <c r="U98" s="3659"/>
      <c r="V98" s="3659"/>
      <c r="W98" s="3659"/>
      <c r="X98" s="3659"/>
      <c r="Y98" s="3659"/>
      <c r="Z98" s="3659"/>
      <c r="AA98" s="3659"/>
      <c r="AB98" s="3659"/>
      <c r="AC98" s="3659"/>
      <c r="AD98" s="3659"/>
      <c r="AE98" s="3659"/>
      <c r="AF98" s="3659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7">
    <tabColor theme="6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74" customWidth="1"/>
    <col min="26" max="26" width="11.140625" style="530" customWidth="1"/>
    <col min="27" max="30" width="8.85546875" style="530" customWidth="1"/>
    <col min="31" max="33" width="11" style="3674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1623</v>
      </c>
      <c r="L2" s="4312"/>
      <c r="M2" s="4312"/>
      <c r="N2" s="4312"/>
      <c r="O2" s="4312"/>
      <c r="P2" s="4312"/>
      <c r="Q2" s="4313"/>
      <c r="R2" s="538"/>
      <c r="S2" s="3674"/>
      <c r="T2" s="3674"/>
      <c r="U2" s="523"/>
      <c r="V2" s="523"/>
      <c r="W2" s="523"/>
      <c r="X2" s="523"/>
      <c r="Y2" s="3674"/>
      <c r="Z2" s="523"/>
      <c r="AA2" s="523"/>
      <c r="AB2" s="523"/>
      <c r="AC2" s="523"/>
      <c r="AD2" s="523"/>
      <c r="AE2" s="3674"/>
      <c r="AF2" s="3674"/>
      <c r="AG2" s="3674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14" t="s">
        <v>1622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74"/>
      <c r="U3" s="3674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74"/>
      <c r="AF3" s="3674"/>
      <c r="AG3" s="367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7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74"/>
      <c r="AF4" s="3674"/>
      <c r="AG4" s="367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74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74"/>
      <c r="AF5" s="3674"/>
      <c r="AG5" s="3674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110</v>
      </c>
      <c r="L6" s="1676"/>
      <c r="M6" s="520">
        <f>$K$6*M7/100</f>
        <v>33</v>
      </c>
      <c r="N6" s="521">
        <f>$K$6*N7/100</f>
        <v>27.5</v>
      </c>
      <c r="O6" s="521">
        <f>$K$6*O7/100</f>
        <v>27.5</v>
      </c>
      <c r="P6" s="521">
        <f>$K$6*P7/100</f>
        <v>22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74"/>
      <c r="Z6" s="525"/>
      <c r="AA6" s="525"/>
      <c r="AB6" s="525"/>
      <c r="AC6" s="525"/>
      <c r="AD6" s="525"/>
      <c r="AE6" s="3674"/>
      <c r="AF6" s="3674"/>
      <c r="AG6" s="3674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25</v>
      </c>
      <c r="O7" s="466">
        <v>25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74"/>
      <c r="Z7" s="525"/>
      <c r="AA7" s="525"/>
      <c r="AB7" s="525"/>
      <c r="AC7" s="525"/>
      <c r="AD7" s="525"/>
      <c r="AE7" s="3674"/>
      <c r="AF7" s="3674"/>
      <c r="AG7" s="3674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74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74"/>
      <c r="Z9" s="540"/>
      <c r="AA9" s="540"/>
      <c r="AB9" s="540"/>
      <c r="AC9" s="540"/>
      <c r="AD9" s="540"/>
      <c r="AE9" s="3674"/>
      <c r="AF9" s="3674"/>
      <c r="AG9" s="3674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74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33</v>
      </c>
      <c r="L10" s="1679"/>
      <c r="M10" s="443">
        <v>33</v>
      </c>
      <c r="N10" s="444">
        <v>33</v>
      </c>
      <c r="O10" s="444">
        <v>33</v>
      </c>
      <c r="P10" s="444">
        <v>33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74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35</v>
      </c>
      <c r="L11" s="1682"/>
      <c r="M11" s="488">
        <v>35</v>
      </c>
      <c r="N11" s="489">
        <v>35</v>
      </c>
      <c r="O11" s="489">
        <v>35</v>
      </c>
      <c r="P11" s="489">
        <v>35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74" customFormat="1" ht="14.25" customHeight="1" x14ac:dyDescent="0.2">
      <c r="B12" s="566"/>
      <c r="C12" s="207"/>
      <c r="D12" s="50" t="s">
        <v>234</v>
      </c>
      <c r="F12" s="3297" t="s">
        <v>1016</v>
      </c>
      <c r="J12" s="512" t="s">
        <v>235</v>
      </c>
      <c r="K12" s="1614">
        <f>IF(M15=0,0,(M$15*M12+N$15*N12+O$15*O12+P$15*P12+Q$15*Q12)/K$15)</f>
        <v>6.6000000000000005</v>
      </c>
      <c r="L12" s="1679"/>
      <c r="M12" s="644">
        <v>6.6</v>
      </c>
      <c r="N12" s="645">
        <v>6.6</v>
      </c>
      <c r="O12" s="645">
        <v>6.6</v>
      </c>
      <c r="P12" s="645">
        <v>6.6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74" customFormat="1" ht="14.25" customHeight="1" x14ac:dyDescent="0.2">
      <c r="A13" s="36"/>
      <c r="B13" s="841"/>
      <c r="C13" s="173"/>
      <c r="D13" s="54"/>
      <c r="E13" s="36"/>
      <c r="F13" s="3675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2.31</v>
      </c>
      <c r="L13" s="1683"/>
      <c r="M13" s="641">
        <f>M12*M11/100</f>
        <v>2.31</v>
      </c>
      <c r="N13" s="642">
        <f>N12*N11/100</f>
        <v>2.31</v>
      </c>
      <c r="O13" s="642">
        <f>O12*O11/100</f>
        <v>2.31</v>
      </c>
      <c r="P13" s="642">
        <f>P12*P11/100</f>
        <v>2.31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74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104.5</v>
      </c>
      <c r="L14" s="1684"/>
      <c r="M14" s="251">
        <f>M6*(100-M8)/100</f>
        <v>31.35</v>
      </c>
      <c r="N14" s="252">
        <f>N6*(100-N8)/100</f>
        <v>26.125</v>
      </c>
      <c r="O14" s="252">
        <f>O6*(100-O8)/100</f>
        <v>26.125</v>
      </c>
      <c r="P14" s="252">
        <f>P6*(100-P8)/100</f>
        <v>20.9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74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316.66666666666663</v>
      </c>
      <c r="L15" s="1684"/>
      <c r="M15" s="251">
        <f>IF(M10=0,0,M14/M10*100)</f>
        <v>95</v>
      </c>
      <c r="N15" s="252">
        <f>IF(N10=0,0,N14/N10*100)</f>
        <v>79.166666666666657</v>
      </c>
      <c r="O15" s="252">
        <f>IF(O10=0,0,O14/O10*100)</f>
        <v>79.166666666666657</v>
      </c>
      <c r="P15" s="252">
        <f>IF(P10=0,0,P14/P10*100)</f>
        <v>63.333333333333329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3675" t="s">
        <v>831</v>
      </c>
      <c r="E16" s="607"/>
      <c r="F16" s="36"/>
      <c r="G16" s="607"/>
      <c r="H16" s="607"/>
      <c r="I16" s="607"/>
      <c r="J16" s="453" t="s">
        <v>832</v>
      </c>
      <c r="K16" s="4315">
        <f>SUM(M16:Q16)</f>
        <v>47.979797979797979</v>
      </c>
      <c r="L16" s="4311"/>
      <c r="M16" s="3670">
        <f>IF(M12=0,0,M15/M12)</f>
        <v>14.393939393939394</v>
      </c>
      <c r="N16" s="2420">
        <f t="shared" ref="N16:Q16" si="1">IF(N12=0,0,N15/N12)</f>
        <v>11.994949494949495</v>
      </c>
      <c r="O16" s="2420">
        <f t="shared" si="1"/>
        <v>11.994949494949495</v>
      </c>
      <c r="P16" s="2420">
        <f t="shared" si="1"/>
        <v>9.5959595959595951</v>
      </c>
      <c r="Q16" s="2421">
        <f t="shared" si="1"/>
        <v>0</v>
      </c>
      <c r="R16" s="539"/>
      <c r="S16" s="608"/>
      <c r="T16" s="608"/>
      <c r="U16" s="608"/>
      <c r="V16" s="608"/>
      <c r="W16" s="608"/>
      <c r="X16" s="608"/>
      <c r="Y16" s="3674"/>
      <c r="Z16" s="608"/>
      <c r="AA16" s="2731" t="s">
        <v>564</v>
      </c>
      <c r="AB16" s="608"/>
      <c r="AC16" s="3042">
        <v>0</v>
      </c>
      <c r="AD16" s="608"/>
      <c r="AE16" s="3674"/>
      <c r="AF16" s="3674"/>
      <c r="AG16" s="3674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97.185000000000002</v>
      </c>
      <c r="L17" s="1686"/>
      <c r="M17" s="251">
        <f>M14*(100-M9)/100</f>
        <v>29.155500000000004</v>
      </c>
      <c r="N17" s="254">
        <f>N14*(100-N9)/100</f>
        <v>24.296250000000001</v>
      </c>
      <c r="O17" s="254">
        <f>O14*(100-O9)/100</f>
        <v>24.296250000000001</v>
      </c>
      <c r="P17" s="254">
        <f>P14*(100-P9)/100</f>
        <v>19.436999999999998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74"/>
      <c r="Z17" s="525"/>
      <c r="AA17" s="3045" t="s">
        <v>361</v>
      </c>
      <c r="AB17" s="525"/>
      <c r="AC17" s="3044">
        <v>0</v>
      </c>
      <c r="AD17" s="525"/>
      <c r="AE17" s="3674"/>
      <c r="AF17" s="3674"/>
      <c r="AG17" s="3674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277.67142857142858</v>
      </c>
      <c r="L18" s="1686"/>
      <c r="M18" s="251">
        <f>IF(M11=0,0,M17/M11*100)</f>
        <v>83.301428571428588</v>
      </c>
      <c r="N18" s="254">
        <f>IF(N11=0,0,N17/N11*100)</f>
        <v>69.417857142857144</v>
      </c>
      <c r="O18" s="254">
        <f>IF(O11=0,0,O17/O11*100)</f>
        <v>69.417857142857144</v>
      </c>
      <c r="P18" s="254">
        <f>IF(P11=0,0,P17/P11*100)</f>
        <v>55.534285714285701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74"/>
      <c r="Z18" s="525"/>
      <c r="AA18" s="525"/>
      <c r="AB18" s="525"/>
      <c r="AC18" s="525"/>
      <c r="AD18" s="525"/>
      <c r="AE18" s="3674"/>
      <c r="AF18" s="3674"/>
      <c r="AG18" s="3674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3671" t="s">
        <v>1203</v>
      </c>
      <c r="K19" s="1687">
        <f t="shared" si="0"/>
        <v>42.071428571428577</v>
      </c>
      <c r="L19" s="1688"/>
      <c r="M19" s="504">
        <f>IF(M12=0,0,1/M12*M18)</f>
        <v>12.621428571428574</v>
      </c>
      <c r="N19" s="505">
        <f>IF(N12=0,0,1/N12*N18)</f>
        <v>10.517857142857144</v>
      </c>
      <c r="O19" s="505">
        <f>IF(O12=0,0,1/O12*O18)</f>
        <v>10.517857142857144</v>
      </c>
      <c r="P19" s="505">
        <f>IF(P12=0,0,1/P12*P18)</f>
        <v>8.4142857142857128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74"/>
      <c r="Z19" s="525"/>
      <c r="AA19" s="525"/>
      <c r="AB19" s="525"/>
      <c r="AC19" s="525"/>
      <c r="AD19" s="525"/>
      <c r="AE19" s="3674"/>
      <c r="AF19" s="3674"/>
      <c r="AG19" s="3674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74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6.2</v>
      </c>
      <c r="L20" s="1689"/>
      <c r="M20" s="312">
        <v>6.2</v>
      </c>
      <c r="N20" s="313">
        <v>6.2</v>
      </c>
      <c r="O20" s="313">
        <v>6.2</v>
      </c>
      <c r="P20" s="313">
        <v>6.2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74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10.333333333333334</v>
      </c>
      <c r="L21" s="1689"/>
      <c r="M21" s="515">
        <f>IF($G21=0,0,M20/$G21)</f>
        <v>10.333333333333334</v>
      </c>
      <c r="N21" s="516">
        <f>IF($G21=0,0,N20/$G21)</f>
        <v>10.333333333333334</v>
      </c>
      <c r="O21" s="516">
        <f>IF($G21=0,0,O20/$G21)</f>
        <v>10.333333333333334</v>
      </c>
      <c r="P21" s="516">
        <f>IF($G21=0,0,P20/$G21)</f>
        <v>10.333333333333334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74"/>
      <c r="Z21" s="525"/>
      <c r="AA21" s="525"/>
      <c r="AB21" s="525"/>
      <c r="AC21" s="525"/>
      <c r="AD21" s="525"/>
      <c r="AE21" s="3674"/>
      <c r="AF21" s="3674"/>
      <c r="AG21" s="3674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6025.47</v>
      </c>
      <c r="L22" s="1690"/>
      <c r="M22" s="446">
        <f t="shared" ref="M22:Q23" si="2">M$17*M20*10</f>
        <v>1807.6410000000001</v>
      </c>
      <c r="N22" s="448">
        <f t="shared" si="2"/>
        <v>1506.3675000000001</v>
      </c>
      <c r="O22" s="448">
        <f t="shared" si="2"/>
        <v>1506.3675000000001</v>
      </c>
      <c r="P22" s="448">
        <f t="shared" si="2"/>
        <v>1205.0939999999998</v>
      </c>
      <c r="Q22" s="450">
        <f t="shared" si="2"/>
        <v>0</v>
      </c>
      <c r="R22" s="539"/>
      <c r="S22" s="539"/>
      <c r="T22" s="525"/>
      <c r="U22" s="525"/>
      <c r="V22" s="525"/>
      <c r="W22" s="525"/>
      <c r="X22" s="525"/>
      <c r="Y22" s="3674"/>
      <c r="Z22" s="525"/>
      <c r="AA22" s="525"/>
      <c r="AB22" s="525"/>
      <c r="AC22" s="525"/>
      <c r="AD22" s="525"/>
      <c r="AE22" s="3674"/>
      <c r="AF22" s="3674"/>
      <c r="AG22" s="3674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10042.450000000001</v>
      </c>
      <c r="L23" s="1691"/>
      <c r="M23" s="447">
        <f t="shared" si="2"/>
        <v>3012.7350000000006</v>
      </c>
      <c r="N23" s="449">
        <f t="shared" si="2"/>
        <v>2510.6125000000002</v>
      </c>
      <c r="O23" s="449">
        <f t="shared" si="2"/>
        <v>2510.6125000000002</v>
      </c>
      <c r="P23" s="449">
        <f t="shared" si="2"/>
        <v>2008.4899999999998</v>
      </c>
      <c r="Q23" s="451">
        <f t="shared" si="2"/>
        <v>0</v>
      </c>
      <c r="R23" s="539"/>
      <c r="S23" s="539"/>
      <c r="T23" s="525"/>
      <c r="U23" s="525"/>
      <c r="V23" s="525"/>
      <c r="W23" s="525"/>
      <c r="X23" s="525"/>
      <c r="Y23" s="3674"/>
      <c r="Z23" s="525"/>
      <c r="AA23" s="525"/>
      <c r="AB23" s="525"/>
      <c r="AC23" s="525"/>
      <c r="AD23" s="525"/>
      <c r="AE23" s="3674"/>
      <c r="AF23" s="3674"/>
      <c r="AG23" s="3674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74"/>
      <c r="Z24" s="525"/>
      <c r="AA24" s="525"/>
      <c r="AB24" s="525"/>
      <c r="AC24" s="525"/>
      <c r="AD24" s="525"/>
      <c r="AE24" s="3674"/>
      <c r="AF24" s="3674"/>
      <c r="AG24" s="367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74"/>
      <c r="Z25" s="527"/>
      <c r="AA25" s="527"/>
      <c r="AB25" s="527"/>
      <c r="AC25" s="527"/>
      <c r="AD25" s="527"/>
      <c r="AE25" s="3674"/>
      <c r="AF25" s="3674"/>
      <c r="AG25" s="3674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74"/>
      <c r="I26" s="3674"/>
      <c r="J26" s="3674"/>
      <c r="K26" s="1694"/>
      <c r="L26" s="1631">
        <f>IF($B26=0,0,VLOOKUP($B26,Ausglleist!$C$8:$O32,13,FALSE))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 s="3674"/>
      <c r="Z26" s="528"/>
      <c r="AA26" s="528"/>
      <c r="AB26" s="528"/>
      <c r="AC26" s="528"/>
      <c r="AD26" s="528"/>
      <c r="AE26" s="3674"/>
      <c r="AF26" s="3674"/>
      <c r="AG26" s="3674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74"/>
      <c r="I27" s="3674"/>
      <c r="J27" s="3674"/>
      <c r="K27" s="1694"/>
      <c r="L27" s="1631">
        <f>IF($B27=0,0,VLOOKUP($B27,Ausglleist!$C$8:$O33,13,FALSE))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 s="3674"/>
      <c r="Z27" s="528"/>
      <c r="AA27" s="528"/>
      <c r="AB27" s="528"/>
      <c r="AC27" s="528"/>
      <c r="AD27" s="528"/>
      <c r="AE27" s="3674"/>
      <c r="AF27" s="3674"/>
      <c r="AG27" s="3674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74"/>
      <c r="I28" s="3674"/>
      <c r="J28" s="3674"/>
      <c r="K28" s="1694"/>
      <c r="L28" s="1631">
        <f>IF($B28=0,0,VLOOKUP($B28,Ausglleist!$C$8:$O34,13,FALSE))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 s="3674"/>
      <c r="Z28" s="528"/>
      <c r="AA28" s="528"/>
      <c r="AB28" s="528"/>
      <c r="AC28" s="528"/>
      <c r="AD28" s="528"/>
      <c r="AE28" s="3674"/>
      <c r="AF28" s="3674"/>
      <c r="AG28" s="3674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IF($B29=0,0,VLOOKUP($B29,Ausglleist!$C$8:$O35,13,FALSE))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 s="3674"/>
      <c r="Z29" s="528"/>
      <c r="AA29" s="528"/>
      <c r="AB29" s="528"/>
      <c r="AC29" s="528"/>
      <c r="AD29" s="528"/>
      <c r="AE29" s="3674"/>
      <c r="AF29" s="3674"/>
      <c r="AG29" s="3674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67.5</v>
      </c>
      <c r="O30" s="254">
        <f>$L30*O7/100</f>
        <v>67.5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74"/>
      <c r="Z30" s="528"/>
      <c r="AA30" s="528"/>
      <c r="AB30" s="528"/>
      <c r="AC30" s="528"/>
      <c r="AD30" s="528"/>
      <c r="AE30" s="3674"/>
      <c r="AF30" s="3674"/>
      <c r="AG30" s="3674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74"/>
      <c r="Z31" s="528"/>
      <c r="AA31" s="528"/>
      <c r="AB31" s="528"/>
      <c r="AC31" s="528"/>
      <c r="AD31" s="528"/>
      <c r="AE31" s="3674"/>
      <c r="AF31" s="3674"/>
      <c r="AG31" s="3674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61.79249999999999</v>
      </c>
      <c r="M32" s="460">
        <f>$L32*M$7/100</f>
        <v>18.537749999999996</v>
      </c>
      <c r="N32" s="461">
        <f>$L32*N$7/100</f>
        <v>15.448124999999997</v>
      </c>
      <c r="O32" s="461">
        <f>$L32*O$7/100</f>
        <v>15.448124999999997</v>
      </c>
      <c r="P32" s="461">
        <f>$L32*P$7/100</f>
        <v>12.358499999999999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3.85</v>
      </c>
      <c r="G33" s="454" t="s">
        <v>802</v>
      </c>
      <c r="H33" s="690">
        <f>F33*(100+H32)/100</f>
        <v>4.1194999999999995</v>
      </c>
      <c r="I33" s="453" t="s">
        <v>249</v>
      </c>
      <c r="J33" s="455">
        <v>15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677.64530166666657</v>
      </c>
      <c r="M34" s="460">
        <f>$L34*M$7/100</f>
        <v>203.29359049999997</v>
      </c>
      <c r="N34" s="461">
        <f>$L34*N$7/100</f>
        <v>169.41132541666667</v>
      </c>
      <c r="O34" s="461">
        <f>$L34*O$7/100</f>
        <v>169.41132541666667</v>
      </c>
      <c r="P34" s="461">
        <f>$L34*P$7/100</f>
        <v>135.52906033333332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74"/>
      <c r="Z34" s="529"/>
      <c r="AA34" s="529"/>
      <c r="AB34" s="529"/>
      <c r="AC34" s="529"/>
      <c r="AD34" s="529"/>
      <c r="AE34" s="3674"/>
      <c r="AF34" s="3674"/>
      <c r="AG34" s="367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3672" t="s">
        <v>1620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3536" t="s">
        <v>1621</v>
      </c>
      <c r="U35" s="529"/>
      <c r="V35" s="529"/>
      <c r="W35" s="529"/>
      <c r="X35" s="529"/>
      <c r="Y35" s="3674"/>
      <c r="Z35" s="529"/>
      <c r="AA35" s="529"/>
      <c r="AB35" s="529"/>
      <c r="AC35" s="529"/>
      <c r="AD35" s="529"/>
      <c r="AE35" s="3674"/>
      <c r="AF35" s="3674"/>
      <c r="AG35" s="3674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74"/>
      <c r="H36" s="116">
        <v>2.7</v>
      </c>
      <c r="I36" s="3673">
        <v>-1.35</v>
      </c>
      <c r="J36" s="159"/>
      <c r="K36" s="1703">
        <f>H36*$K$14+(I36*$K$6)</f>
        <v>133.65000000000003</v>
      </c>
      <c r="L36" s="1704">
        <f>K36*$F36</f>
        <v>229.55278500000006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74"/>
      <c r="Z36" s="528"/>
      <c r="AA36" s="528"/>
      <c r="AB36" s="528"/>
      <c r="AC36" s="528"/>
      <c r="AD36" s="528"/>
      <c r="AE36" s="3674"/>
      <c r="AF36" s="3674"/>
      <c r="AG36" s="3674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74"/>
      <c r="H37" s="116">
        <v>0.7</v>
      </c>
      <c r="I37" s="117"/>
      <c r="J37" s="159"/>
      <c r="K37" s="1703">
        <f t="shared" ref="K37:K39" si="3">H37*$K$14+(I37*$K$6)</f>
        <v>73.149999999999991</v>
      </c>
      <c r="L37" s="1704">
        <f>K37*$F37</f>
        <v>82.696074999999979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74"/>
      <c r="Z37" s="528"/>
      <c r="AA37" s="528"/>
      <c r="AB37" s="528"/>
      <c r="AC37" s="528"/>
      <c r="AD37" s="528"/>
      <c r="AE37" s="3674"/>
      <c r="AF37" s="3674"/>
      <c r="AG37" s="3674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74"/>
      <c r="H38" s="116">
        <v>3.1</v>
      </c>
      <c r="I38" s="117"/>
      <c r="J38" s="159"/>
      <c r="K38" s="1703">
        <f t="shared" si="3"/>
        <v>323.95</v>
      </c>
      <c r="L38" s="1704">
        <f>K38*$F38</f>
        <v>340.52544166666661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74"/>
      <c r="Z38" s="528"/>
      <c r="AA38" s="528"/>
      <c r="AB38" s="528"/>
      <c r="AC38" s="528"/>
      <c r="AD38" s="528"/>
      <c r="AE38" s="3674"/>
      <c r="AF38" s="3674"/>
      <c r="AG38" s="3674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</v>
      </c>
      <c r="I39" s="120"/>
      <c r="J39" s="161"/>
      <c r="K39" s="1705">
        <f t="shared" si="3"/>
        <v>41.800000000000004</v>
      </c>
      <c r="L39" s="1706">
        <f>K39*$F39</f>
        <v>24.871000000000002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74"/>
      <c r="Z39" s="528"/>
      <c r="AA39" s="528"/>
      <c r="AB39" s="528"/>
      <c r="AC39" s="528"/>
      <c r="AD39" s="528"/>
      <c r="AE39" s="3674"/>
      <c r="AF39" s="3674"/>
      <c r="AG39" s="3674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74"/>
      <c r="Z40" s="529"/>
      <c r="AA40" s="529"/>
      <c r="AB40" s="529"/>
      <c r="AC40" s="529"/>
      <c r="AD40" s="529"/>
      <c r="AE40" s="3674"/>
      <c r="AF40" s="3674"/>
      <c r="AG40" s="3674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74"/>
      <c r="Z41" s="529"/>
      <c r="AA41" s="529"/>
      <c r="AB41" s="529"/>
      <c r="AC41" s="529"/>
      <c r="AD41" s="529"/>
      <c r="AE41" s="3674"/>
      <c r="AF41" s="3674"/>
      <c r="AG41" s="3674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74"/>
      <c r="Z42" s="528"/>
      <c r="AA42" s="528"/>
      <c r="AB42" s="528"/>
      <c r="AC42" s="528"/>
      <c r="AD42" s="528"/>
      <c r="AE42" s="3674"/>
      <c r="AF42" s="3674"/>
      <c r="AG42" s="3674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74"/>
      <c r="J43" s="359" t="s">
        <v>266</v>
      </c>
      <c r="K43" s="1710"/>
      <c r="L43" s="1693">
        <f>SUM(M43:Q43)</f>
        <v>232.37540508871999</v>
      </c>
      <c r="M43" s="484">
        <f>SUM(Z46:Z56)</f>
        <v>58.093851272179997</v>
      </c>
      <c r="N43" s="484">
        <f>SUM(AA46:AA56)</f>
        <v>58.093851272179997</v>
      </c>
      <c r="O43" s="484">
        <f>SUM(AB46:AB56)</f>
        <v>58.093851272179997</v>
      </c>
      <c r="P43" s="484">
        <f>SUM(AC46:AC56)</f>
        <v>58.093851272179997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74"/>
      <c r="Z43" s="526" t="s">
        <v>874</v>
      </c>
      <c r="AA43" s="529"/>
      <c r="AB43" s="529"/>
      <c r="AC43" s="529"/>
      <c r="AD43" s="529"/>
      <c r="AE43" s="3674"/>
      <c r="AF43" s="3674"/>
      <c r="AG43" s="3674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74"/>
      <c r="Z44" s="543" t="s">
        <v>328</v>
      </c>
      <c r="AA44" s="544"/>
      <c r="AB44" s="544"/>
      <c r="AC44" s="544"/>
      <c r="AD44" s="545"/>
      <c r="AE44" s="3674"/>
      <c r="AF44" s="3674"/>
      <c r="AG44" s="3674"/>
      <c r="AH44" s="526"/>
      <c r="AI44" s="3674"/>
      <c r="AJ44" s="3674"/>
      <c r="AK44" s="3674"/>
      <c r="AL44" s="3674"/>
      <c r="AM44" s="367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74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74"/>
      <c r="AF45" s="3674"/>
      <c r="AG45" s="3674"/>
      <c r="AH45" s="526"/>
      <c r="AI45" s="3674"/>
      <c r="AJ45" s="3674"/>
      <c r="AK45" s="3674"/>
      <c r="AL45" s="3674"/>
      <c r="AM45" s="3674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468" t="str">
        <f>IF($B46=0,0,VLOOKUP($B46,Arbeitsgänge!$B$27:$T$80,7))</f>
        <v>120 Kw</v>
      </c>
      <c r="H46" s="507">
        <f>IF($B46=0,0,VLOOKUP($B46,Arbeitsgänge!$B$27:$O$79,12))</f>
        <v>1.45</v>
      </c>
      <c r="I46" s="469">
        <f>IF($B46=0,0,VLOOKUP($B46,Arbeitsgänge!$B$27:$T$80,14))</f>
        <v>91.198364600000005</v>
      </c>
      <c r="J46" s="593">
        <f t="shared" ref="J46:J56" si="4">SUM(M46:Q46)</f>
        <v>0.52</v>
      </c>
      <c r="K46" s="1651">
        <f t="shared" ref="K46:K56" si="5">J46*H46</f>
        <v>0.754</v>
      </c>
      <c r="L46" s="1704">
        <f t="shared" ref="L46:L56" si="6">J46*I46</f>
        <v>47.423149592000001</v>
      </c>
      <c r="M46" s="317">
        <v>0.13</v>
      </c>
      <c r="N46" s="318">
        <v>0.13</v>
      </c>
      <c r="O46" s="318">
        <v>0.13</v>
      </c>
      <c r="P46" s="318">
        <v>0.13</v>
      </c>
      <c r="Q46" s="319"/>
      <c r="R46" s="542"/>
      <c r="S46" s="542"/>
      <c r="T46" s="478">
        <f t="shared" ref="T46:X55" si="7">IF(M46&lt;&gt;0,M46*$H46,0)</f>
        <v>0.1885</v>
      </c>
      <c r="U46" s="479">
        <f t="shared" si="7"/>
        <v>0.1885</v>
      </c>
      <c r="V46" s="479">
        <f t="shared" si="7"/>
        <v>0.1885</v>
      </c>
      <c r="W46" s="479">
        <f t="shared" si="7"/>
        <v>0.1885</v>
      </c>
      <c r="X46" s="480">
        <f t="shared" si="7"/>
        <v>0</v>
      </c>
      <c r="Y46" s="3674"/>
      <c r="Z46" s="478">
        <f t="shared" ref="Z46:AD55" si="8">IF(M46&lt;&gt;0,M46*$I46,0)</f>
        <v>11.855787398</v>
      </c>
      <c r="AA46" s="479">
        <f t="shared" si="8"/>
        <v>11.855787398</v>
      </c>
      <c r="AB46" s="479">
        <f t="shared" si="8"/>
        <v>11.855787398</v>
      </c>
      <c r="AC46" s="479">
        <f t="shared" si="8"/>
        <v>11.855787398</v>
      </c>
      <c r="AD46" s="480">
        <f t="shared" si="8"/>
        <v>0</v>
      </c>
      <c r="AE46" s="3674"/>
      <c r="AF46" s="3674"/>
      <c r="AG46" s="3674"/>
      <c r="AH46" s="526"/>
      <c r="AI46" s="3674"/>
      <c r="AJ46" s="3674"/>
      <c r="AK46" s="3674"/>
      <c r="AL46" s="3674"/>
      <c r="AM46" s="3674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7</v>
      </c>
      <c r="C47" s="104"/>
      <c r="D47" s="137"/>
      <c r="E47" s="8"/>
      <c r="F47" s="8"/>
      <c r="G47" s="468" t="str">
        <f>IF($B47=0,0,VLOOKUP($B47,Arbeitsgänge!$B$27:$T$80,7))</f>
        <v>67 Kw</v>
      </c>
      <c r="H47" s="507">
        <f>IF($B47=0,0,VLOOKUP($B47,Arbeitsgänge!$B$27:$O$79,12))</f>
        <v>1.06</v>
      </c>
      <c r="I47" s="469">
        <f>IF($B47=0,0,VLOOKUP($B47,Arbeitsgänge!$B$27:$T$80,14))</f>
        <v>44.858599975999994</v>
      </c>
      <c r="J47" s="593">
        <f t="shared" si="4"/>
        <v>0.52</v>
      </c>
      <c r="K47" s="1651">
        <f t="shared" si="5"/>
        <v>0.55120000000000002</v>
      </c>
      <c r="L47" s="1704">
        <f t="shared" si="6"/>
        <v>23.326471987519998</v>
      </c>
      <c r="M47" s="317">
        <v>0.13</v>
      </c>
      <c r="N47" s="318">
        <v>0.13</v>
      </c>
      <c r="O47" s="318">
        <v>0.13</v>
      </c>
      <c r="P47" s="318">
        <v>0.13</v>
      </c>
      <c r="Q47" s="319"/>
      <c r="R47" s="542"/>
      <c r="S47" s="542"/>
      <c r="T47" s="478">
        <f t="shared" si="7"/>
        <v>0.13780000000000001</v>
      </c>
      <c r="U47" s="479">
        <f t="shared" si="7"/>
        <v>0.13780000000000001</v>
      </c>
      <c r="V47" s="479">
        <f t="shared" si="7"/>
        <v>0.13780000000000001</v>
      </c>
      <c r="W47" s="479">
        <f t="shared" si="7"/>
        <v>0.13780000000000001</v>
      </c>
      <c r="X47" s="480">
        <f t="shared" si="7"/>
        <v>0</v>
      </c>
      <c r="Y47" s="3674"/>
      <c r="Z47" s="478">
        <f t="shared" si="8"/>
        <v>5.8316179968799995</v>
      </c>
      <c r="AA47" s="479">
        <f t="shared" si="8"/>
        <v>5.8316179968799995</v>
      </c>
      <c r="AB47" s="479">
        <f t="shared" si="8"/>
        <v>5.8316179968799995</v>
      </c>
      <c r="AC47" s="479">
        <f t="shared" si="8"/>
        <v>5.8316179968799995</v>
      </c>
      <c r="AD47" s="480">
        <f t="shared" si="8"/>
        <v>0</v>
      </c>
      <c r="AE47" s="3674"/>
      <c r="AF47" s="3674"/>
      <c r="AG47" s="3674"/>
      <c r="AH47" s="526"/>
      <c r="AI47" s="3674"/>
      <c r="AJ47" s="3674"/>
      <c r="AK47" s="3674"/>
      <c r="AL47" s="3674"/>
      <c r="AM47" s="3674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1</v>
      </c>
      <c r="K48" s="1651">
        <f t="shared" si="5"/>
        <v>0.37</v>
      </c>
      <c r="L48" s="1704">
        <f t="shared" si="6"/>
        <v>5.4505114075999996</v>
      </c>
      <c r="M48" s="317">
        <v>0.25</v>
      </c>
      <c r="N48" s="318">
        <v>0.25</v>
      </c>
      <c r="O48" s="318">
        <v>0.25</v>
      </c>
      <c r="P48" s="318">
        <v>0.25</v>
      </c>
      <c r="Q48" s="319"/>
      <c r="R48" s="542"/>
      <c r="S48" s="542"/>
      <c r="T48" s="478">
        <f t="shared" si="7"/>
        <v>9.2499999999999999E-2</v>
      </c>
      <c r="U48" s="479">
        <f t="shared" si="7"/>
        <v>9.2499999999999999E-2</v>
      </c>
      <c r="V48" s="479">
        <f t="shared" si="7"/>
        <v>9.2499999999999999E-2</v>
      </c>
      <c r="W48" s="479">
        <f t="shared" si="7"/>
        <v>9.2499999999999999E-2</v>
      </c>
      <c r="X48" s="480">
        <f t="shared" si="7"/>
        <v>0</v>
      </c>
      <c r="Y48" s="3674"/>
      <c r="Z48" s="478">
        <f t="shared" si="8"/>
        <v>1.3626278518999999</v>
      </c>
      <c r="AA48" s="479">
        <f t="shared" si="8"/>
        <v>1.3626278518999999</v>
      </c>
      <c r="AB48" s="479">
        <f t="shared" si="8"/>
        <v>1.3626278518999999</v>
      </c>
      <c r="AC48" s="479">
        <f t="shared" si="8"/>
        <v>1.3626278518999999</v>
      </c>
      <c r="AD48" s="480">
        <f t="shared" si="8"/>
        <v>0</v>
      </c>
      <c r="AE48" s="3674"/>
      <c r="AF48" s="3674"/>
      <c r="AG48" s="3674"/>
      <c r="AH48" s="526"/>
      <c r="AI48" s="3674"/>
      <c r="AJ48" s="3674"/>
      <c r="AK48" s="3674"/>
      <c r="AL48" s="3674"/>
      <c r="AM48" s="3674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0.82</v>
      </c>
      <c r="I49" s="469">
        <f>IF($B49=0,0,VLOOKUP($B49,Arbeitsgänge!$B$27:$T$80,14))</f>
        <v>11.921917173599995</v>
      </c>
      <c r="J49" s="593">
        <f t="shared" si="4"/>
        <v>1</v>
      </c>
      <c r="K49" s="1651">
        <f>J49*H49</f>
        <v>0.82</v>
      </c>
      <c r="L49" s="1704">
        <f>J49*I49</f>
        <v>11.921917173599995</v>
      </c>
      <c r="M49" s="317">
        <v>0.25</v>
      </c>
      <c r="N49" s="318">
        <v>0.25</v>
      </c>
      <c r="O49" s="318">
        <v>0.25</v>
      </c>
      <c r="P49" s="318">
        <v>0.25</v>
      </c>
      <c r="Q49" s="319"/>
      <c r="R49" s="542"/>
      <c r="S49" s="542"/>
      <c r="T49" s="478">
        <f t="shared" si="7"/>
        <v>0.20499999999999999</v>
      </c>
      <c r="U49" s="479">
        <f t="shared" si="7"/>
        <v>0.20499999999999999</v>
      </c>
      <c r="V49" s="479">
        <f t="shared" si="7"/>
        <v>0.20499999999999999</v>
      </c>
      <c r="W49" s="479">
        <f t="shared" si="7"/>
        <v>0.20499999999999999</v>
      </c>
      <c r="X49" s="480">
        <f t="shared" si="7"/>
        <v>0</v>
      </c>
      <c r="Y49" s="3674"/>
      <c r="Z49" s="478">
        <f t="shared" si="8"/>
        <v>2.9804792933999988</v>
      </c>
      <c r="AA49" s="479">
        <f t="shared" si="8"/>
        <v>2.9804792933999988</v>
      </c>
      <c r="AB49" s="479">
        <f t="shared" si="8"/>
        <v>2.9804792933999988</v>
      </c>
      <c r="AC49" s="479">
        <f t="shared" si="8"/>
        <v>2.9804792933999988</v>
      </c>
      <c r="AD49" s="480">
        <f t="shared" si="8"/>
        <v>0</v>
      </c>
      <c r="AE49" s="3674"/>
      <c r="AF49" s="3674"/>
      <c r="AG49" s="3674"/>
      <c r="AH49" s="526"/>
      <c r="AI49" s="3674"/>
      <c r="AJ49" s="3674"/>
      <c r="AK49" s="3674"/>
      <c r="AL49" s="3674"/>
      <c r="AM49" s="3674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29</v>
      </c>
      <c r="C50" s="104"/>
      <c r="D50" s="137"/>
      <c r="E50" s="8"/>
      <c r="F50" s="8"/>
      <c r="G50" s="468" t="str">
        <f>IF($B50=0,0,VLOOKUP($B50,Arbeitsgänge!$B$27:$T$80,7))</f>
        <v>120 Kw</v>
      </c>
      <c r="H50" s="507">
        <f>IF($B50=0,0,VLOOKUP($B50,Arbeitsgänge!$B$27:$O$79,12))</f>
        <v>0.3</v>
      </c>
      <c r="I50" s="469">
        <f>IF($B50=0,0,VLOOKUP($B50,Arbeitsgänge!$B$27:$T$80,14))</f>
        <v>18.5916444</v>
      </c>
      <c r="J50" s="593">
        <f t="shared" si="4"/>
        <v>4</v>
      </c>
      <c r="K50" s="1651">
        <f t="shared" si="5"/>
        <v>1.2</v>
      </c>
      <c r="L50" s="1704">
        <f t="shared" si="6"/>
        <v>74.366577599999999</v>
      </c>
      <c r="M50" s="317">
        <v>1</v>
      </c>
      <c r="N50" s="318">
        <v>1</v>
      </c>
      <c r="O50" s="318">
        <v>1</v>
      </c>
      <c r="P50" s="318">
        <v>1</v>
      </c>
      <c r="Q50" s="319">
        <f t="shared" ref="Q50" si="9">Q18/10/12</f>
        <v>0</v>
      </c>
      <c r="R50" s="542"/>
      <c r="S50" s="542"/>
      <c r="T50" s="478">
        <f t="shared" si="7"/>
        <v>0.3</v>
      </c>
      <c r="U50" s="479">
        <f t="shared" si="7"/>
        <v>0.3</v>
      </c>
      <c r="V50" s="479">
        <f t="shared" si="7"/>
        <v>0.3</v>
      </c>
      <c r="W50" s="479">
        <f t="shared" si="7"/>
        <v>0.3</v>
      </c>
      <c r="X50" s="480">
        <f t="shared" si="7"/>
        <v>0</v>
      </c>
      <c r="Y50" s="3674"/>
      <c r="Z50" s="478">
        <f t="shared" si="8"/>
        <v>18.5916444</v>
      </c>
      <c r="AA50" s="479">
        <f t="shared" si="8"/>
        <v>18.5916444</v>
      </c>
      <c r="AB50" s="479">
        <f t="shared" si="8"/>
        <v>18.5916444</v>
      </c>
      <c r="AC50" s="479">
        <f t="shared" si="8"/>
        <v>18.5916444</v>
      </c>
      <c r="AD50" s="480">
        <f t="shared" si="8"/>
        <v>0</v>
      </c>
      <c r="AE50" s="3674"/>
      <c r="AF50" s="3674"/>
      <c r="AG50" s="3674"/>
      <c r="AH50" s="526"/>
      <c r="AI50" s="3674"/>
      <c r="AJ50" s="3674"/>
      <c r="AK50" s="3674"/>
      <c r="AL50" s="3674"/>
      <c r="AM50" s="3674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30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0.35</v>
      </c>
      <c r="I51" s="469">
        <f>IF($B51=0,0,VLOOKUP($B51,Arbeitsgänge!$B$27:$T$80,14))</f>
        <v>8.5775754679999991</v>
      </c>
      <c r="J51" s="593">
        <f t="shared" si="4"/>
        <v>4</v>
      </c>
      <c r="K51" s="1651">
        <f t="shared" si="5"/>
        <v>1.4</v>
      </c>
      <c r="L51" s="1704">
        <f t="shared" si="6"/>
        <v>34.310301871999997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7"/>
        <v>0.35</v>
      </c>
      <c r="U51" s="479">
        <f t="shared" si="7"/>
        <v>0.35</v>
      </c>
      <c r="V51" s="479">
        <f t="shared" si="7"/>
        <v>0.35</v>
      </c>
      <c r="W51" s="479">
        <f t="shared" si="7"/>
        <v>0.35</v>
      </c>
      <c r="X51" s="480">
        <f t="shared" si="7"/>
        <v>0</v>
      </c>
      <c r="Y51" s="3674"/>
      <c r="Z51" s="478">
        <f t="shared" si="8"/>
        <v>8.5775754679999991</v>
      </c>
      <c r="AA51" s="479">
        <f t="shared" si="8"/>
        <v>8.5775754679999991</v>
      </c>
      <c r="AB51" s="479">
        <f t="shared" si="8"/>
        <v>8.5775754679999991</v>
      </c>
      <c r="AC51" s="479">
        <f t="shared" si="8"/>
        <v>8.5775754679999991</v>
      </c>
      <c r="AD51" s="480">
        <f t="shared" si="8"/>
        <v>0</v>
      </c>
      <c r="AE51" s="3674"/>
      <c r="AF51" s="3674"/>
      <c r="AG51" s="3674"/>
      <c r="AH51" s="526"/>
      <c r="AI51" s="3674"/>
      <c r="AJ51" s="3674"/>
      <c r="AK51" s="3674"/>
      <c r="AL51" s="3674"/>
      <c r="AM51" s="3674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31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0.26</v>
      </c>
      <c r="I52" s="469">
        <f>IF($B52=0,0,VLOOKUP($B52,Arbeitsgänge!$B$27:$T$80,14))</f>
        <v>8.8941188640000011</v>
      </c>
      <c r="J52" s="593">
        <f t="shared" si="4"/>
        <v>4</v>
      </c>
      <c r="K52" s="1651">
        <f t="shared" si="5"/>
        <v>1.04</v>
      </c>
      <c r="L52" s="1704">
        <f t="shared" si="6"/>
        <v>35.576475456000004</v>
      </c>
      <c r="M52" s="317">
        <v>1</v>
      </c>
      <c r="N52" s="318">
        <v>1</v>
      </c>
      <c r="O52" s="318">
        <v>1</v>
      </c>
      <c r="P52" s="318">
        <v>1</v>
      </c>
      <c r="Q52" s="319"/>
      <c r="R52" s="542"/>
      <c r="S52" s="542"/>
      <c r="T52" s="478">
        <f t="shared" si="7"/>
        <v>0.26</v>
      </c>
      <c r="U52" s="479">
        <f t="shared" si="7"/>
        <v>0.26</v>
      </c>
      <c r="V52" s="479">
        <f t="shared" si="7"/>
        <v>0.26</v>
      </c>
      <c r="W52" s="479">
        <f t="shared" si="7"/>
        <v>0.26</v>
      </c>
      <c r="X52" s="480">
        <f t="shared" si="7"/>
        <v>0</v>
      </c>
      <c r="Y52" s="3674"/>
      <c r="Z52" s="478">
        <f t="shared" si="8"/>
        <v>8.8941188640000011</v>
      </c>
      <c r="AA52" s="479">
        <f t="shared" si="8"/>
        <v>8.8941188640000011</v>
      </c>
      <c r="AB52" s="479">
        <f t="shared" si="8"/>
        <v>8.8941188640000011</v>
      </c>
      <c r="AC52" s="479">
        <f t="shared" si="8"/>
        <v>8.8941188640000011</v>
      </c>
      <c r="AD52" s="480">
        <f t="shared" si="8"/>
        <v>0</v>
      </c>
      <c r="AE52" s="3674"/>
      <c r="AF52" s="3674"/>
      <c r="AG52" s="3674"/>
      <c r="AH52" s="526"/>
      <c r="AI52" s="3674"/>
      <c r="AJ52" s="3674"/>
      <c r="AK52" s="3674"/>
      <c r="AL52" s="3674"/>
      <c r="AM52" s="3674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47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7"/>
        <v>0</v>
      </c>
      <c r="V53" s="479">
        <f t="shared" si="7"/>
        <v>0</v>
      </c>
      <c r="W53" s="479">
        <f t="shared" si="7"/>
        <v>0</v>
      </c>
      <c r="X53" s="480">
        <f t="shared" si="7"/>
        <v>0</v>
      </c>
      <c r="Y53" s="3674"/>
      <c r="Z53" s="478">
        <f t="shared" si="8"/>
        <v>0</v>
      </c>
      <c r="AA53" s="479">
        <f t="shared" si="8"/>
        <v>0</v>
      </c>
      <c r="AB53" s="479">
        <f t="shared" si="8"/>
        <v>0</v>
      </c>
      <c r="AC53" s="479">
        <f t="shared" si="8"/>
        <v>0</v>
      </c>
      <c r="AD53" s="480">
        <f t="shared" si="8"/>
        <v>0</v>
      </c>
      <c r="AE53" s="3674"/>
      <c r="AF53" s="3674"/>
      <c r="AG53" s="3674"/>
      <c r="AH53" s="526"/>
      <c r="AI53" s="3674"/>
      <c r="AJ53" s="3674"/>
      <c r="AK53" s="3674"/>
      <c r="AL53" s="3674"/>
      <c r="AM53" s="3674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7"/>
        <v>0</v>
      </c>
      <c r="V54" s="479">
        <f t="shared" si="7"/>
        <v>0</v>
      </c>
      <c r="W54" s="479">
        <f t="shared" si="7"/>
        <v>0</v>
      </c>
      <c r="X54" s="480">
        <f t="shared" si="7"/>
        <v>0</v>
      </c>
      <c r="Y54" s="3674"/>
      <c r="Z54" s="478">
        <f t="shared" si="8"/>
        <v>0</v>
      </c>
      <c r="AA54" s="479">
        <f t="shared" si="8"/>
        <v>0</v>
      </c>
      <c r="AB54" s="479">
        <f t="shared" si="8"/>
        <v>0</v>
      </c>
      <c r="AC54" s="479">
        <f t="shared" si="8"/>
        <v>0</v>
      </c>
      <c r="AD54" s="480">
        <f t="shared" si="8"/>
        <v>0</v>
      </c>
      <c r="AE54" s="3674"/>
      <c r="AF54" s="3674"/>
      <c r="AG54" s="3674"/>
      <c r="AH54" s="526"/>
      <c r="AI54" s="3674"/>
      <c r="AJ54" s="3674"/>
      <c r="AK54" s="3674"/>
      <c r="AL54" s="3674"/>
      <c r="AM54" s="367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7"/>
        <v>0</v>
      </c>
      <c r="V55" s="479">
        <f t="shared" si="7"/>
        <v>0</v>
      </c>
      <c r="W55" s="479">
        <f t="shared" si="7"/>
        <v>0</v>
      </c>
      <c r="X55" s="480">
        <f t="shared" si="7"/>
        <v>0</v>
      </c>
      <c r="Y55" s="3674"/>
      <c r="Z55" s="478">
        <f t="shared" si="8"/>
        <v>0</v>
      </c>
      <c r="AA55" s="479">
        <f t="shared" si="8"/>
        <v>0</v>
      </c>
      <c r="AB55" s="479">
        <f t="shared" si="8"/>
        <v>0</v>
      </c>
      <c r="AC55" s="479">
        <f t="shared" si="8"/>
        <v>0</v>
      </c>
      <c r="AD55" s="480">
        <f t="shared" si="8"/>
        <v>0</v>
      </c>
      <c r="AE55" s="3674"/>
      <c r="AF55" s="3674"/>
      <c r="AG55" s="3674"/>
      <c r="AH55" s="526"/>
      <c r="AI55" s="3674"/>
      <c r="AJ55" s="3674"/>
      <c r="AK55" s="3674"/>
      <c r="AL55" s="3674"/>
      <c r="AM55" s="3674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74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74"/>
      <c r="AF56" s="3674"/>
      <c r="AG56" s="3674"/>
      <c r="AH56" s="526"/>
      <c r="AI56" s="3674"/>
      <c r="AJ56" s="3674"/>
      <c r="AK56" s="3674"/>
      <c r="AL56" s="3674"/>
      <c r="AM56" s="3674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6.1352000000000002</v>
      </c>
      <c r="L57" s="1716"/>
      <c r="M57" s="278">
        <f>SUM(T46:T56)</f>
        <v>1.5338000000000001</v>
      </c>
      <c r="N57" s="508">
        <f>SUM(U46:U56)</f>
        <v>1.5338000000000001</v>
      </c>
      <c r="O57" s="508">
        <f>SUM(V46:V56)</f>
        <v>1.5338000000000001</v>
      </c>
      <c r="P57" s="508">
        <f>SUM(W46:W56)</f>
        <v>1.5338000000000001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74"/>
      <c r="Z57" s="537"/>
      <c r="AA57" s="537"/>
      <c r="AB57" s="537"/>
      <c r="AC57" s="537"/>
      <c r="AD57" s="537"/>
      <c r="AE57" s="3674"/>
      <c r="AF57" s="3674"/>
      <c r="AG57" s="3674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11.04336</v>
      </c>
      <c r="L58" s="1718"/>
      <c r="M58" s="270">
        <f>IF(M57+(M57*$G$58/100)&gt;M57+10,M57+10,M57+(M57*$G$58/100))</f>
        <v>2.76084</v>
      </c>
      <c r="N58" s="509">
        <f>IF(N57+(N57*$G$58/100)&gt;(N57+10),N57+10,N57+(N57*$G$58/100))</f>
        <v>2.76084</v>
      </c>
      <c r="O58" s="509">
        <f>IF(O57+(O57*$G$58/100)&gt;(O57+10),O57+10,O57+(O57*$G$58/100))</f>
        <v>2.76084</v>
      </c>
      <c r="P58" s="509">
        <f>P57+P57*$G$58/100</f>
        <v>2.76084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74"/>
      <c r="Z58" s="537"/>
      <c r="AA58" s="537"/>
      <c r="AB58" s="537"/>
      <c r="AC58" s="537"/>
      <c r="AD58" s="537"/>
      <c r="AE58" s="3674"/>
      <c r="AF58" s="3674"/>
      <c r="AG58" s="3674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666.4</v>
      </c>
      <c r="M59" s="253">
        <f>SUM(T61:T63)</f>
        <v>199.92</v>
      </c>
      <c r="N59" s="254">
        <f>SUM(U61:U63)</f>
        <v>166.6</v>
      </c>
      <c r="O59" s="254">
        <f>SUM(V61:V63)</f>
        <v>166.6</v>
      </c>
      <c r="P59" s="254">
        <f>SUM(W61:W63)</f>
        <v>133.28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74"/>
      <c r="Z59" s="528"/>
      <c r="AA59" s="528"/>
      <c r="AB59" s="528"/>
      <c r="AC59" s="528"/>
      <c r="AD59" s="528"/>
      <c r="AE59" s="3674"/>
      <c r="AF59" s="3674"/>
      <c r="AG59" s="3674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74"/>
      <c r="Z60" s="528"/>
      <c r="AA60" s="528"/>
      <c r="AB60" s="528"/>
      <c r="AC60" s="528"/>
      <c r="AD60" s="528"/>
      <c r="AE60" s="3674"/>
      <c r="AF60" s="3674"/>
      <c r="AG60" s="3674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3677" t="s">
        <v>1624</v>
      </c>
      <c r="E61" s="2615"/>
      <c r="F61" s="2615"/>
      <c r="G61" s="3060">
        <v>140</v>
      </c>
      <c r="H61" s="3665">
        <f>G61*(100+$H$59)/100</f>
        <v>166.6</v>
      </c>
      <c r="I61" s="3667"/>
      <c r="J61" s="3095">
        <f>SUM(M61:Q61)</f>
        <v>4</v>
      </c>
      <c r="K61" s="2618"/>
      <c r="L61" s="2619">
        <f>J61*H61</f>
        <v>666.4</v>
      </c>
      <c r="M61" s="3111">
        <f>M7/N7</f>
        <v>1.2</v>
      </c>
      <c r="N61" s="3088">
        <v>1</v>
      </c>
      <c r="O61" s="3088">
        <v>1</v>
      </c>
      <c r="P61" s="3088">
        <f>P7/O7</f>
        <v>0.8</v>
      </c>
      <c r="Q61" s="2620"/>
      <c r="R61" s="542"/>
      <c r="S61" s="542"/>
      <c r="T61" s="594">
        <f>IF(M61&lt;&gt;0,M61*$H61,0)</f>
        <v>199.92</v>
      </c>
      <c r="U61" s="594">
        <f t="shared" ref="U61:X63" si="10">IF(N61&lt;&gt;0,N61*$H61,0)</f>
        <v>166.6</v>
      </c>
      <c r="V61" s="594">
        <f t="shared" si="10"/>
        <v>166.6</v>
      </c>
      <c r="W61" s="594">
        <f t="shared" si="10"/>
        <v>133.28</v>
      </c>
      <c r="X61" s="594">
        <f t="shared" si="10"/>
        <v>0</v>
      </c>
      <c r="Y61" s="3674"/>
      <c r="Z61" s="266"/>
      <c r="AA61" s="266"/>
      <c r="AB61" s="266"/>
      <c r="AC61" s="266"/>
      <c r="AD61" s="267"/>
      <c r="AE61" s="3674"/>
      <c r="AF61" s="3674"/>
      <c r="AG61" s="3674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74"/>
      <c r="C62" s="354"/>
      <c r="D62" s="3676"/>
      <c r="E62" s="3081"/>
      <c r="F62" s="3081"/>
      <c r="G62" s="3441"/>
      <c r="H62" s="3666">
        <f>G62*(100+$H$59)/100</f>
        <v>0</v>
      </c>
      <c r="I62" s="3668"/>
      <c r="J62" s="3096">
        <f>SUM(M62:Q62)</f>
        <v>0</v>
      </c>
      <c r="K62" s="2304"/>
      <c r="L62" s="3069">
        <f>J62*H62</f>
        <v>0</v>
      </c>
      <c r="M62" s="3442"/>
      <c r="N62" s="3443"/>
      <c r="O62" s="3443"/>
      <c r="P62" s="3443"/>
      <c r="Q62" s="3444"/>
      <c r="R62" s="542"/>
      <c r="S62" s="542"/>
      <c r="T62" s="594">
        <f>IF(M62&lt;&gt;0,M62*$H62,0)</f>
        <v>0</v>
      </c>
      <c r="U62" s="594">
        <f t="shared" si="10"/>
        <v>0</v>
      </c>
      <c r="V62" s="594">
        <f t="shared" si="10"/>
        <v>0</v>
      </c>
      <c r="W62" s="594">
        <f t="shared" si="10"/>
        <v>0</v>
      </c>
      <c r="X62" s="594">
        <f t="shared" si="10"/>
        <v>0</v>
      </c>
      <c r="Y62" s="3674"/>
      <c r="Z62" s="3058"/>
      <c r="AA62" s="3058"/>
      <c r="AB62" s="3058"/>
      <c r="AC62" s="3058"/>
      <c r="AD62" s="3059"/>
      <c r="AE62" s="3674"/>
      <c r="AF62" s="3674"/>
      <c r="AG62" s="3674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0"/>
        <v>0</v>
      </c>
      <c r="V63" s="594">
        <f t="shared" si="10"/>
        <v>0</v>
      </c>
      <c r="W63" s="594">
        <f t="shared" si="10"/>
        <v>0</v>
      </c>
      <c r="X63" s="594">
        <f t="shared" si="10"/>
        <v>0</v>
      </c>
      <c r="Y63" s="3674"/>
      <c r="Z63" s="268"/>
      <c r="AA63" s="268"/>
      <c r="AB63" s="268"/>
      <c r="AC63" s="268"/>
      <c r="AD63" s="269"/>
      <c r="AE63" s="3674"/>
      <c r="AF63" s="3674"/>
      <c r="AG63" s="3674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74"/>
      <c r="Z64" s="529"/>
      <c r="AA64" s="529"/>
      <c r="AB64" s="529"/>
      <c r="AC64" s="529"/>
      <c r="AD64" s="529"/>
      <c r="AE64" s="3674"/>
      <c r="AF64" s="3674"/>
      <c r="AG64" s="367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74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74"/>
      <c r="Z65" s="529" t="s">
        <v>1159</v>
      </c>
      <c r="AA65" s="529"/>
      <c r="AB65" s="529"/>
      <c r="AC65" s="529"/>
      <c r="AD65" s="529"/>
      <c r="AE65" s="3674"/>
      <c r="AF65" s="3674"/>
      <c r="AG65" s="3674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74"/>
      <c r="U66" s="3674"/>
      <c r="V66" s="3674"/>
      <c r="W66" s="3057">
        <f>K10/100</f>
        <v>0.33</v>
      </c>
      <c r="X66" s="3674"/>
      <c r="Y66" s="3674"/>
      <c r="Z66" s="274" t="s">
        <v>356</v>
      </c>
      <c r="AA66" s="274" t="s">
        <v>563</v>
      </c>
      <c r="AB66" s="274" t="s">
        <v>564</v>
      </c>
      <c r="AC66" s="275"/>
      <c r="AD66" s="529"/>
      <c r="AE66" s="3674"/>
      <c r="AF66" s="3674"/>
      <c r="AG66" s="3674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1">SUM(L69:L70)</f>
        <v>41.65</v>
      </c>
      <c r="M67" s="253">
        <f t="shared" si="11"/>
        <v>12.494999999999999</v>
      </c>
      <c r="N67" s="254">
        <f t="shared" si="11"/>
        <v>10.4125</v>
      </c>
      <c r="O67" s="254">
        <f t="shared" si="11"/>
        <v>10.4125</v>
      </c>
      <c r="P67" s="254">
        <f t="shared" si="11"/>
        <v>8.33</v>
      </c>
      <c r="Q67" s="257">
        <f t="shared" si="1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3678"/>
      <c r="L69" s="3069">
        <f>SUM(M69:Q69)</f>
        <v>41.65</v>
      </c>
      <c r="M69" s="1386">
        <f>IF(AND($B69&lt;3,V$5=1),M$7*$I69/100,IF(AND($B69=3,V$5=3),M$7*$I69/100,0))</f>
        <v>12.494999999999999</v>
      </c>
      <c r="N69" s="933">
        <f t="shared" ref="N69:P70" si="12">IF(AND($B69&lt;3,W$5=1),N$7*$I69/100,IF(AND($B69=3,W$5=3),N$7*$I69/100,0))</f>
        <v>10.4125</v>
      </c>
      <c r="O69" s="933">
        <f t="shared" si="12"/>
        <v>10.4125</v>
      </c>
      <c r="P69" s="933">
        <f t="shared" si="12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74"/>
      <c r="Z69" s="528"/>
      <c r="AA69" s="528"/>
      <c r="AB69" s="528"/>
      <c r="AC69" s="528"/>
      <c r="AD69" s="528"/>
      <c r="AE69" s="3674"/>
      <c r="AF69" s="3674"/>
      <c r="AG69" s="3674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3678"/>
      <c r="L70" s="3069">
        <f>SUM(M70:Q70)</f>
        <v>0</v>
      </c>
      <c r="M70" s="1386">
        <f>IF(AND($B70&lt;3,V$5=1),M$7*$I70/100,IF(AND($B70=3,V$5=3),M$7*$I70/100,0))</f>
        <v>0</v>
      </c>
      <c r="N70" s="933">
        <f t="shared" si="12"/>
        <v>0</v>
      </c>
      <c r="O70" s="933">
        <f t="shared" si="12"/>
        <v>0</v>
      </c>
      <c r="P70" s="933">
        <f t="shared" si="1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74"/>
      <c r="Z70" s="528"/>
      <c r="AA70" s="528"/>
      <c r="AB70" s="528"/>
      <c r="AC70" s="528"/>
      <c r="AD70" s="528"/>
      <c r="AE70" s="3674"/>
      <c r="AF70" s="3674"/>
      <c r="AG70" s="3674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74"/>
      <c r="Z71" s="528"/>
      <c r="AA71" s="528"/>
      <c r="AB71" s="528"/>
      <c r="AC71" s="528"/>
      <c r="AD71" s="528"/>
      <c r="AE71" s="3674"/>
      <c r="AF71" s="3674"/>
      <c r="AG71" s="3674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74"/>
      <c r="Z72" s="529"/>
      <c r="AA72" s="529"/>
      <c r="AB72" s="529"/>
      <c r="AC72" s="529"/>
      <c r="AD72" s="529"/>
      <c r="AE72" s="3674"/>
      <c r="AF72" s="3674"/>
      <c r="AG72" s="3674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3">K16</f>
        <v>47.979797979797979</v>
      </c>
      <c r="L77" s="3321">
        <f t="shared" si="13"/>
        <v>0</v>
      </c>
      <c r="M77" s="3321">
        <f t="shared" si="13"/>
        <v>14.393939393939394</v>
      </c>
      <c r="N77" s="3321">
        <f t="shared" si="13"/>
        <v>11.994949494949495</v>
      </c>
      <c r="O77" s="3321">
        <f t="shared" si="13"/>
        <v>11.994949494949495</v>
      </c>
      <c r="P77" s="3321">
        <f t="shared" si="13"/>
        <v>9.5959595959595951</v>
      </c>
      <c r="Q77" s="3321">
        <f t="shared" si="13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233.14183501683502</v>
      </c>
      <c r="L79" s="3321"/>
      <c r="M79" s="3321">
        <f>M78*M16</f>
        <v>69.942550505050505</v>
      </c>
      <c r="N79" s="3321">
        <f>N78*N16</f>
        <v>58.285458754208754</v>
      </c>
      <c r="O79" s="3321">
        <f>O78*O16</f>
        <v>58.285458754208754</v>
      </c>
      <c r="P79" s="3321">
        <f>P78*P16</f>
        <v>46.628367003367003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23457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58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59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0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1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7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7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7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8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74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'18)Kleegrassi-Fremdernt(a)'!H2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'18)Kleegrassi-Fremdernt(a)'!K2</f>
        <v>Kleegrassilage, 4 Nutzungen</v>
      </c>
      <c r="S2" s="3674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74"/>
      <c r="AL2" s="3674"/>
      <c r="AM2" s="39"/>
      <c r="AN2" s="3674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'18)Kleegrassi-Fremdernt(a)'!H3</f>
        <v>2-jährig, Silage, Lohnernte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74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74"/>
      <c r="AH3" s="205"/>
      <c r="AI3" s="3674"/>
      <c r="AJ3" s="3674"/>
      <c r="AK3" s="3674"/>
      <c r="AL3" s="3674"/>
      <c r="AM3" s="39"/>
      <c r="AN3" s="3674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74"/>
      <c r="V4" s="177"/>
      <c r="AG4" s="3674"/>
      <c r="AH4" s="3674"/>
      <c r="AI4" s="3674"/>
      <c r="AJ4" s="3674"/>
      <c r="AK4" s="3674"/>
      <c r="AL4" s="3674"/>
      <c r="AM4" s="3674"/>
      <c r="AN4" s="3674"/>
      <c r="AO4" s="3674"/>
      <c r="AP4" s="3674"/>
      <c r="AQ4" s="3674"/>
      <c r="AR4" s="367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'18)Kleegrassi-Fremdernt(a)'!M5</f>
        <v>Silage</v>
      </c>
      <c r="O5" s="1568" t="str">
        <f>'18)Kleegrassi-Fremdernt(a)'!N5</f>
        <v>Silage</v>
      </c>
      <c r="P5" s="1568" t="str">
        <f>'18)Kleegrassi-Fremdernt(a)'!O5</f>
        <v>Silage</v>
      </c>
      <c r="Q5" s="1568" t="str">
        <f>'18)Kleegrassi-Fremdernt(a)'!P5</f>
        <v>Silage</v>
      </c>
      <c r="R5" s="1573" t="str">
        <f>'18)Kleegrassi-Fremdernt(a)'!Q5</f>
        <v>Silage</v>
      </c>
      <c r="S5" s="3674"/>
      <c r="V5" s="177"/>
      <c r="AG5" s="3674"/>
      <c r="AH5" s="3674"/>
      <c r="AI5" s="3674"/>
      <c r="AJ5" s="3674"/>
      <c r="AK5" s="3674"/>
      <c r="AL5" s="3674"/>
      <c r="AM5" s="3674"/>
      <c r="AN5" s="3674"/>
      <c r="AO5" s="3674"/>
      <c r="AP5" s="3674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'18)Kleegrassi-Fremdernt(a)'!K6</f>
        <v>110</v>
      </c>
      <c r="N6" s="1821">
        <f>'18)Kleegrassi-Fremdernt(a)'!M6</f>
        <v>33</v>
      </c>
      <c r="O6" s="1821">
        <f>'18)Kleegrassi-Fremdernt(a)'!N6</f>
        <v>27.5</v>
      </c>
      <c r="P6" s="1821">
        <f>'18)Kleegrassi-Fremdernt(a)'!O6</f>
        <v>27.5</v>
      </c>
      <c r="Q6" s="1821">
        <f>'18)Kleegrassi-Fremdernt(a)'!P6</f>
        <v>22</v>
      </c>
      <c r="R6" s="1822">
        <f>'18)Kleegrassi-Fremdernt(a)'!Q6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'18)Kleegrassi-Fremdernt(a)'!K14</f>
        <v>104.5</v>
      </c>
      <c r="N7" s="452">
        <f>'18)Kleegrassi-Fremdernt(a)'!M14</f>
        <v>31.35</v>
      </c>
      <c r="O7" s="452">
        <f>'18)Kleegrassi-Fremdernt(a)'!N14</f>
        <v>26.125</v>
      </c>
      <c r="P7" s="452">
        <f>'18)Kleegrassi-Fremdernt(a)'!O14</f>
        <v>26.125</v>
      </c>
      <c r="Q7" s="452">
        <f>'18)Kleegrassi-Fremdernt(a)'!P14</f>
        <v>20.9</v>
      </c>
      <c r="R7" s="1744">
        <f>'18)Kleegrassi-Fremdernt(a)'!Q14</f>
        <v>0</v>
      </c>
      <c r="S7" s="3674"/>
      <c r="V7" s="177"/>
      <c r="AG7" s="3674"/>
      <c r="AH7" s="3674"/>
      <c r="AI7" s="3674"/>
      <c r="AJ7" s="3674"/>
      <c r="AK7" s="3674"/>
      <c r="AL7" s="3674"/>
      <c r="AM7" s="3674"/>
      <c r="AN7" s="3674"/>
      <c r="AO7" s="3674"/>
      <c r="AP7" s="3674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'18)Kleegrassi-Fremdernt(a)'!K15</f>
        <v>316.66666666666663</v>
      </c>
      <c r="N8" s="473">
        <f>'18)Kleegrassi-Fremdernt(a)'!M15</f>
        <v>95</v>
      </c>
      <c r="O8" s="473">
        <f>'18)Kleegrassi-Fremdernt(a)'!N15</f>
        <v>79.166666666666657</v>
      </c>
      <c r="P8" s="473">
        <f>'18)Kleegrassi-Fremdernt(a)'!O15</f>
        <v>79.166666666666657</v>
      </c>
      <c r="Q8" s="473">
        <f>'18)Kleegrassi-Fremdernt(a)'!P15</f>
        <v>63.333333333333329</v>
      </c>
      <c r="R8" s="1583">
        <f>'18)Kleegrassi-Fremdernt(a)'!Q15</f>
        <v>0</v>
      </c>
      <c r="S8" s="3674"/>
      <c r="V8" s="177"/>
      <c r="AG8" s="3674"/>
      <c r="AH8" s="3674"/>
      <c r="AI8" s="3674"/>
      <c r="AJ8" s="3674"/>
      <c r="AK8" s="3674"/>
      <c r="AL8" s="3674"/>
      <c r="AM8" s="3674"/>
      <c r="AN8" s="3674"/>
      <c r="AO8" s="3674"/>
      <c r="AP8" s="3674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'18)Kleegrassi-Fremdernt(a)'!K17</f>
        <v>97.185000000000002</v>
      </c>
      <c r="N9" s="452">
        <f>'18)Kleegrassi-Fremdernt(a)'!M17</f>
        <v>29.155500000000004</v>
      </c>
      <c r="O9" s="452">
        <f>'18)Kleegrassi-Fremdernt(a)'!N17</f>
        <v>24.296250000000001</v>
      </c>
      <c r="P9" s="452">
        <f>'18)Kleegrassi-Fremdernt(a)'!O17</f>
        <v>24.296250000000001</v>
      </c>
      <c r="Q9" s="452">
        <f>'18)Kleegrassi-Fremdernt(a)'!P17</f>
        <v>19.436999999999998</v>
      </c>
      <c r="R9" s="1744">
        <f>'18)Kleegrassi-Fremdernt(a)'!Q17</f>
        <v>0</v>
      </c>
      <c r="S9" s="3674"/>
      <c r="V9" s="177"/>
      <c r="AG9" s="3674"/>
      <c r="AH9" s="3674"/>
      <c r="AI9" s="3674"/>
      <c r="AJ9" s="3674"/>
      <c r="AK9" s="3674"/>
      <c r="AL9" s="3674"/>
      <c r="AM9" s="3674"/>
      <c r="AN9" s="3674"/>
      <c r="AO9" s="3674"/>
      <c r="AP9" s="3674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'18)Kleegrassi-Fremdernt(a)'!K18</f>
        <v>277.67142857142858</v>
      </c>
      <c r="N10" s="1748">
        <f>'18)Kleegrassi-Fremdernt(a)'!M18</f>
        <v>83.301428571428588</v>
      </c>
      <c r="O10" s="1748">
        <f>'18)Kleegrassi-Fremdernt(a)'!N18</f>
        <v>69.417857142857144</v>
      </c>
      <c r="P10" s="1748">
        <f>'18)Kleegrassi-Fremdernt(a)'!O18</f>
        <v>69.417857142857144</v>
      </c>
      <c r="Q10" s="1748">
        <f>'18)Kleegrassi-Fremdernt(a)'!P18</f>
        <v>55.534285714285701</v>
      </c>
      <c r="R10" s="1745">
        <f>'18)Kleegrassi-Fremdernt(a)'!Q18</f>
        <v>0</v>
      </c>
      <c r="S10" s="3674"/>
      <c r="V10" s="177"/>
      <c r="AG10" s="3674"/>
      <c r="AH10" s="3674"/>
      <c r="AI10" s="3674"/>
      <c r="AJ10" s="3674"/>
      <c r="AK10" s="3674"/>
      <c r="AL10" s="3674"/>
      <c r="AM10" s="3674"/>
      <c r="AN10" s="3674"/>
      <c r="AO10" s="3674"/>
      <c r="AP10" s="3674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'18)Kleegrassi-Fremdernt(a)'!K19</f>
        <v>42.071428571428577</v>
      </c>
      <c r="N11" s="2094">
        <f>'18)Kleegrassi-Fremdernt(a)'!M19</f>
        <v>12.621428571428574</v>
      </c>
      <c r="O11" s="2094">
        <f>'18)Kleegrassi-Fremdernt(a)'!N19</f>
        <v>10.517857142857144</v>
      </c>
      <c r="P11" s="2094">
        <f>'18)Kleegrassi-Fremdernt(a)'!O19</f>
        <v>10.517857142857144</v>
      </c>
      <c r="Q11" s="2094">
        <f>'18)Kleegrassi-Fremdernt(a)'!P19</f>
        <v>8.4142857142857128</v>
      </c>
      <c r="R11" s="2078">
        <f>'18)Kleegrassi-Fremdernt(a)'!Q19</f>
        <v>0</v>
      </c>
      <c r="S11" s="3674"/>
      <c r="V11" s="177"/>
      <c r="AG11" s="3674"/>
      <c r="AH11" s="3674"/>
      <c r="AI11" s="3674"/>
      <c r="AJ11" s="3674"/>
      <c r="AK11" s="3674"/>
      <c r="AL11" s="3674"/>
      <c r="AM11" s="3674"/>
      <c r="AN11" s="3674"/>
      <c r="AO11" s="3674"/>
      <c r="AP11" s="3674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'18)Kleegrassi-Fremdernt(a)'!K22</f>
        <v>6025.47</v>
      </c>
      <c r="N12" s="1176">
        <f>'18)Kleegrassi-Fremdernt(a)'!M22</f>
        <v>1807.6410000000001</v>
      </c>
      <c r="O12" s="1176">
        <f>'18)Kleegrassi-Fremdernt(a)'!N22</f>
        <v>1506.3675000000001</v>
      </c>
      <c r="P12" s="1176">
        <f>'18)Kleegrassi-Fremdernt(a)'!O22</f>
        <v>1506.3675000000001</v>
      </c>
      <c r="Q12" s="1176">
        <f>'18)Kleegrassi-Fremdernt(a)'!P22</f>
        <v>1205.0939999999998</v>
      </c>
      <c r="R12" s="1747">
        <f>'18)Kleegrassi-Fremdernt(a)'!Q22</f>
        <v>0</v>
      </c>
      <c r="S12" s="3674"/>
      <c r="V12" s="177"/>
      <c r="AG12" s="3674"/>
      <c r="AH12" s="3674"/>
      <c r="AI12" s="3674"/>
      <c r="AJ12" s="3674"/>
      <c r="AK12" s="3674"/>
      <c r="AL12" s="3674"/>
      <c r="AM12" s="3674"/>
      <c r="AN12" s="3674"/>
      <c r="AO12" s="3674"/>
      <c r="AP12" s="3674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'18)Kleegrassi-Fremdernt(a)'!K23</f>
        <v>10042.450000000001</v>
      </c>
      <c r="N13" s="2065">
        <f>'18)Kleegrassi-Fremdernt(a)'!M23</f>
        <v>3012.7350000000006</v>
      </c>
      <c r="O13" s="2065">
        <f>'18)Kleegrassi-Fremdernt(a)'!N23</f>
        <v>2510.6125000000002</v>
      </c>
      <c r="P13" s="2065">
        <f>'18)Kleegrassi-Fremdernt(a)'!O23</f>
        <v>2510.6125000000002</v>
      </c>
      <c r="Q13" s="2065">
        <f>'18)Kleegrassi-Fremdernt(a)'!P23</f>
        <v>2008.4899999999998</v>
      </c>
      <c r="R13" s="2067">
        <f>'18)Kleegrassi-Fremdernt(a)'!Q23</f>
        <v>0</v>
      </c>
      <c r="S13" s="3674"/>
      <c r="V13" s="177"/>
      <c r="AG13" s="3674"/>
      <c r="AH13" s="3674"/>
      <c r="AI13" s="3674"/>
      <c r="AJ13" s="3674"/>
      <c r="AK13" s="3674"/>
      <c r="AL13" s="3674"/>
      <c r="AM13" s="3674"/>
      <c r="AN13" s="3674"/>
      <c r="AO13" s="3674"/>
      <c r="AP13" s="3674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74"/>
      <c r="V14" s="177"/>
      <c r="AG14" s="3674"/>
      <c r="AH14" s="3674"/>
      <c r="AI14" s="3674"/>
      <c r="AJ14" s="3674"/>
      <c r="AK14" s="3674"/>
      <c r="AL14" s="3674"/>
      <c r="AM14" s="3674"/>
      <c r="AN14" s="3674"/>
      <c r="AO14" s="3674"/>
      <c r="AP14" s="367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67.5</v>
      </c>
      <c r="P15" s="3339">
        <f t="shared" si="0"/>
        <v>67.5</v>
      </c>
      <c r="Q15" s="3340">
        <f t="shared" si="0"/>
        <v>54</v>
      </c>
      <c r="R15" s="3341">
        <f t="shared" si="0"/>
        <v>0</v>
      </c>
      <c r="S15" s="3674"/>
      <c r="V15" s="177"/>
      <c r="AG15" s="3674"/>
      <c r="AH15" s="3674"/>
      <c r="AI15" s="3674"/>
      <c r="AJ15" s="3674"/>
      <c r="AK15" s="3674"/>
      <c r="AL15" s="3674"/>
      <c r="AM15" s="3674"/>
      <c r="AN15" s="3674"/>
      <c r="AO15" s="3674"/>
      <c r="AP15" s="3674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74"/>
      <c r="V16" s="177"/>
      <c r="AG16" s="3674"/>
      <c r="AH16" s="3674"/>
      <c r="AI16" s="3674"/>
      <c r="AJ16" s="3674"/>
      <c r="AK16" s="3674"/>
      <c r="AL16" s="3674"/>
      <c r="AM16" s="3674"/>
      <c r="AN16" s="3674"/>
      <c r="AO16" s="3674"/>
      <c r="AP16" s="3674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67.5</v>
      </c>
      <c r="P17" s="3334">
        <f t="shared" si="2"/>
        <v>67.5</v>
      </c>
      <c r="Q17" s="2065">
        <f t="shared" si="2"/>
        <v>54</v>
      </c>
      <c r="R17" s="3335">
        <f t="shared" si="2"/>
        <v>0</v>
      </c>
      <c r="S17" s="3674"/>
      <c r="V17" s="177"/>
      <c r="AG17" s="3674"/>
      <c r="AH17" s="3674"/>
      <c r="AI17" s="3674"/>
      <c r="AJ17" s="3674"/>
      <c r="AK17" s="3674"/>
      <c r="AL17" s="3674"/>
      <c r="AM17" s="3674"/>
      <c r="AN17" s="3674"/>
      <c r="AO17" s="3674"/>
      <c r="AP17" s="3674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'18)Kleegrassi-Fremdernt(a)'!L32</f>
        <v>61.79249999999999</v>
      </c>
      <c r="N19" s="2071">
        <f>'18)Kleegrassi-Fremdernt(a)'!M32</f>
        <v>18.537749999999996</v>
      </c>
      <c r="O19" s="2071">
        <f>'18)Kleegrassi-Fremdernt(a)'!N32</f>
        <v>15.448124999999997</v>
      </c>
      <c r="P19" s="2071">
        <f>'18)Kleegrassi-Fremdernt(a)'!O32</f>
        <v>15.448124999999997</v>
      </c>
      <c r="Q19" s="2071">
        <f>'18)Kleegrassi-Fremdernt(a)'!P32</f>
        <v>12.358499999999999</v>
      </c>
      <c r="R19" s="2073">
        <f>'18)Kleegrassi-Fremdernt(a)'!Q32</f>
        <v>0</v>
      </c>
      <c r="AG19" s="3674"/>
      <c r="AH19" s="3674"/>
      <c r="AI19" s="3674"/>
      <c r="AJ19" s="3674"/>
      <c r="AK19" s="3674"/>
      <c r="AL19" s="3674"/>
      <c r="AM19" s="3674"/>
      <c r="AN19" s="3674"/>
      <c r="AO19" s="3674"/>
      <c r="AP19" s="3674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'18)Kleegrassi-Fremdernt(a)'!L34</f>
        <v>677.64530166666657</v>
      </c>
      <c r="N20" s="285">
        <f>'18)Kleegrassi-Fremdernt(a)'!M34</f>
        <v>203.29359049999997</v>
      </c>
      <c r="O20" s="285">
        <f>'18)Kleegrassi-Fremdernt(a)'!N34</f>
        <v>169.41132541666667</v>
      </c>
      <c r="P20" s="285">
        <f>'18)Kleegrassi-Fremdernt(a)'!O34</f>
        <v>169.41132541666667</v>
      </c>
      <c r="Q20" s="285">
        <f>'18)Kleegrassi-Fremdernt(a)'!P34</f>
        <v>135.52906033333332</v>
      </c>
      <c r="R20" s="1574">
        <f>'18)Kleegrassi-Fremdernt(a)'!Q34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'18)Kleegrassi-Fremdernt(a)'!L40</f>
        <v>0</v>
      </c>
      <c r="N21" s="285">
        <f>'18)Kleegrassi-Fremdernt(a)'!M40</f>
        <v>0</v>
      </c>
      <c r="O21" s="285">
        <f>'18)Kleegrassi-Fremdernt(a)'!N40</f>
        <v>0</v>
      </c>
      <c r="P21" s="285">
        <f>'18)Kleegrassi-Fremdernt(a)'!O40</f>
        <v>0</v>
      </c>
      <c r="Q21" s="285">
        <f>'18)Kleegrassi-Fremdernt(a)'!P40</f>
        <v>0</v>
      </c>
      <c r="R21" s="1574">
        <f>'18)Kleegrassi-Fremdernt(a)'!Q40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'18)Kleegrassi-Fremdernt(a)'!L67</f>
        <v>41.65</v>
      </c>
      <c r="N23" s="285">
        <f>'18)Kleegrassi-Fremdernt(a)'!M67</f>
        <v>12.494999999999999</v>
      </c>
      <c r="O23" s="285">
        <f>'18)Kleegrassi-Fremdernt(a)'!N67</f>
        <v>10.4125</v>
      </c>
      <c r="P23" s="285">
        <f>'18)Kleegrassi-Fremdernt(a)'!O67</f>
        <v>10.4125</v>
      </c>
      <c r="Q23" s="285">
        <f>'18)Kleegrassi-Fremdernt(a)'!P67</f>
        <v>8.33</v>
      </c>
      <c r="R23" s="1574">
        <f>'18)Kleegrassi-Fremdernt(a)'!Q67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'18)Kleegrassi-Fremdernt(a)'!L43</f>
        <v>232.37540508871999</v>
      </c>
      <c r="N24" s="285">
        <f>'18)Kleegrassi-Fremdernt(a)'!M43</f>
        <v>58.093851272179997</v>
      </c>
      <c r="O24" s="285">
        <f>'18)Kleegrassi-Fremdernt(a)'!N43</f>
        <v>58.093851272179997</v>
      </c>
      <c r="P24" s="285">
        <f>'18)Kleegrassi-Fremdernt(a)'!O43</f>
        <v>58.093851272179997</v>
      </c>
      <c r="Q24" s="285">
        <f>'18)Kleegrassi-Fremdernt(a)'!P43</f>
        <v>58.093851272179997</v>
      </c>
      <c r="R24" s="1574">
        <f>'18)Kleegrassi-Fremdernt(a)'!Q43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'18)Kleegrassi-Fremdernt(a)'!L59</f>
        <v>666.4</v>
      </c>
      <c r="N25" s="285">
        <f>'18)Kleegrassi-Fremdernt(a)'!M59</f>
        <v>199.92</v>
      </c>
      <c r="O25" s="285">
        <f>'18)Kleegrassi-Fremdernt(a)'!N59</f>
        <v>166.6</v>
      </c>
      <c r="P25" s="285">
        <f>'18)Kleegrassi-Fremdernt(a)'!O59</f>
        <v>166.6</v>
      </c>
      <c r="Q25" s="285">
        <f>'18)Kleegrassi-Fremdernt(a)'!P59</f>
        <v>133.28</v>
      </c>
      <c r="R25" s="1574">
        <f>'18)Kleegrassi-Fremdernt(a)'!Q59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'18)Kleegrassi-Fremdernt(a)'!L64</f>
        <v>0</v>
      </c>
      <c r="N26" s="1979">
        <f>'18)Kleegrassi-Fremdernt(a)'!M64</f>
        <v>0</v>
      </c>
      <c r="O26" s="1979">
        <f>'18)Kleegrassi-Fremdernt(a)'!N64</f>
        <v>0</v>
      </c>
      <c r="P26" s="1979">
        <f>'18)Kleegrassi-Fremdernt(a)'!O64</f>
        <v>0</v>
      </c>
      <c r="Q26" s="1979">
        <f>'18)Kleegrassi-Fremdernt(a)'!P64</f>
        <v>0</v>
      </c>
      <c r="R26" s="1981">
        <f>'18)Kleegrassi-Fremdernt(a)'!Q64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1679.8632067553865</v>
      </c>
      <c r="N27" s="2407">
        <f t="shared" si="4"/>
        <v>492.34019177217999</v>
      </c>
      <c r="O27" s="2407">
        <f t="shared" si="4"/>
        <v>419.96580168884668</v>
      </c>
      <c r="P27" s="2407">
        <f t="shared" si="4"/>
        <v>419.96580168884668</v>
      </c>
      <c r="Q27" s="2407">
        <f t="shared" si="4"/>
        <v>347.59141160551331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-1679.8632067553865</v>
      </c>
      <c r="N28" s="1777">
        <f t="shared" si="5"/>
        <v>-492.34019177217999</v>
      </c>
      <c r="O28" s="1777">
        <f t="shared" si="5"/>
        <v>-419.96580168884668</v>
      </c>
      <c r="P28" s="1777">
        <f t="shared" si="5"/>
        <v>-419.96580168884668</v>
      </c>
      <c r="Q28" s="1777">
        <f t="shared" si="5"/>
        <v>-347.59141160551331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-0.27879372177695455</v>
      </c>
      <c r="N29" s="1874">
        <f t="shared" si="6"/>
        <v>-0.27236613452127939</v>
      </c>
      <c r="O29" s="1874">
        <f t="shared" si="6"/>
        <v>-0.27879372177695461</v>
      </c>
      <c r="P29" s="1874">
        <f t="shared" si="6"/>
        <v>-0.27879372177695461</v>
      </c>
      <c r="Q29" s="1874">
        <f t="shared" si="6"/>
        <v>-0.28843510266046746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67.5</v>
      </c>
      <c r="P30" s="2097">
        <f t="shared" si="7"/>
        <v>67.5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'18)Kleegrassi-Fremdernt(a)'!L25</f>
        <v>0</v>
      </c>
      <c r="V30" s="3308">
        <f>'18)Kleegrassi-Fremdernt(a)'!M25</f>
        <v>0</v>
      </c>
      <c r="W30" s="3308">
        <f>'18)Kleegrassi-Fremdernt(a)'!N25</f>
        <v>0</v>
      </c>
      <c r="X30" s="3308">
        <f>'18)Kleegrassi-Fremdernt(a)'!O25</f>
        <v>0</v>
      </c>
      <c r="Y30" s="3308">
        <f>'18)Kleegrassi-Fremdernt(a)'!P25</f>
        <v>0</v>
      </c>
      <c r="Z30" s="3308">
        <f>'18)Kleegrassi-Fremdernt(a)'!Q25</f>
        <v>0</v>
      </c>
      <c r="AA30" s="3674"/>
      <c r="AB30" s="3674"/>
      <c r="AC30" s="3674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M27*'18)Kleegrassi-Fremdernt(a)'!$L$72*'18)Kleegrassi-Fremdernt(a)'!$Q$72/12/100</f>
        <v>10.499145042221166</v>
      </c>
      <c r="N31" s="1979">
        <f>N27*'18)Kleegrassi-Fremdernt(a)'!$L$72*'18)Kleegrassi-Fremdernt(a)'!$Q$72/12/100</f>
        <v>3.0771261985761256</v>
      </c>
      <c r="O31" s="1979">
        <f>O27*'18)Kleegrassi-Fremdernt(a)'!$L$72*'18)Kleegrassi-Fremdernt(a)'!$Q$72/12/100</f>
        <v>2.6247862605552923</v>
      </c>
      <c r="P31" s="1979">
        <f>P27*'18)Kleegrassi-Fremdernt(a)'!$L$72*'18)Kleegrassi-Fremdernt(a)'!$Q$72/12/100</f>
        <v>2.6247862605552923</v>
      </c>
      <c r="Q31" s="1979">
        <f>Q27*'18)Kleegrassi-Fremdernt(a)'!$L$72*'18)Kleegrassi-Fremdernt(a)'!$Q$72/12/100</f>
        <v>2.1724463225344586</v>
      </c>
      <c r="R31" s="1981">
        <f>R27*'18)Kleegrassi-Fremdernt(a)'!$L$72*'18)Kleegrassi-Fremdernt(a)'!$Q$72/12/100</f>
        <v>0</v>
      </c>
      <c r="T31" s="3297" t="s">
        <v>1215</v>
      </c>
      <c r="U31" s="3308">
        <f>'18)Kleegrassi-Fremdernt(a)'!L30</f>
        <v>270</v>
      </c>
      <c r="V31" s="3308">
        <f>'18)Kleegrassi-Fremdernt(a)'!M30</f>
        <v>81</v>
      </c>
      <c r="W31" s="3308">
        <f>'18)Kleegrassi-Fremdernt(a)'!N30</f>
        <v>67.5</v>
      </c>
      <c r="X31" s="3308">
        <f>'18)Kleegrassi-Fremdernt(a)'!O30</f>
        <v>67.5</v>
      </c>
      <c r="Y31" s="3308">
        <f>'18)Kleegrassi-Fremdernt(a)'!P30</f>
        <v>54</v>
      </c>
      <c r="Z31" s="3308">
        <f>'18)Kleegrassi-Fremdernt(a)'!Q30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-1420.3623517976077</v>
      </c>
      <c r="N32" s="1769">
        <f t="shared" si="8"/>
        <v>-414.41731797075613</v>
      </c>
      <c r="O32" s="1769">
        <f t="shared" si="8"/>
        <v>-355.09058794940199</v>
      </c>
      <c r="P32" s="1769">
        <f t="shared" si="8"/>
        <v>-355.09058794940199</v>
      </c>
      <c r="Q32" s="1769">
        <f t="shared" si="8"/>
        <v>-295.7638579280478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67.5</v>
      </c>
      <c r="X32" s="429">
        <f t="shared" si="9"/>
        <v>67.5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-0.23572640006466014</v>
      </c>
      <c r="N33" s="1581">
        <f t="shared" si="10"/>
        <v>-0.22925864038863697</v>
      </c>
      <c r="O33" s="1581">
        <f t="shared" si="10"/>
        <v>-0.23572640006466017</v>
      </c>
      <c r="P33" s="1581">
        <f t="shared" si="10"/>
        <v>-0.23572640006466017</v>
      </c>
      <c r="Q33" s="1581">
        <f t="shared" si="10"/>
        <v>-0.24542803957869497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-0.14143584003879608</v>
      </c>
      <c r="N34" s="2149">
        <f t="shared" si="11"/>
        <v>-0.13755518423318217</v>
      </c>
      <c r="O34" s="2149">
        <f t="shared" si="11"/>
        <v>-0.14143584003879608</v>
      </c>
      <c r="P34" s="2149">
        <f t="shared" si="11"/>
        <v>-0.14143584003879608</v>
      </c>
      <c r="Q34" s="2149">
        <f t="shared" si="11"/>
        <v>-0.14725682374721699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'18)Kleegrassi-Fremdernt(a)'!K58</f>
        <v>11.04336</v>
      </c>
      <c r="N36" s="2397">
        <f>'18)Kleegrassi-Fremdernt(a)'!M58</f>
        <v>2.76084</v>
      </c>
      <c r="O36" s="2397">
        <f>'18)Kleegrassi-Fremdernt(a)'!N58</f>
        <v>2.76084</v>
      </c>
      <c r="P36" s="2397">
        <f>'18)Kleegrassi-Fremdernt(a)'!O58</f>
        <v>2.76084</v>
      </c>
      <c r="Q36" s="2397">
        <f>'18)Kleegrassi-Fremdernt(a)'!P58</f>
        <v>2.76084</v>
      </c>
      <c r="R36" s="2398">
        <f>'18)Kleegrassi-Fremdernt(a)'!Q58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'18)Kleegrassi-Fremdernt(a)'!K16</f>
        <v>47.979797979797979</v>
      </c>
      <c r="N37" s="2400">
        <f>'18)Kleegrassi-Fremdernt(a)'!M16</f>
        <v>14.393939393939394</v>
      </c>
      <c r="O37" s="2400">
        <f>'18)Kleegrassi-Fremdernt(a)'!N16</f>
        <v>11.994949494949495</v>
      </c>
      <c r="P37" s="2400">
        <f>'18)Kleegrassi-Fremdernt(a)'!O16</f>
        <v>11.994949494949495</v>
      </c>
      <c r="Q37" s="2400">
        <f>'18)Kleegrassi-Fremdernt(a)'!P16</f>
        <v>9.5959595959595951</v>
      </c>
      <c r="R37" s="2401">
        <f>'18)Kleegrassi-Fremdernt(a)'!Q16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'18)Kleegrassi-Fremdernt(a)'!M78</f>
        <v>4.8591666666666669</v>
      </c>
      <c r="O38" s="1997">
        <f>'18)Kleegrassi-Fremdernt(a)'!N78</f>
        <v>4.8591666666666669</v>
      </c>
      <c r="P38" s="1997">
        <f>'18)Kleegrassi-Fremdernt(a)'!O78</f>
        <v>4.8591666666666669</v>
      </c>
      <c r="Q38" s="1997">
        <f>'18)Kleegrassi-Fremdernt(a)'!P78</f>
        <v>4.8591666666666669</v>
      </c>
      <c r="R38" s="1998">
        <f>'18)Kleegrassi-Fremdernt(a)'!Q78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193.25880000000001</v>
      </c>
      <c r="N39" s="285">
        <f t="shared" si="13"/>
        <v>48.314700000000002</v>
      </c>
      <c r="O39" s="285">
        <f t="shared" si="13"/>
        <v>48.314700000000002</v>
      </c>
      <c r="P39" s="285">
        <f t="shared" si="13"/>
        <v>48.314700000000002</v>
      </c>
      <c r="Q39" s="285">
        <f t="shared" si="13"/>
        <v>48.314700000000002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233.14183501683502</v>
      </c>
      <c r="N40" s="285">
        <f>N37*N38</f>
        <v>69.942550505050505</v>
      </c>
      <c r="O40" s="285">
        <f>O37*O38</f>
        <v>58.285458754208754</v>
      </c>
      <c r="P40" s="285">
        <f>P37*P38</f>
        <v>58.285458754208754</v>
      </c>
      <c r="Q40" s="285">
        <f>Q37*Q38</f>
        <v>46.628367003367003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300</v>
      </c>
      <c r="N41" s="285">
        <f>N$6/$M$6*$M$41</f>
        <v>90</v>
      </c>
      <c r="O41" s="285">
        <f>O$6/$M$6*$M$41</f>
        <v>75</v>
      </c>
      <c r="P41" s="285">
        <f>P$6/$M$6*$M$41</f>
        <v>75</v>
      </c>
      <c r="Q41" s="285">
        <f>Q$6/$M$6*$M$41</f>
        <v>60</v>
      </c>
      <c r="R41" s="1574">
        <f>R$6/$M$6*$M$41</f>
        <v>0</v>
      </c>
      <c r="AG41" s="3674"/>
      <c r="AH41" s="3674"/>
      <c r="AI41" s="3674"/>
      <c r="AJ41" s="3674"/>
      <c r="AK41" s="3674"/>
      <c r="AL41" s="3674"/>
      <c r="AM41" s="3674"/>
      <c r="AN41" s="3674"/>
      <c r="AO41" s="3674"/>
      <c r="AP41" s="3674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17.254999999999999</v>
      </c>
      <c r="P42" s="285">
        <f>P$6/$M$6*$M$42</f>
        <v>17.254999999999999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32.200000000000003</v>
      </c>
      <c r="P44" s="1979">
        <f>P$6/$M$6*$M$44</f>
        <v>32.200000000000003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924.2206350168351</v>
      </c>
      <c r="N45" s="1991">
        <f t="shared" si="14"/>
        <v>267.60325050505048</v>
      </c>
      <c r="O45" s="1991">
        <f t="shared" si="14"/>
        <v>231.05515875420878</v>
      </c>
      <c r="P45" s="1991">
        <f t="shared" si="14"/>
        <v>231.05515875420878</v>
      </c>
      <c r="Q45" s="1991">
        <f t="shared" si="14"/>
        <v>194.50706700336701</v>
      </c>
      <c r="R45" s="1994">
        <f t="shared" si="14"/>
        <v>0</v>
      </c>
      <c r="AG45" s="17"/>
      <c r="AH45" s="17"/>
      <c r="AI45" s="3674"/>
      <c r="AJ45" s="168"/>
      <c r="AK45" s="3674"/>
      <c r="AL45" s="3674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74"/>
      <c r="AJ46" s="168"/>
      <c r="AK46" s="3674"/>
      <c r="AL46" s="3674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74"/>
      <c r="AJ47" s="168"/>
      <c r="AK47" s="3674"/>
      <c r="AL47" s="3674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2614.5829868144428</v>
      </c>
      <c r="N48" s="2127">
        <f t="shared" si="16"/>
        <v>763.02056847580661</v>
      </c>
      <c r="O48" s="2041">
        <f t="shared" si="16"/>
        <v>653.64574670361071</v>
      </c>
      <c r="P48" s="2041">
        <f t="shared" si="16"/>
        <v>653.64574670361071</v>
      </c>
      <c r="Q48" s="2041">
        <f t="shared" si="16"/>
        <v>544.27092493141481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-2614.5829868144428</v>
      </c>
      <c r="N49" s="2125">
        <f t="shared" si="17"/>
        <v>-763.02056847580661</v>
      </c>
      <c r="O49" s="1772">
        <f t="shared" si="17"/>
        <v>-653.64574670361071</v>
      </c>
      <c r="P49" s="1772">
        <f t="shared" si="17"/>
        <v>-653.64574670361071</v>
      </c>
      <c r="Q49" s="1772">
        <f t="shared" si="17"/>
        <v>-544.27092493141481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-0.43392183295484715</v>
      </c>
      <c r="N50" s="2511">
        <f t="shared" si="18"/>
        <v>-0.42210846538433605</v>
      </c>
      <c r="O50" s="2168">
        <f t="shared" si="18"/>
        <v>-0.43392183295484715</v>
      </c>
      <c r="P50" s="2168">
        <f t="shared" si="18"/>
        <v>-0.43392183295484715</v>
      </c>
      <c r="Q50" s="2168">
        <f t="shared" si="18"/>
        <v>-0.45164188431061386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67.5</v>
      </c>
      <c r="P51" s="2185">
        <f t="shared" si="19"/>
        <v>67.5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-2344.5829868144428</v>
      </c>
      <c r="N52" s="2178">
        <f t="shared" si="20"/>
        <v>-682.02056847580661</v>
      </c>
      <c r="O52" s="2081">
        <f t="shared" si="20"/>
        <v>-586.14574670361071</v>
      </c>
      <c r="P52" s="2081">
        <f t="shared" si="20"/>
        <v>-586.14574670361071</v>
      </c>
      <c r="Q52" s="2081">
        <f t="shared" si="20"/>
        <v>-490.27092493141481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-0.3891120504814467</v>
      </c>
      <c r="N53" s="2511">
        <f t="shared" si="21"/>
        <v>-0.3772986829109356</v>
      </c>
      <c r="O53" s="2168">
        <f t="shared" si="21"/>
        <v>-0.3891120504814467</v>
      </c>
      <c r="P53" s="2168">
        <f t="shared" si="21"/>
        <v>-0.3891120504814467</v>
      </c>
      <c r="Q53" s="2168">
        <f t="shared" si="21"/>
        <v>-0.40683210183721341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2344.5829868144428</v>
      </c>
      <c r="N55" s="2038">
        <f t="shared" si="22"/>
        <v>682.02056847580661</v>
      </c>
      <c r="O55" s="2038">
        <f t="shared" si="22"/>
        <v>586.14574670361071</v>
      </c>
      <c r="P55" s="2038">
        <f t="shared" si="22"/>
        <v>586.14574670361071</v>
      </c>
      <c r="Q55" s="2038">
        <f t="shared" si="22"/>
        <v>490.27092493141481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8.4437314954473948</v>
      </c>
      <c r="N56" s="2103">
        <f t="shared" si="24"/>
        <v>8.187381419167302</v>
      </c>
      <c r="O56" s="2103">
        <f t="shared" si="24"/>
        <v>8.4437314954473948</v>
      </c>
      <c r="P56" s="2103">
        <f t="shared" si="24"/>
        <v>8.4437314954473948</v>
      </c>
      <c r="Q56" s="2103">
        <f t="shared" si="24"/>
        <v>8.8282566098675321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24.124947129849698</v>
      </c>
      <c r="N57" s="3427">
        <f>IF($N$7=0,0,N$55/$N$9)</f>
        <v>23.392518340478006</v>
      </c>
      <c r="O57" s="3427">
        <f>IF($O$7=0,0,O$55/$O$9)</f>
        <v>24.124947129849698</v>
      </c>
      <c r="P57" s="3427">
        <f>IF($P$7=0,0,P$55/$P$9)</f>
        <v>24.124947129849698</v>
      </c>
      <c r="Q57" s="3427">
        <f>IF($Q$7=0,0,Q$55/$Q$9)</f>
        <v>25.223590313907231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55.728627869952795</v>
      </c>
      <c r="N58" s="2134">
        <f t="shared" si="25"/>
        <v>54.036717366504192</v>
      </c>
      <c r="O58" s="2134">
        <f t="shared" si="25"/>
        <v>55.728627869952795</v>
      </c>
      <c r="P58" s="2134">
        <f t="shared" si="25"/>
        <v>55.728627869952795</v>
      </c>
      <c r="Q58" s="2134">
        <f t="shared" si="25"/>
        <v>58.266493625125712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0.3891120504814467</v>
      </c>
      <c r="N59" s="2136">
        <f t="shared" si="25"/>
        <v>0.3772986829109356</v>
      </c>
      <c r="O59" s="2136">
        <f t="shared" si="25"/>
        <v>0.3891120504814467</v>
      </c>
      <c r="P59" s="2136">
        <f t="shared" si="25"/>
        <v>0.3891120504814467</v>
      </c>
      <c r="Q59" s="2136">
        <f t="shared" si="25"/>
        <v>0.40683210183721341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0.10808668068929075</v>
      </c>
      <c r="N60" s="2136">
        <f t="shared" si="26"/>
        <v>0.10480518969748212</v>
      </c>
      <c r="O60" s="2136">
        <f t="shared" si="26"/>
        <v>0.10808668068929075</v>
      </c>
      <c r="P60" s="2136">
        <f t="shared" si="26"/>
        <v>0.10808668068929075</v>
      </c>
      <c r="Q60" s="2136">
        <f t="shared" si="26"/>
        <v>0.11300891717700372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74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0.3891120504814467</v>
      </c>
      <c r="N61" s="2136">
        <f t="shared" si="27"/>
        <v>0.3772986829109356</v>
      </c>
      <c r="O61" s="2136">
        <f t="shared" si="27"/>
        <v>0.3891120504814467</v>
      </c>
      <c r="P61" s="2136">
        <f t="shared" si="27"/>
        <v>0.3891120504814467</v>
      </c>
      <c r="Q61" s="2136">
        <f t="shared" si="27"/>
        <v>0.40683210183721341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0.23346723028886801</v>
      </c>
      <c r="N62" s="2513">
        <f t="shared" si="28"/>
        <v>0.22637920974656134</v>
      </c>
      <c r="O62" s="2513">
        <f t="shared" si="28"/>
        <v>0.23346723028886801</v>
      </c>
      <c r="P62" s="2513">
        <f t="shared" si="28"/>
        <v>0.23346723028886801</v>
      </c>
      <c r="Q62" s="2513">
        <f t="shared" si="28"/>
        <v>0.24409926110232805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2111.4411517976077</v>
      </c>
      <c r="N63" s="1769">
        <f t="shared" si="29"/>
        <v>612.07801797075615</v>
      </c>
      <c r="O63" s="1769">
        <f t="shared" si="29"/>
        <v>527.86028794940194</v>
      </c>
      <c r="P63" s="1769">
        <f t="shared" si="29"/>
        <v>527.86028794940194</v>
      </c>
      <c r="Q63" s="1769">
        <f t="shared" si="29"/>
        <v>443.64255792804784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21.725998372152159</v>
      </c>
      <c r="N64" s="3427">
        <f>IF($N$7=0,0,N$63/$N$9)</f>
        <v>20.993569582780474</v>
      </c>
      <c r="O64" s="3427">
        <f>IF($O$7=0,0,O$63/$O$9)</f>
        <v>21.725998372152159</v>
      </c>
      <c r="P64" s="3427">
        <f>IF($P$7=0,0,P$63/$P$9)</f>
        <v>21.725998372152159</v>
      </c>
      <c r="Q64" s="3427">
        <f>IF($Q$7=0,0,Q$63/$Q$9)</f>
        <v>22.824641556209698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0.35041932858309938</v>
      </c>
      <c r="N65" s="2169">
        <f t="shared" si="30"/>
        <v>0.33860596101258827</v>
      </c>
      <c r="O65" s="2169">
        <f t="shared" si="30"/>
        <v>0.35041932858309938</v>
      </c>
      <c r="P65" s="2169">
        <f t="shared" si="30"/>
        <v>0.35041932858309938</v>
      </c>
      <c r="Q65" s="2169">
        <f t="shared" si="30"/>
        <v>0.36813937993886608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0.21025159714985961</v>
      </c>
      <c r="N66" s="2171">
        <f t="shared" si="30"/>
        <v>0.20316357660755294</v>
      </c>
      <c r="O66" s="2171">
        <f t="shared" si="30"/>
        <v>0.21025159714985961</v>
      </c>
      <c r="P66" s="2171">
        <f t="shared" si="30"/>
        <v>0.21025159714985961</v>
      </c>
      <c r="Q66" s="2171">
        <f t="shared" si="30"/>
        <v>0.22088362796331965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791.58694670888769</v>
      </c>
      <c r="N68" s="1772">
        <f t="shared" si="31"/>
        <v>237.4034666985761</v>
      </c>
      <c r="O68" s="1772">
        <f t="shared" si="31"/>
        <v>197.89673667722195</v>
      </c>
      <c r="P68" s="1772">
        <f t="shared" si="31"/>
        <v>197.89673667722195</v>
      </c>
      <c r="Q68" s="1772">
        <f t="shared" si="31"/>
        <v>158.39000665586778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0.13137347737336469</v>
      </c>
      <c r="N69" s="2031">
        <f t="shared" si="32"/>
        <v>0.13133330495301671</v>
      </c>
      <c r="O69" s="2031">
        <f t="shared" si="32"/>
        <v>0.13137347737336469</v>
      </c>
      <c r="P69" s="2031">
        <f t="shared" si="32"/>
        <v>0.13137347737336469</v>
      </c>
      <c r="Q69" s="2031">
        <f t="shared" si="32"/>
        <v>0.13143373600388666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1392.03420508872</v>
      </c>
      <c r="N70" s="1769">
        <f t="shared" si="33"/>
        <v>396.32855127217999</v>
      </c>
      <c r="O70" s="1769">
        <f t="shared" si="33"/>
        <v>348.00855127218</v>
      </c>
      <c r="P70" s="1769">
        <f t="shared" si="33"/>
        <v>348.00855127218</v>
      </c>
      <c r="Q70" s="1769">
        <f t="shared" si="33"/>
        <v>299.68855127218001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0.23102499972429039</v>
      </c>
      <c r="N71" s="2168">
        <f t="shared" si="34"/>
        <v>0.21925180457412727</v>
      </c>
      <c r="O71" s="2168">
        <f t="shared" si="34"/>
        <v>0.23102499972429039</v>
      </c>
      <c r="P71" s="2168">
        <f t="shared" si="34"/>
        <v>0.23102499972429039</v>
      </c>
      <c r="Q71" s="2168">
        <f t="shared" si="34"/>
        <v>0.24868479244953509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74"/>
      <c r="F97" s="3674"/>
      <c r="G97" s="3674"/>
      <c r="H97" s="3674"/>
      <c r="I97" s="3674"/>
      <c r="J97" s="3674"/>
      <c r="K97" s="3674"/>
      <c r="L97" s="203"/>
      <c r="M97" s="3674"/>
      <c r="N97" s="3674"/>
      <c r="O97" s="3674"/>
      <c r="P97" s="3674"/>
      <c r="Q97" s="3674"/>
      <c r="R97" s="3674"/>
      <c r="T97" s="3674"/>
      <c r="U97" s="3674"/>
      <c r="V97" s="3674"/>
      <c r="W97" s="3674"/>
      <c r="X97" s="3674"/>
      <c r="Y97" s="3674"/>
      <c r="Z97" s="3674"/>
      <c r="AA97" s="3674"/>
      <c r="AB97" s="3674"/>
      <c r="AC97" s="3674"/>
      <c r="AD97" s="3674"/>
      <c r="AE97" s="3674"/>
      <c r="AF97" s="3674"/>
    </row>
    <row r="98" spans="5:32" x14ac:dyDescent="0.2">
      <c r="E98" s="3674"/>
      <c r="F98" s="3674"/>
      <c r="G98" s="3674"/>
      <c r="H98" s="3674"/>
      <c r="I98" s="3674"/>
      <c r="J98" s="3674"/>
      <c r="K98" s="3674"/>
      <c r="L98" s="203"/>
      <c r="M98" s="3674"/>
      <c r="N98" s="3674"/>
      <c r="O98" s="3674"/>
      <c r="P98" s="3674"/>
      <c r="Q98" s="3674"/>
      <c r="R98" s="3674"/>
      <c r="T98" s="3674"/>
      <c r="U98" s="3674"/>
      <c r="V98" s="3674"/>
      <c r="W98" s="3674"/>
      <c r="X98" s="3674"/>
      <c r="Y98" s="3674"/>
      <c r="Z98" s="3674"/>
      <c r="AA98" s="3674"/>
      <c r="AB98" s="3674"/>
      <c r="AC98" s="3674"/>
      <c r="AD98" s="3674"/>
      <c r="AE98" s="3674"/>
      <c r="AF98" s="3674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W46"/>
  <sheetViews>
    <sheetView zoomScale="50" zoomScaleNormal="50" workbookViewId="0">
      <selection activeCell="G1" sqref="G1"/>
    </sheetView>
  </sheetViews>
  <sheetFormatPr baseColWidth="10" defaultRowHeight="12.75" x14ac:dyDescent="0.2"/>
  <cols>
    <col min="1" max="1" width="3.85546875" customWidth="1"/>
    <col min="2" max="17" width="10.85546875" customWidth="1"/>
    <col min="18" max="18" width="11.7109375" customWidth="1"/>
    <col min="19" max="19" width="12.5703125" customWidth="1"/>
    <col min="22" max="22" width="20.140625" bestFit="1" customWidth="1"/>
    <col min="23" max="23" width="18.5703125" customWidth="1"/>
  </cols>
  <sheetData>
    <row r="1" spans="2:23" ht="60.75" customHeight="1" x14ac:dyDescent="0.2">
      <c r="B1" s="3724"/>
      <c r="V1" s="3761"/>
      <c r="W1" s="3761"/>
    </row>
    <row r="2" spans="2:23" ht="33.75" customHeight="1" x14ac:dyDescent="0.2"/>
    <row r="3" spans="2:23" ht="33.75" customHeight="1" x14ac:dyDescent="0.2"/>
    <row r="4" spans="2:23" ht="33.75" customHeight="1" x14ac:dyDescent="0.2"/>
    <row r="5" spans="2:23" ht="33.75" customHeight="1" x14ac:dyDescent="0.2"/>
    <row r="6" spans="2:23" ht="33.75" customHeight="1" x14ac:dyDescent="0.2"/>
    <row r="7" spans="2:23" ht="33.75" customHeight="1" x14ac:dyDescent="0.2"/>
    <row r="8" spans="2:23" ht="33.75" customHeight="1" x14ac:dyDescent="0.2"/>
    <row r="9" spans="2:23" ht="33.75" customHeight="1" x14ac:dyDescent="0.2"/>
    <row r="10" spans="2:23" ht="33.75" customHeight="1" x14ac:dyDescent="0.2"/>
    <row r="11" spans="2:23" ht="33.75" customHeight="1" x14ac:dyDescent="0.2"/>
    <row r="12" spans="2:23" ht="33.75" customHeight="1" x14ac:dyDescent="0.2"/>
    <row r="13" spans="2:23" ht="33.75" customHeight="1" x14ac:dyDescent="0.2"/>
    <row r="14" spans="2:23" ht="33.75" customHeight="1" x14ac:dyDescent="0.2"/>
    <row r="15" spans="2:23" ht="33.75" customHeight="1" x14ac:dyDescent="0.2"/>
    <row r="16" spans="2:23" ht="33.75" customHeight="1" x14ac:dyDescent="0.2"/>
    <row r="17" spans="1:19" ht="33.75" customHeight="1" x14ac:dyDescent="0.2"/>
    <row r="18" spans="1:19" ht="33.75" customHeight="1" x14ac:dyDescent="0.2"/>
    <row r="19" spans="1:19" ht="33.75" customHeight="1" x14ac:dyDescent="0.2"/>
    <row r="20" spans="1:19" ht="33.75" customHeight="1" x14ac:dyDescent="0.2"/>
    <row r="21" spans="1:19" ht="33.75" customHeight="1" x14ac:dyDescent="0.2"/>
    <row r="22" spans="1:19" ht="33.75" customHeight="1" x14ac:dyDescent="0.2"/>
    <row r="23" spans="1:19" ht="33.75" customHeight="1" x14ac:dyDescent="0.2"/>
    <row r="24" spans="1:19" ht="33.75" customHeight="1" x14ac:dyDescent="0.2"/>
    <row r="25" spans="1:19" ht="33.75" customHeight="1" x14ac:dyDescent="0.2"/>
    <row r="26" spans="1:19" ht="27.75" customHeight="1" x14ac:dyDescent="0.2">
      <c r="B26" s="3495" t="s">
        <v>1453</v>
      </c>
    </row>
    <row r="27" spans="1:19" ht="29.25" customHeight="1" x14ac:dyDescent="0.2">
      <c r="B27" s="3495" t="str">
        <f>"2) alle Kosten inkl. Mwst.;  Preise für Kraftfuttermittel (inkl. Mwst. sowie Quetschen bei Getreide bzw. Eigenmischung,"&amp;ROUND($Q$43,2)&amp; " €/dt):"</f>
        <v>2) alle Kosten inkl. Mwst.;  Preise für Kraftfuttermittel (inkl. Mwst. sowie Quetschen bei Getreide bzw. Eigenmischung,2,5 €/dt):</v>
      </c>
    </row>
    <row r="28" spans="1:19" ht="20.25" x14ac:dyDescent="0.2">
      <c r="B28" s="3495" t="str">
        <f xml:space="preserve"> "    Futtergerste"&amp;ROUND($Q$44,2)&amp; " €/dt; MLF 14:3, 6,7 MJ NEL:"&amp;ROUND(R42,2)&amp;" €/dt;MLF 18:3, 6,7 MJNEL:"&amp;ROUND(S42,2)&amp; " €/dt alle inkl. Mwst.)"</f>
        <v xml:space="preserve">    Futtergerste32 €/dt; MLF 14:3, 6,7 MJ NEL:32,7 €/dt;MLF 18:3, 6,7 MJNEL:33,5 €/dt alle inkl. Mwst.)</v>
      </c>
    </row>
    <row r="30" spans="1:19" ht="13.5" thickBot="1" x14ac:dyDescent="0.25"/>
    <row r="31" spans="1:19" ht="30" x14ac:dyDescent="0.2">
      <c r="B31" s="3695" t="s">
        <v>1647</v>
      </c>
      <c r="C31" s="474" t="s">
        <v>1648</v>
      </c>
      <c r="D31" s="474" t="s">
        <v>1435</v>
      </c>
      <c r="E31" t="s">
        <v>1051</v>
      </c>
      <c r="F31" t="s">
        <v>220</v>
      </c>
      <c r="G31" s="1424" t="str">
        <f>'Übersicht wichtige Verfahren'!$S$4</f>
        <v>intensiv</v>
      </c>
      <c r="H31" t="s">
        <v>674</v>
      </c>
      <c r="I31" t="s">
        <v>675</v>
      </c>
      <c r="J31" t="s">
        <v>676</v>
      </c>
      <c r="K31" s="3695" t="s">
        <v>1650</v>
      </c>
      <c r="L31" s="1424" t="str">
        <f>'Übersicht wichtige Verfahren'!$AC$3</f>
        <v>Zwisch.frucht Raps
 grün</v>
      </c>
      <c r="M31" s="1424" t="str">
        <f>'Übersicht wichtige Verfahren'!$W$3</f>
        <v>Silomais intensiv</v>
      </c>
      <c r="N31" s="1424" t="str">
        <f>'Übersicht wichtige Verfahren'!$AG$3</f>
        <v>GPS Weizen</v>
      </c>
      <c r="P31" s="1905" t="s">
        <v>327</v>
      </c>
      <c r="Q31" s="1905" t="s">
        <v>286</v>
      </c>
      <c r="R31" s="1905" t="s">
        <v>148</v>
      </c>
      <c r="S31" s="4156" t="s">
        <v>1897</v>
      </c>
    </row>
    <row r="32" spans="1:19" s="3487" customFormat="1" ht="24" customHeight="1" x14ac:dyDescent="0.25">
      <c r="A32" s="3487" t="s">
        <v>565</v>
      </c>
      <c r="B32" s="3493">
        <f>'Übersicht wichtige Verfahren'!$F$49</f>
        <v>0.33676891480745774</v>
      </c>
      <c r="C32" s="3493">
        <f>'Übersicht wichtige Verfahren'!$I$49</f>
        <v>0.48847902145439115</v>
      </c>
      <c r="D32" s="3493">
        <f>'Übersicht wichtige Verfahren'!$K$49</f>
        <v>0.48013868533352216</v>
      </c>
      <c r="E32" s="3493">
        <f>'Übersicht wichtige Verfahren'!$J$49</f>
        <v>0.44268918749600461</v>
      </c>
      <c r="F32" s="3493">
        <f>'Übersicht wichtige Verfahren'!$R$49</f>
        <v>0.41312982643961721</v>
      </c>
      <c r="G32" s="3493">
        <f>'Übersicht wichtige Verfahren'!$S$49</f>
        <v>0.34926243133055968</v>
      </c>
      <c r="H32" s="3493">
        <f>'Übersicht wichtige Verfahren'!$P$49</f>
        <v>0.4976239487878798</v>
      </c>
      <c r="I32" s="3493">
        <f>'Übersicht wichtige Verfahren'!$Q$49</f>
        <v>0.62546186154475447</v>
      </c>
      <c r="J32" s="3493">
        <f>'Übersicht wichtige Verfahren'!$T$49</f>
        <v>0.25684143961641381</v>
      </c>
      <c r="K32" s="3493">
        <f>'Übersicht wichtige Verfahren'!$U$49</f>
        <v>0.3891120504814467</v>
      </c>
      <c r="L32" s="3493">
        <f>'Übersicht wichtige Verfahren'!AD49</f>
        <v>0.17353765038799251</v>
      </c>
      <c r="M32" s="3493">
        <f>'Übersicht wichtige Verfahren'!$X$49</f>
        <v>0.3189531250874062</v>
      </c>
      <c r="N32" s="3493">
        <f>'Übersicht wichtige Verfahren'!$AH$49</f>
        <v>0.3633892071462087</v>
      </c>
      <c r="O32" s="3493"/>
      <c r="P32" s="3494">
        <f>$Q$46</f>
        <v>0.44444444444444448</v>
      </c>
      <c r="Q32" s="3494">
        <f>$R$46</f>
        <v>0.48805970149253741</v>
      </c>
      <c r="R32" s="3494">
        <f>$S$46</f>
        <v>0.5</v>
      </c>
      <c r="S32" s="3494">
        <f>$T$46</f>
        <v>0.52142857142857146</v>
      </c>
    </row>
    <row r="33" spans="1:21" ht="28.5" hidden="1" customHeight="1" thickBot="1" x14ac:dyDescent="0.25">
      <c r="A33" t="s">
        <v>60</v>
      </c>
      <c r="B33" s="1424">
        <f>'Übersicht wichtige Verfahren'!F55</f>
        <v>0.33676891480745774</v>
      </c>
      <c r="C33" s="1424"/>
      <c r="D33" s="1424">
        <f>'Übersicht wichtige Verfahren'!K55</f>
        <v>0.43610235668400488</v>
      </c>
      <c r="E33" s="1424">
        <f>'Übersicht wichtige Verfahren'!J55</f>
        <v>0.40135941060733799</v>
      </c>
      <c r="F33" s="1424"/>
      <c r="G33" s="1424">
        <f>'Übersicht wichtige Verfahren'!S55</f>
        <v>0.34926243133055968</v>
      </c>
      <c r="H33" s="1424">
        <f>'Übersicht wichtige Verfahren'!P55</f>
        <v>0.46050845084006853</v>
      </c>
      <c r="I33" s="1424">
        <f>'Übersicht wichtige Verfahren'!Q55</f>
        <v>0.59023565033013148</v>
      </c>
      <c r="J33" s="1424">
        <f>'Übersicht wichtige Verfahren'!U55</f>
        <v>0.35041932858309938</v>
      </c>
      <c r="K33" s="1424">
        <f>'Übersicht wichtige Verfahren'!AA55</f>
        <v>0.3892211497460244</v>
      </c>
      <c r="L33" s="1424" t="e">
        <f>'Übersicht wichtige Verfahren'!#REF!</f>
        <v>#REF!</v>
      </c>
      <c r="M33" s="1424">
        <f>'Übersicht wichtige Verfahren'!X55</f>
        <v>0.28643093347430548</v>
      </c>
      <c r="N33" s="1424">
        <f>'Übersicht wichtige Verfahren'!AH55</f>
        <v>0.33106630406059373</v>
      </c>
      <c r="O33" s="1424"/>
      <c r="P33" s="1906"/>
      <c r="Q33" s="1906"/>
      <c r="R33" s="1907"/>
    </row>
    <row r="34" spans="1:21" ht="32.25" customHeight="1" x14ac:dyDescent="0.2"/>
    <row r="41" spans="1:21" s="907" customFormat="1" ht="36" customHeight="1" x14ac:dyDescent="0.2">
      <c r="Q41" s="907" t="s">
        <v>327</v>
      </c>
      <c r="R41" s="907" t="s">
        <v>1863</v>
      </c>
      <c r="S41" s="907" t="s">
        <v>1864</v>
      </c>
      <c r="T41" s="907" t="s">
        <v>1896</v>
      </c>
    </row>
    <row r="42" spans="1:21" s="907" customFormat="1" ht="27" customHeight="1" x14ac:dyDescent="0.3">
      <c r="I42" s="3496" t="s">
        <v>324</v>
      </c>
      <c r="J42" s="3488"/>
      <c r="K42" s="3488"/>
      <c r="L42" s="3488"/>
      <c r="M42" s="3488" t="s">
        <v>322</v>
      </c>
      <c r="N42" s="3488"/>
      <c r="O42" s="3488"/>
      <c r="P42" s="3488"/>
      <c r="Q42" s="3489">
        <v>29.5</v>
      </c>
      <c r="R42" s="3489">
        <v>32.700000000000003</v>
      </c>
      <c r="S42" s="3489">
        <v>33.5</v>
      </c>
      <c r="T42" s="4154">
        <v>36.5</v>
      </c>
      <c r="U42" s="907" t="s">
        <v>1898</v>
      </c>
    </row>
    <row r="43" spans="1:21" s="907" customFormat="1" ht="27" customHeight="1" x14ac:dyDescent="0.3">
      <c r="I43" s="3488" t="s">
        <v>144</v>
      </c>
      <c r="J43" s="3488"/>
      <c r="K43" s="3488"/>
      <c r="L43" s="3488"/>
      <c r="M43" s="3488" t="s">
        <v>322</v>
      </c>
      <c r="N43" s="3488"/>
      <c r="O43" s="3488"/>
      <c r="P43" s="3488"/>
      <c r="Q43" s="3489">
        <v>2.5</v>
      </c>
      <c r="R43" s="3490"/>
      <c r="S43" s="3490"/>
      <c r="T43" s="4153"/>
    </row>
    <row r="44" spans="1:21" s="907" customFormat="1" ht="27" customHeight="1" x14ac:dyDescent="0.3">
      <c r="I44" s="3488"/>
      <c r="J44" s="3488"/>
      <c r="K44" s="3488"/>
      <c r="L44" s="3488"/>
      <c r="M44" s="3488"/>
      <c r="N44" s="3488"/>
      <c r="O44" s="3488"/>
      <c r="P44" s="3488"/>
      <c r="Q44" s="3490">
        <f>Q42+Q43</f>
        <v>32</v>
      </c>
      <c r="R44" s="3490"/>
      <c r="S44" s="3490"/>
      <c r="T44" s="4153"/>
    </row>
    <row r="45" spans="1:21" s="907" customFormat="1" ht="27" customHeight="1" x14ac:dyDescent="0.3">
      <c r="I45" s="3488" t="s">
        <v>325</v>
      </c>
      <c r="J45" s="3488"/>
      <c r="K45" s="3488"/>
      <c r="L45" s="3488"/>
      <c r="M45" s="3488" t="s">
        <v>323</v>
      </c>
      <c r="N45" s="3488"/>
      <c r="O45" s="3488"/>
      <c r="P45" s="3488"/>
      <c r="Q45" s="3491">
        <v>720</v>
      </c>
      <c r="R45" s="3491">
        <v>670</v>
      </c>
      <c r="S45" s="3491">
        <v>670</v>
      </c>
      <c r="T45" s="3488">
        <v>700</v>
      </c>
    </row>
    <row r="46" spans="1:21" s="907" customFormat="1" ht="27" customHeight="1" x14ac:dyDescent="0.3">
      <c r="I46" s="3496" t="s">
        <v>326</v>
      </c>
      <c r="J46" s="3496"/>
      <c r="K46" s="3496"/>
      <c r="L46" s="3496"/>
      <c r="M46" s="3496" t="s">
        <v>271</v>
      </c>
      <c r="N46" s="3496"/>
      <c r="O46" s="3488"/>
      <c r="P46" s="3488"/>
      <c r="Q46" s="3492">
        <f>($Q$42+$Q$43)/$Q$45*10</f>
        <v>0.44444444444444448</v>
      </c>
      <c r="R46" s="3492">
        <f>($R$42+$R$43)/$R$45*10</f>
        <v>0.48805970149253741</v>
      </c>
      <c r="S46" s="3492">
        <f>($S$42+$S$43)/$S$45*10</f>
        <v>0.5</v>
      </c>
      <c r="T46" s="3492">
        <f>($T$42+$T$43)/$T$45*10</f>
        <v>0.52142857142857146</v>
      </c>
    </row>
  </sheetData>
  <phoneticPr fontId="0" type="noConversion"/>
  <printOptions horizontalCentered="1" verticalCentered="1"/>
  <pageMargins left="0.39370078740157483" right="0.23" top="0.59055118110236227" bottom="0.68" header="0.51181102362204722" footer="0.51181102362204722"/>
  <pageSetup paperSize="9" scale="56" orientation="landscape" r:id="rId1"/>
  <headerFooter alignWithMargins="0">
    <oddFooter>&amp;L&amp;14LEL Schwäbisch Gmünd, Abtlg. II
LAZBW Aulendorf&amp;C&amp;14 11a&amp;R&amp;14&amp;F   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9">
    <tabColor theme="6"/>
    <pageSetUpPr fitToPage="1"/>
  </sheetPr>
  <dimension ref="A1:AS83"/>
  <sheetViews>
    <sheetView showGridLines="0" showZeros="0" zoomScaleNormal="100" workbookViewId="0">
      <pane xSplit="12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79" customWidth="1"/>
    <col min="26" max="26" width="11.140625" style="530" customWidth="1"/>
    <col min="27" max="30" width="8.85546875" style="530" customWidth="1"/>
    <col min="31" max="33" width="11" style="3679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1625</v>
      </c>
      <c r="L2" s="4312"/>
      <c r="M2" s="4312"/>
      <c r="N2" s="4312"/>
      <c r="O2" s="4312"/>
      <c r="P2" s="4312"/>
      <c r="Q2" s="4313"/>
      <c r="R2" s="538"/>
      <c r="S2" s="3679"/>
      <c r="T2" s="3679"/>
      <c r="U2" s="523"/>
      <c r="V2" s="523"/>
      <c r="W2" s="523"/>
      <c r="X2" s="523"/>
      <c r="Y2" s="3679"/>
      <c r="Z2" s="523"/>
      <c r="AA2" s="523"/>
      <c r="AB2" s="523"/>
      <c r="AC2" s="523"/>
      <c r="AD2" s="523"/>
      <c r="AE2" s="3679"/>
      <c r="AF2" s="3679"/>
      <c r="AG2" s="3679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14" t="s">
        <v>1626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79"/>
      <c r="U3" s="3679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79"/>
      <c r="AF3" s="3679"/>
      <c r="AG3" s="3679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79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79"/>
      <c r="AF4" s="3679"/>
      <c r="AG4" s="3679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79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79"/>
      <c r="AF5" s="3679"/>
      <c r="AG5" s="3679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110</v>
      </c>
      <c r="L6" s="1676"/>
      <c r="M6" s="520">
        <f>$K$6*M7/100</f>
        <v>33</v>
      </c>
      <c r="N6" s="521">
        <f>$K$6*N7/100</f>
        <v>27.5</v>
      </c>
      <c r="O6" s="521">
        <f>$K$6*O7/100</f>
        <v>27.5</v>
      </c>
      <c r="P6" s="521">
        <f>$K$6*P7/100</f>
        <v>22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79"/>
      <c r="Z6" s="525"/>
      <c r="AA6" s="525"/>
      <c r="AB6" s="525"/>
      <c r="AC6" s="525"/>
      <c r="AD6" s="525"/>
      <c r="AE6" s="3679"/>
      <c r="AF6" s="3679"/>
      <c r="AG6" s="3679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25</v>
      </c>
      <c r="O7" s="466">
        <v>25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79"/>
      <c r="Z7" s="525"/>
      <c r="AA7" s="525"/>
      <c r="AB7" s="525"/>
      <c r="AC7" s="525"/>
      <c r="AD7" s="525"/>
      <c r="AE7" s="3679"/>
      <c r="AF7" s="3679"/>
      <c r="AG7" s="3679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79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79"/>
      <c r="Z9" s="540"/>
      <c r="AA9" s="540"/>
      <c r="AB9" s="540"/>
      <c r="AC9" s="540"/>
      <c r="AD9" s="540"/>
      <c r="AE9" s="3679"/>
      <c r="AF9" s="3679"/>
      <c r="AG9" s="367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79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33</v>
      </c>
      <c r="L10" s="1679"/>
      <c r="M10" s="443">
        <v>33</v>
      </c>
      <c r="N10" s="444">
        <v>33</v>
      </c>
      <c r="O10" s="444">
        <v>33</v>
      </c>
      <c r="P10" s="444">
        <v>33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79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35</v>
      </c>
      <c r="L11" s="1682"/>
      <c r="M11" s="488">
        <v>35</v>
      </c>
      <c r="N11" s="489">
        <v>35</v>
      </c>
      <c r="O11" s="489">
        <v>35</v>
      </c>
      <c r="P11" s="489">
        <v>35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79" customFormat="1" ht="14.25" customHeight="1" x14ac:dyDescent="0.2">
      <c r="B12" s="566"/>
      <c r="C12" s="207"/>
      <c r="D12" s="50" t="s">
        <v>234</v>
      </c>
      <c r="F12" s="3297" t="s">
        <v>1016</v>
      </c>
      <c r="J12" s="512" t="s">
        <v>235</v>
      </c>
      <c r="K12" s="1614">
        <f>IF(M15=0,0,(M$15*M12+N$15*N12+O$15*O12+P$15*P12+Q$15*Q12)/K$15)</f>
        <v>6.8</v>
      </c>
      <c r="L12" s="1679"/>
      <c r="M12" s="644">
        <v>6.8</v>
      </c>
      <c r="N12" s="645">
        <v>6.8</v>
      </c>
      <c r="O12" s="645">
        <v>6.8</v>
      </c>
      <c r="P12" s="645">
        <v>6.8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79" customFormat="1" ht="14.25" customHeight="1" x14ac:dyDescent="0.2">
      <c r="A13" s="36"/>
      <c r="B13" s="841"/>
      <c r="C13" s="173"/>
      <c r="D13" s="54"/>
      <c r="E13" s="36"/>
      <c r="F13" s="3675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2.3800000000000003</v>
      </c>
      <c r="L13" s="1683"/>
      <c r="M13" s="641">
        <f>M12*M11/100</f>
        <v>2.38</v>
      </c>
      <c r="N13" s="642">
        <f>N12*N11/100</f>
        <v>2.38</v>
      </c>
      <c r="O13" s="642">
        <f>O12*O11/100</f>
        <v>2.38</v>
      </c>
      <c r="P13" s="642">
        <f>P12*P11/100</f>
        <v>2.38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79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104.5</v>
      </c>
      <c r="L14" s="1684"/>
      <c r="M14" s="251">
        <f>M6*(100-M8)/100</f>
        <v>31.35</v>
      </c>
      <c r="N14" s="252">
        <f>N6*(100-N8)/100</f>
        <v>26.125</v>
      </c>
      <c r="O14" s="252">
        <f>O6*(100-O8)/100</f>
        <v>26.125</v>
      </c>
      <c r="P14" s="252">
        <f>P6*(100-P8)/100</f>
        <v>20.9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79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316.66666666666663</v>
      </c>
      <c r="L15" s="1684"/>
      <c r="M15" s="251">
        <f>IF(M10=0,0,M14/M10*100)</f>
        <v>95</v>
      </c>
      <c r="N15" s="252">
        <f>IF(N10=0,0,N14/N10*100)</f>
        <v>79.166666666666657</v>
      </c>
      <c r="O15" s="252">
        <f>IF(O10=0,0,O14/O10*100)</f>
        <v>79.166666666666657</v>
      </c>
      <c r="P15" s="252">
        <f>IF(P10=0,0,P14/P10*100)</f>
        <v>63.333333333333329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3675" t="s">
        <v>831</v>
      </c>
      <c r="E16" s="607"/>
      <c r="F16" s="36"/>
      <c r="G16" s="607"/>
      <c r="H16" s="607"/>
      <c r="I16" s="607"/>
      <c r="J16" s="453" t="s">
        <v>832</v>
      </c>
      <c r="K16" s="4315">
        <f>SUM(M16:Q16)</f>
        <v>46.568627450980387</v>
      </c>
      <c r="L16" s="4311"/>
      <c r="M16" s="3670">
        <f>IF(M12=0,0,M15/M12)</f>
        <v>13.970588235294118</v>
      </c>
      <c r="N16" s="2420">
        <f t="shared" ref="N16:Q16" si="1">IF(N12=0,0,N15/N12)</f>
        <v>11.642156862745097</v>
      </c>
      <c r="O16" s="2420">
        <f t="shared" si="1"/>
        <v>11.642156862745097</v>
      </c>
      <c r="P16" s="2420">
        <f t="shared" si="1"/>
        <v>9.3137254901960773</v>
      </c>
      <c r="Q16" s="2421">
        <f t="shared" si="1"/>
        <v>0</v>
      </c>
      <c r="R16" s="539"/>
      <c r="S16" s="608"/>
      <c r="T16" s="608"/>
      <c r="U16" s="608"/>
      <c r="V16" s="608"/>
      <c r="W16" s="608"/>
      <c r="X16" s="608"/>
      <c r="Y16" s="3679"/>
      <c r="Z16" s="608"/>
      <c r="AA16" s="2731" t="s">
        <v>564</v>
      </c>
      <c r="AB16" s="608"/>
      <c r="AC16" s="3042">
        <v>0</v>
      </c>
      <c r="AD16" s="608"/>
      <c r="AE16" s="3679"/>
      <c r="AF16" s="3679"/>
      <c r="AG16" s="3679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97.185000000000002</v>
      </c>
      <c r="L17" s="1686"/>
      <c r="M17" s="251">
        <f>M14*(100-M9)/100</f>
        <v>29.155500000000004</v>
      </c>
      <c r="N17" s="254">
        <f>N14*(100-N9)/100</f>
        <v>24.296250000000001</v>
      </c>
      <c r="O17" s="254">
        <f>O14*(100-O9)/100</f>
        <v>24.296250000000001</v>
      </c>
      <c r="P17" s="254">
        <f>P14*(100-P9)/100</f>
        <v>19.436999999999998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79"/>
      <c r="Z17" s="525"/>
      <c r="AA17" s="3045" t="s">
        <v>361</v>
      </c>
      <c r="AB17" s="525"/>
      <c r="AC17" s="3044">
        <v>0</v>
      </c>
      <c r="AD17" s="525"/>
      <c r="AE17" s="3679"/>
      <c r="AF17" s="3679"/>
      <c r="AG17" s="3679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277.67142857142858</v>
      </c>
      <c r="L18" s="1686"/>
      <c r="M18" s="251">
        <f>IF(M11=0,0,M17/M11*100)</f>
        <v>83.301428571428588</v>
      </c>
      <c r="N18" s="254">
        <f>IF(N11=0,0,N17/N11*100)</f>
        <v>69.417857142857144</v>
      </c>
      <c r="O18" s="254">
        <f>IF(O11=0,0,O17/O11*100)</f>
        <v>69.417857142857144</v>
      </c>
      <c r="P18" s="254">
        <f>IF(P11=0,0,P17/P11*100)</f>
        <v>55.534285714285701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79"/>
      <c r="Z18" s="525"/>
      <c r="AA18" s="525"/>
      <c r="AB18" s="525"/>
      <c r="AC18" s="525"/>
      <c r="AD18" s="525"/>
      <c r="AE18" s="3679"/>
      <c r="AF18" s="3679"/>
      <c r="AG18" s="3679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3671" t="s">
        <v>1203</v>
      </c>
      <c r="K19" s="1687">
        <f t="shared" si="0"/>
        <v>40.834033613445378</v>
      </c>
      <c r="L19" s="1688"/>
      <c r="M19" s="504">
        <f>IF(M12=0,0,1/M12*M18)</f>
        <v>12.250210084033617</v>
      </c>
      <c r="N19" s="505">
        <f>IF(N12=0,0,1/N12*N18)</f>
        <v>10.208508403361344</v>
      </c>
      <c r="O19" s="505">
        <f>IF(O12=0,0,1/O12*O18)</f>
        <v>10.208508403361344</v>
      </c>
      <c r="P19" s="505">
        <f>IF(P12=0,0,1/P12*P18)</f>
        <v>8.1668067226890741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79"/>
      <c r="Z19" s="525"/>
      <c r="AA19" s="525"/>
      <c r="AB19" s="525"/>
      <c r="AC19" s="525"/>
      <c r="AD19" s="525"/>
      <c r="AE19" s="3679"/>
      <c r="AF19" s="3679"/>
      <c r="AG19" s="367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79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5.8</v>
      </c>
      <c r="L20" s="1689"/>
      <c r="M20" s="312">
        <v>5.8</v>
      </c>
      <c r="N20" s="313">
        <v>5.8</v>
      </c>
      <c r="O20" s="313">
        <v>5.8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79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9.6666666666666661</v>
      </c>
      <c r="L21" s="1689"/>
      <c r="M21" s="515">
        <f>IF($G21=0,0,M20/$G21)</f>
        <v>9.6666666666666661</v>
      </c>
      <c r="N21" s="516">
        <f>IF($G21=0,0,N20/$G21)</f>
        <v>9.6666666666666661</v>
      </c>
      <c r="O21" s="516">
        <f>IF($G21=0,0,O20/$G21)</f>
        <v>9.6666666666666661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79"/>
      <c r="Z21" s="525"/>
      <c r="AA21" s="525"/>
      <c r="AB21" s="525"/>
      <c r="AC21" s="525"/>
      <c r="AD21" s="525"/>
      <c r="AE21" s="3679"/>
      <c r="AF21" s="3679"/>
      <c r="AG21" s="3679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5636.73</v>
      </c>
      <c r="L22" s="1690"/>
      <c r="M22" s="446">
        <f t="shared" ref="M22:Q23" si="2">M$17*M20*10</f>
        <v>1691.0190000000002</v>
      </c>
      <c r="N22" s="448">
        <f t="shared" si="2"/>
        <v>1409.1824999999999</v>
      </c>
      <c r="O22" s="448">
        <f t="shared" si="2"/>
        <v>1409.1824999999999</v>
      </c>
      <c r="P22" s="448">
        <f t="shared" si="2"/>
        <v>1127.3459999999998</v>
      </c>
      <c r="Q22" s="450">
        <f t="shared" si="2"/>
        <v>0</v>
      </c>
      <c r="R22" s="539"/>
      <c r="S22" s="539"/>
      <c r="T22" s="525"/>
      <c r="U22" s="525"/>
      <c r="V22" s="525"/>
      <c r="W22" s="525"/>
      <c r="X22" s="525"/>
      <c r="Y22" s="3679"/>
      <c r="Z22" s="525"/>
      <c r="AA22" s="525"/>
      <c r="AB22" s="525"/>
      <c r="AC22" s="525"/>
      <c r="AD22" s="525"/>
      <c r="AE22" s="3679"/>
      <c r="AF22" s="3679"/>
      <c r="AG22" s="3679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9394.5499999999993</v>
      </c>
      <c r="L23" s="1691"/>
      <c r="M23" s="447">
        <f t="shared" si="2"/>
        <v>2818.3649999999998</v>
      </c>
      <c r="N23" s="449">
        <f t="shared" si="2"/>
        <v>2348.6374999999998</v>
      </c>
      <c r="O23" s="449">
        <f t="shared" si="2"/>
        <v>2348.6374999999998</v>
      </c>
      <c r="P23" s="449">
        <f t="shared" si="2"/>
        <v>1878.9099999999996</v>
      </c>
      <c r="Q23" s="451">
        <f t="shared" si="2"/>
        <v>0</v>
      </c>
      <c r="R23" s="539"/>
      <c r="S23" s="539"/>
      <c r="T23" s="525"/>
      <c r="U23" s="525"/>
      <c r="V23" s="525"/>
      <c r="W23" s="525"/>
      <c r="X23" s="525"/>
      <c r="Y23" s="3679"/>
      <c r="Z23" s="525"/>
      <c r="AA23" s="525"/>
      <c r="AB23" s="525"/>
      <c r="AC23" s="525"/>
      <c r="AD23" s="525"/>
      <c r="AE23" s="3679"/>
      <c r="AF23" s="3679"/>
      <c r="AG23" s="3679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79"/>
      <c r="Z24" s="525"/>
      <c r="AA24" s="525"/>
      <c r="AB24" s="525"/>
      <c r="AC24" s="525"/>
      <c r="AD24" s="525"/>
      <c r="AE24" s="3679"/>
      <c r="AF24" s="3679"/>
      <c r="AG24" s="3679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79"/>
      <c r="Z25" s="527"/>
      <c r="AA25" s="527"/>
      <c r="AB25" s="527"/>
      <c r="AC25" s="527"/>
      <c r="AD25" s="527"/>
      <c r="AE25" s="3679"/>
      <c r="AF25" s="3679"/>
      <c r="AG25" s="3679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 s="3679"/>
      <c r="I26" s="3679"/>
      <c r="J26" s="3679"/>
      <c r="K26" s="1694"/>
      <c r="L26" s="1631">
        <f>IF($B26=0,0,VLOOKUP($B26,Ausglleist!$C$8:$O$32,13,FALSE))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 s="3679"/>
      <c r="Z26" s="528"/>
      <c r="AA26" s="528"/>
      <c r="AB26" s="528"/>
      <c r="AC26" s="528"/>
      <c r="AD26" s="528"/>
      <c r="AE26" s="3679"/>
      <c r="AF26" s="3679"/>
      <c r="AG26" s="3679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79"/>
      <c r="I27" s="3679"/>
      <c r="J27" s="3679"/>
      <c r="K27" s="1694"/>
      <c r="L27" s="1631">
        <f>IF($B27=0,0,VLOOKUP($B27,Ausglleist!$C$8:$O$32,13,FALSE))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 s="3679"/>
      <c r="Z27" s="528"/>
      <c r="AA27" s="528"/>
      <c r="AB27" s="528"/>
      <c r="AC27" s="528"/>
      <c r="AD27" s="528"/>
      <c r="AE27" s="3679"/>
      <c r="AF27" s="3679"/>
      <c r="AG27" s="3679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79"/>
      <c r="I28" s="3679"/>
      <c r="J28" s="3679"/>
      <c r="K28" s="1694"/>
      <c r="L28" s="1631">
        <f>IF($B28=0,0,VLOOKUP($B28,Ausglleist!$C$8:$O$32,13,FALSE))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 s="3679"/>
      <c r="Z28" s="528"/>
      <c r="AA28" s="528"/>
      <c r="AB28" s="528"/>
      <c r="AC28" s="528"/>
      <c r="AD28" s="528"/>
      <c r="AE28" s="3679"/>
      <c r="AF28" s="3679"/>
      <c r="AG28" s="3679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631">
        <f>IF($B29=0,0,VLOOKUP($B29,Ausglleist!$C$8:$O$32,13,FALSE))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 s="3679"/>
      <c r="Z29" s="528"/>
      <c r="AA29" s="528"/>
      <c r="AB29" s="528"/>
      <c r="AC29" s="528"/>
      <c r="AD29" s="528"/>
      <c r="AE29" s="3679"/>
      <c r="AF29" s="3679"/>
      <c r="AG29" s="367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67.5</v>
      </c>
      <c r="O30" s="254">
        <f>$L30*O7/100</f>
        <v>67.5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79"/>
      <c r="Z30" s="528"/>
      <c r="AA30" s="528"/>
      <c r="AB30" s="528"/>
      <c r="AC30" s="528"/>
      <c r="AD30" s="528"/>
      <c r="AE30" s="3679"/>
      <c r="AF30" s="3679"/>
      <c r="AG30" s="3679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79"/>
      <c r="Z31" s="528"/>
      <c r="AA31" s="528"/>
      <c r="AB31" s="528"/>
      <c r="AC31" s="528"/>
      <c r="AD31" s="528"/>
      <c r="AE31" s="3679"/>
      <c r="AF31" s="3679"/>
      <c r="AG31" s="3679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64.2</v>
      </c>
      <c r="M32" s="460">
        <f>$L32*M$7/100</f>
        <v>19.260000000000002</v>
      </c>
      <c r="N32" s="461">
        <f>$L32*N$7/100</f>
        <v>16.05</v>
      </c>
      <c r="O32" s="461">
        <f>$L32*O$7/100</f>
        <v>16.05</v>
      </c>
      <c r="P32" s="461">
        <f>$L32*P$7/100</f>
        <v>12.84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</v>
      </c>
      <c r="G33" s="454" t="s">
        <v>802</v>
      </c>
      <c r="H33" s="690">
        <f>F33*(100+H32)/100</f>
        <v>4.28</v>
      </c>
      <c r="I33" s="453" t="s">
        <v>249</v>
      </c>
      <c r="J33" s="455">
        <v>15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414.22759583333334</v>
      </c>
      <c r="M34" s="460">
        <f>$L34*M$7/100</f>
        <v>124.26827875000001</v>
      </c>
      <c r="N34" s="461">
        <f>$L34*N$7/100</f>
        <v>103.55689895833333</v>
      </c>
      <c r="O34" s="461">
        <f>$L34*O$7/100</f>
        <v>103.55689895833333</v>
      </c>
      <c r="P34" s="461">
        <f>$L34*P$7/100</f>
        <v>82.845519166666676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79"/>
      <c r="Z34" s="529"/>
      <c r="AA34" s="529"/>
      <c r="AB34" s="529"/>
      <c r="AC34" s="529"/>
      <c r="AD34" s="529"/>
      <c r="AE34" s="3679"/>
      <c r="AF34" s="3679"/>
      <c r="AG34" s="367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3672" t="s">
        <v>1620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3536"/>
      <c r="U35" s="529"/>
      <c r="V35" s="529"/>
      <c r="W35" s="529"/>
      <c r="X35" s="529"/>
      <c r="Y35" s="3679"/>
      <c r="Z35" s="529"/>
      <c r="AA35" s="529"/>
      <c r="AB35" s="529"/>
      <c r="AC35" s="529"/>
      <c r="AD35" s="529"/>
      <c r="AE35" s="3679"/>
      <c r="AF35" s="3679"/>
      <c r="AG35" s="367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79"/>
      <c r="H36" s="116">
        <v>3</v>
      </c>
      <c r="I36" s="3673">
        <v>-3.1</v>
      </c>
      <c r="J36" s="159"/>
      <c r="K36" s="1703">
        <f>H36*$K$14+(I36*$K$6)</f>
        <v>-27.5</v>
      </c>
      <c r="L36" s="1704">
        <f>K36*$F36</f>
        <v>-47.233083333333333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79"/>
      <c r="Z36" s="528"/>
      <c r="AA36" s="528"/>
      <c r="AB36" s="528"/>
      <c r="AC36" s="528"/>
      <c r="AD36" s="528"/>
      <c r="AE36" s="3679"/>
      <c r="AF36" s="3679"/>
      <c r="AG36" s="3679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79"/>
      <c r="H37" s="116">
        <v>0.7</v>
      </c>
      <c r="I37" s="117"/>
      <c r="J37" s="159"/>
      <c r="K37" s="1703">
        <f t="shared" ref="K37:K39" si="3">H37*$K$14+(I37*$K$6)</f>
        <v>73.149999999999991</v>
      </c>
      <c r="L37" s="1704">
        <f>K37*$F37</f>
        <v>82.696074999999979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79"/>
      <c r="Z37" s="528"/>
      <c r="AA37" s="528"/>
      <c r="AB37" s="528"/>
      <c r="AC37" s="528"/>
      <c r="AD37" s="528"/>
      <c r="AE37" s="3679"/>
      <c r="AF37" s="3679"/>
      <c r="AG37" s="3679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79"/>
      <c r="H38" s="116">
        <v>3.25</v>
      </c>
      <c r="I38" s="117"/>
      <c r="J38" s="159"/>
      <c r="K38" s="1703">
        <f t="shared" si="3"/>
        <v>339.625</v>
      </c>
      <c r="L38" s="1704">
        <f>K38*$F38</f>
        <v>357.00247916666666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79"/>
      <c r="Z38" s="528"/>
      <c r="AA38" s="528"/>
      <c r="AB38" s="528"/>
      <c r="AC38" s="528"/>
      <c r="AD38" s="528"/>
      <c r="AE38" s="3679"/>
      <c r="AF38" s="3679"/>
      <c r="AG38" s="3679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0.35</v>
      </c>
      <c r="I39" s="120"/>
      <c r="J39" s="161"/>
      <c r="K39" s="1705">
        <f t="shared" si="3"/>
        <v>36.574999999999996</v>
      </c>
      <c r="L39" s="1706">
        <f>K39*$F39</f>
        <v>21.762124999999997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79"/>
      <c r="Z39" s="528"/>
      <c r="AA39" s="528"/>
      <c r="AB39" s="528"/>
      <c r="AC39" s="528"/>
      <c r="AD39" s="528"/>
      <c r="AE39" s="3679"/>
      <c r="AF39" s="3679"/>
      <c r="AG39" s="367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79"/>
      <c r="Z40" s="529"/>
      <c r="AA40" s="529"/>
      <c r="AB40" s="529"/>
      <c r="AC40" s="529"/>
      <c r="AD40" s="529"/>
      <c r="AE40" s="3679"/>
      <c r="AF40" s="3679"/>
      <c r="AG40" s="3679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79"/>
      <c r="Z41" s="529"/>
      <c r="AA41" s="529"/>
      <c r="AB41" s="529"/>
      <c r="AC41" s="529"/>
      <c r="AD41" s="529"/>
      <c r="AE41" s="3679"/>
      <c r="AF41" s="3679"/>
      <c r="AG41" s="367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79"/>
      <c r="Z42" s="528"/>
      <c r="AA42" s="528"/>
      <c r="AB42" s="528"/>
      <c r="AC42" s="528"/>
      <c r="AD42" s="528"/>
      <c r="AE42" s="3679"/>
      <c r="AF42" s="3679"/>
      <c r="AG42" s="3679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79"/>
      <c r="J43" s="359" t="s">
        <v>266</v>
      </c>
      <c r="K43" s="1710"/>
      <c r="L43" s="1693">
        <f>SUM(M43:Q43)</f>
        <v>232.37540508871999</v>
      </c>
      <c r="M43" s="484">
        <f>SUM(Z46:Z56)</f>
        <v>58.093851272179997</v>
      </c>
      <c r="N43" s="484">
        <f>SUM(AA46:AA56)</f>
        <v>58.093851272179997</v>
      </c>
      <c r="O43" s="484">
        <f>SUM(AB46:AB56)</f>
        <v>58.093851272179997</v>
      </c>
      <c r="P43" s="484">
        <f>SUM(AC46:AC56)</f>
        <v>58.093851272179997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79"/>
      <c r="Z43" s="526" t="s">
        <v>874</v>
      </c>
      <c r="AA43" s="529"/>
      <c r="AB43" s="529"/>
      <c r="AC43" s="529"/>
      <c r="AD43" s="529"/>
      <c r="AE43" s="3679"/>
      <c r="AF43" s="3679"/>
      <c r="AG43" s="3679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79"/>
      <c r="Z44" s="543" t="s">
        <v>328</v>
      </c>
      <c r="AA44" s="544"/>
      <c r="AB44" s="544"/>
      <c r="AC44" s="544"/>
      <c r="AD44" s="545"/>
      <c r="AE44" s="3679"/>
      <c r="AF44" s="3679"/>
      <c r="AG44" s="3679"/>
      <c r="AH44" s="526"/>
      <c r="AI44" s="3679"/>
      <c r="AJ44" s="3679"/>
      <c r="AK44" s="3679"/>
      <c r="AL44" s="3679"/>
      <c r="AM44" s="3679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79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79"/>
      <c r="AF45" s="3679"/>
      <c r="AG45" s="3679"/>
      <c r="AH45" s="526"/>
      <c r="AI45" s="3679"/>
      <c r="AJ45" s="3679"/>
      <c r="AK45" s="3679"/>
      <c r="AL45" s="3679"/>
      <c r="AM45" s="3679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468" t="str">
        <f>IF($B46=0,0,VLOOKUP($B46,Arbeitsgänge!$B$27:$T$80,7))</f>
        <v>120 Kw</v>
      </c>
      <c r="H46" s="507">
        <f>IF($B46=0,0,VLOOKUP($B46,Arbeitsgänge!$B$27:$O$79,12))</f>
        <v>1.45</v>
      </c>
      <c r="I46" s="469">
        <f>IF($B46=0,0,VLOOKUP($B46,Arbeitsgänge!$B$27:$T$80,14))</f>
        <v>91.198364600000005</v>
      </c>
      <c r="J46" s="593">
        <f t="shared" ref="J46:J56" si="4">SUM(M46:Q46)</f>
        <v>0.52</v>
      </c>
      <c r="K46" s="1651">
        <f t="shared" ref="K46:K56" si="5">J46*H46</f>
        <v>0.754</v>
      </c>
      <c r="L46" s="1704">
        <f t="shared" ref="L46:L56" si="6">J46*I46</f>
        <v>47.423149592000001</v>
      </c>
      <c r="M46" s="317">
        <v>0.13</v>
      </c>
      <c r="N46" s="318">
        <v>0.13</v>
      </c>
      <c r="O46" s="318">
        <v>0.13</v>
      </c>
      <c r="P46" s="318">
        <v>0.13</v>
      </c>
      <c r="Q46" s="319"/>
      <c r="R46" s="542"/>
      <c r="S46" s="542"/>
      <c r="T46" s="478">
        <f t="shared" ref="T46:X55" si="7">IF(M46&lt;&gt;0,M46*$H46,0)</f>
        <v>0.1885</v>
      </c>
      <c r="U46" s="479">
        <f t="shared" si="7"/>
        <v>0.1885</v>
      </c>
      <c r="V46" s="479">
        <f t="shared" si="7"/>
        <v>0.1885</v>
      </c>
      <c r="W46" s="479">
        <f t="shared" si="7"/>
        <v>0.1885</v>
      </c>
      <c r="X46" s="480">
        <f t="shared" si="7"/>
        <v>0</v>
      </c>
      <c r="Y46" s="3679"/>
      <c r="Z46" s="478">
        <f t="shared" ref="Z46:AD55" si="8">IF(M46&lt;&gt;0,M46*$I46,0)</f>
        <v>11.855787398</v>
      </c>
      <c r="AA46" s="479">
        <f t="shared" si="8"/>
        <v>11.855787398</v>
      </c>
      <c r="AB46" s="479">
        <f t="shared" si="8"/>
        <v>11.855787398</v>
      </c>
      <c r="AC46" s="479">
        <f t="shared" si="8"/>
        <v>11.855787398</v>
      </c>
      <c r="AD46" s="480">
        <f t="shared" si="8"/>
        <v>0</v>
      </c>
      <c r="AE46" s="3679"/>
      <c r="AF46" s="3679"/>
      <c r="AG46" s="3679"/>
      <c r="AH46" s="526"/>
      <c r="AI46" s="3679"/>
      <c r="AJ46" s="3679"/>
      <c r="AK46" s="3679"/>
      <c r="AL46" s="3679"/>
      <c r="AM46" s="3679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7</v>
      </c>
      <c r="C47" s="104"/>
      <c r="D47" s="137"/>
      <c r="E47" s="8"/>
      <c r="F47" s="8"/>
      <c r="G47" s="468" t="str">
        <f>IF($B47=0,0,VLOOKUP($B47,Arbeitsgänge!$B$27:$T$80,7))</f>
        <v>67 Kw</v>
      </c>
      <c r="H47" s="507">
        <f>IF($B47=0,0,VLOOKUP($B47,Arbeitsgänge!$B$27:$O$79,12))</f>
        <v>1.06</v>
      </c>
      <c r="I47" s="469">
        <f>IF($B47=0,0,VLOOKUP($B47,Arbeitsgänge!$B$27:$T$80,14))</f>
        <v>44.858599975999994</v>
      </c>
      <c r="J47" s="593">
        <f t="shared" si="4"/>
        <v>0.52</v>
      </c>
      <c r="K47" s="1651">
        <f t="shared" si="5"/>
        <v>0.55120000000000002</v>
      </c>
      <c r="L47" s="1704">
        <f t="shared" si="6"/>
        <v>23.326471987519998</v>
      </c>
      <c r="M47" s="317">
        <v>0.13</v>
      </c>
      <c r="N47" s="318">
        <v>0.13</v>
      </c>
      <c r="O47" s="318">
        <v>0.13</v>
      </c>
      <c r="P47" s="318">
        <v>0.13</v>
      </c>
      <c r="Q47" s="319"/>
      <c r="R47" s="542"/>
      <c r="S47" s="542"/>
      <c r="T47" s="478">
        <f t="shared" si="7"/>
        <v>0.13780000000000001</v>
      </c>
      <c r="U47" s="479">
        <f t="shared" si="7"/>
        <v>0.13780000000000001</v>
      </c>
      <c r="V47" s="479">
        <f t="shared" si="7"/>
        <v>0.13780000000000001</v>
      </c>
      <c r="W47" s="479">
        <f t="shared" si="7"/>
        <v>0.13780000000000001</v>
      </c>
      <c r="X47" s="480">
        <f t="shared" si="7"/>
        <v>0</v>
      </c>
      <c r="Y47" s="3679"/>
      <c r="Z47" s="478">
        <f t="shared" si="8"/>
        <v>5.8316179968799995</v>
      </c>
      <c r="AA47" s="479">
        <f t="shared" si="8"/>
        <v>5.8316179968799995</v>
      </c>
      <c r="AB47" s="479">
        <f t="shared" si="8"/>
        <v>5.8316179968799995</v>
      </c>
      <c r="AC47" s="479">
        <f t="shared" si="8"/>
        <v>5.8316179968799995</v>
      </c>
      <c r="AD47" s="480">
        <f t="shared" si="8"/>
        <v>0</v>
      </c>
      <c r="AE47" s="3679"/>
      <c r="AF47" s="3679"/>
      <c r="AG47" s="3679"/>
      <c r="AH47" s="526"/>
      <c r="AI47" s="3679"/>
      <c r="AJ47" s="3679"/>
      <c r="AK47" s="3679"/>
      <c r="AL47" s="3679"/>
      <c r="AM47" s="3679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1</v>
      </c>
      <c r="K48" s="1651">
        <f t="shared" si="5"/>
        <v>0.37</v>
      </c>
      <c r="L48" s="1704">
        <f t="shared" si="6"/>
        <v>5.4505114075999996</v>
      </c>
      <c r="M48" s="317">
        <v>0.25</v>
      </c>
      <c r="N48" s="318">
        <v>0.25</v>
      </c>
      <c r="O48" s="318">
        <v>0.25</v>
      </c>
      <c r="P48" s="318">
        <v>0.25</v>
      </c>
      <c r="Q48" s="319"/>
      <c r="R48" s="542"/>
      <c r="S48" s="542"/>
      <c r="T48" s="478">
        <f t="shared" si="7"/>
        <v>9.2499999999999999E-2</v>
      </c>
      <c r="U48" s="479">
        <f t="shared" si="7"/>
        <v>9.2499999999999999E-2</v>
      </c>
      <c r="V48" s="479">
        <f t="shared" si="7"/>
        <v>9.2499999999999999E-2</v>
      </c>
      <c r="W48" s="479">
        <f t="shared" si="7"/>
        <v>9.2499999999999999E-2</v>
      </c>
      <c r="X48" s="480">
        <f t="shared" si="7"/>
        <v>0</v>
      </c>
      <c r="Y48" s="3679"/>
      <c r="Z48" s="478">
        <f t="shared" si="8"/>
        <v>1.3626278518999999</v>
      </c>
      <c r="AA48" s="479">
        <f t="shared" si="8"/>
        <v>1.3626278518999999</v>
      </c>
      <c r="AB48" s="479">
        <f t="shared" si="8"/>
        <v>1.3626278518999999</v>
      </c>
      <c r="AC48" s="479">
        <f t="shared" si="8"/>
        <v>1.3626278518999999</v>
      </c>
      <c r="AD48" s="480">
        <f t="shared" si="8"/>
        <v>0</v>
      </c>
      <c r="AE48" s="3679"/>
      <c r="AF48" s="3679"/>
      <c r="AG48" s="3679"/>
      <c r="AH48" s="526"/>
      <c r="AI48" s="3679"/>
      <c r="AJ48" s="3679"/>
      <c r="AK48" s="3679"/>
      <c r="AL48" s="3679"/>
      <c r="AM48" s="3679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0.82</v>
      </c>
      <c r="I49" s="469">
        <f>IF($B49=0,0,VLOOKUP($B49,Arbeitsgänge!$B$27:$T$80,14))</f>
        <v>11.921917173599995</v>
      </c>
      <c r="J49" s="593">
        <f t="shared" si="4"/>
        <v>1</v>
      </c>
      <c r="K49" s="1651">
        <f>J49*H49</f>
        <v>0.82</v>
      </c>
      <c r="L49" s="1704">
        <f>J49*I49</f>
        <v>11.921917173599995</v>
      </c>
      <c r="M49" s="317">
        <v>0.25</v>
      </c>
      <c r="N49" s="318">
        <v>0.25</v>
      </c>
      <c r="O49" s="318">
        <v>0.25</v>
      </c>
      <c r="P49" s="318">
        <v>0.25</v>
      </c>
      <c r="Q49" s="319"/>
      <c r="R49" s="542"/>
      <c r="S49" s="542"/>
      <c r="T49" s="478">
        <f t="shared" si="7"/>
        <v>0.20499999999999999</v>
      </c>
      <c r="U49" s="479">
        <f t="shared" si="7"/>
        <v>0.20499999999999999</v>
      </c>
      <c r="V49" s="479">
        <f t="shared" si="7"/>
        <v>0.20499999999999999</v>
      </c>
      <c r="W49" s="479">
        <f t="shared" si="7"/>
        <v>0.20499999999999999</v>
      </c>
      <c r="X49" s="480">
        <f t="shared" si="7"/>
        <v>0</v>
      </c>
      <c r="Y49" s="3679"/>
      <c r="Z49" s="478">
        <f t="shared" si="8"/>
        <v>2.9804792933999988</v>
      </c>
      <c r="AA49" s="479">
        <f t="shared" si="8"/>
        <v>2.9804792933999988</v>
      </c>
      <c r="AB49" s="479">
        <f t="shared" si="8"/>
        <v>2.9804792933999988</v>
      </c>
      <c r="AC49" s="479">
        <f t="shared" si="8"/>
        <v>2.9804792933999988</v>
      </c>
      <c r="AD49" s="480">
        <f t="shared" si="8"/>
        <v>0</v>
      </c>
      <c r="AE49" s="3679"/>
      <c r="AF49" s="3679"/>
      <c r="AG49" s="3679"/>
      <c r="AH49" s="526"/>
      <c r="AI49" s="3679"/>
      <c r="AJ49" s="3679"/>
      <c r="AK49" s="3679"/>
      <c r="AL49" s="3679"/>
      <c r="AM49" s="367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29</v>
      </c>
      <c r="C50" s="104"/>
      <c r="D50" s="137"/>
      <c r="E50" s="8"/>
      <c r="F50" s="8"/>
      <c r="G50" s="468" t="str">
        <f>IF($B50=0,0,VLOOKUP($B50,Arbeitsgänge!$B$27:$T$80,7))</f>
        <v>120 Kw</v>
      </c>
      <c r="H50" s="507">
        <f>IF($B50=0,0,VLOOKUP($B50,Arbeitsgänge!$B$27:$O$79,12))</f>
        <v>0.3</v>
      </c>
      <c r="I50" s="469">
        <f>IF($B50=0,0,VLOOKUP($B50,Arbeitsgänge!$B$27:$T$80,14))</f>
        <v>18.5916444</v>
      </c>
      <c r="J50" s="593">
        <f t="shared" si="4"/>
        <v>4</v>
      </c>
      <c r="K50" s="1651">
        <f t="shared" si="5"/>
        <v>1.2</v>
      </c>
      <c r="L50" s="1704">
        <f t="shared" si="6"/>
        <v>74.366577599999999</v>
      </c>
      <c r="M50" s="317">
        <v>1</v>
      </c>
      <c r="N50" s="318">
        <v>1</v>
      </c>
      <c r="O50" s="318">
        <v>1</v>
      </c>
      <c r="P50" s="318">
        <v>1</v>
      </c>
      <c r="Q50" s="319">
        <f t="shared" ref="Q50" si="9">Q18/10/12</f>
        <v>0</v>
      </c>
      <c r="R50" s="542"/>
      <c r="S50" s="542"/>
      <c r="T50" s="478">
        <f t="shared" si="7"/>
        <v>0.3</v>
      </c>
      <c r="U50" s="479">
        <f t="shared" si="7"/>
        <v>0.3</v>
      </c>
      <c r="V50" s="479">
        <f t="shared" si="7"/>
        <v>0.3</v>
      </c>
      <c r="W50" s="479">
        <f t="shared" si="7"/>
        <v>0.3</v>
      </c>
      <c r="X50" s="480">
        <f t="shared" si="7"/>
        <v>0</v>
      </c>
      <c r="Y50" s="3679"/>
      <c r="Z50" s="478">
        <f t="shared" si="8"/>
        <v>18.5916444</v>
      </c>
      <c r="AA50" s="479">
        <f t="shared" si="8"/>
        <v>18.5916444</v>
      </c>
      <c r="AB50" s="479">
        <f t="shared" si="8"/>
        <v>18.5916444</v>
      </c>
      <c r="AC50" s="479">
        <f t="shared" si="8"/>
        <v>18.5916444</v>
      </c>
      <c r="AD50" s="480">
        <f t="shared" si="8"/>
        <v>0</v>
      </c>
      <c r="AE50" s="3679"/>
      <c r="AF50" s="3679"/>
      <c r="AG50" s="3679"/>
      <c r="AH50" s="526"/>
      <c r="AI50" s="3679"/>
      <c r="AJ50" s="3679"/>
      <c r="AK50" s="3679"/>
      <c r="AL50" s="3679"/>
      <c r="AM50" s="3679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30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0.35</v>
      </c>
      <c r="I51" s="469">
        <f>IF($B51=0,0,VLOOKUP($B51,Arbeitsgänge!$B$27:$T$80,14))</f>
        <v>8.5775754679999991</v>
      </c>
      <c r="J51" s="593">
        <f t="shared" si="4"/>
        <v>4</v>
      </c>
      <c r="K51" s="1651">
        <f t="shared" si="5"/>
        <v>1.4</v>
      </c>
      <c r="L51" s="1704">
        <f t="shared" si="6"/>
        <v>34.310301871999997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7"/>
        <v>0.35</v>
      </c>
      <c r="U51" s="479">
        <f t="shared" si="7"/>
        <v>0.35</v>
      </c>
      <c r="V51" s="479">
        <f t="shared" si="7"/>
        <v>0.35</v>
      </c>
      <c r="W51" s="479">
        <f t="shared" si="7"/>
        <v>0.35</v>
      </c>
      <c r="X51" s="480">
        <f t="shared" si="7"/>
        <v>0</v>
      </c>
      <c r="Y51" s="3679"/>
      <c r="Z51" s="478">
        <f t="shared" si="8"/>
        <v>8.5775754679999991</v>
      </c>
      <c r="AA51" s="479">
        <f t="shared" si="8"/>
        <v>8.5775754679999991</v>
      </c>
      <c r="AB51" s="479">
        <f t="shared" si="8"/>
        <v>8.5775754679999991</v>
      </c>
      <c r="AC51" s="479">
        <f t="shared" si="8"/>
        <v>8.5775754679999991</v>
      </c>
      <c r="AD51" s="480">
        <f t="shared" si="8"/>
        <v>0</v>
      </c>
      <c r="AE51" s="3679"/>
      <c r="AF51" s="3679"/>
      <c r="AG51" s="3679"/>
      <c r="AH51" s="526"/>
      <c r="AI51" s="3679"/>
      <c r="AJ51" s="3679"/>
      <c r="AK51" s="3679"/>
      <c r="AL51" s="3679"/>
      <c r="AM51" s="3679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31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0.26</v>
      </c>
      <c r="I52" s="469">
        <f>IF($B52=0,0,VLOOKUP($B52,Arbeitsgänge!$B$27:$T$80,14))</f>
        <v>8.8941188640000011</v>
      </c>
      <c r="J52" s="593">
        <f t="shared" si="4"/>
        <v>4</v>
      </c>
      <c r="K52" s="1651">
        <f t="shared" si="5"/>
        <v>1.04</v>
      </c>
      <c r="L52" s="1704">
        <f t="shared" si="6"/>
        <v>35.576475456000004</v>
      </c>
      <c r="M52" s="317">
        <v>1</v>
      </c>
      <c r="N52" s="318">
        <v>1</v>
      </c>
      <c r="O52" s="318">
        <v>1</v>
      </c>
      <c r="P52" s="318">
        <v>1</v>
      </c>
      <c r="Q52" s="319"/>
      <c r="R52" s="542"/>
      <c r="S52" s="542"/>
      <c r="T52" s="478">
        <f t="shared" si="7"/>
        <v>0.26</v>
      </c>
      <c r="U52" s="479">
        <f t="shared" si="7"/>
        <v>0.26</v>
      </c>
      <c r="V52" s="479">
        <f t="shared" si="7"/>
        <v>0.26</v>
      </c>
      <c r="W52" s="479">
        <f t="shared" si="7"/>
        <v>0.26</v>
      </c>
      <c r="X52" s="480">
        <f t="shared" si="7"/>
        <v>0</v>
      </c>
      <c r="Y52" s="3679"/>
      <c r="Z52" s="478">
        <f t="shared" si="8"/>
        <v>8.8941188640000011</v>
      </c>
      <c r="AA52" s="479">
        <f t="shared" si="8"/>
        <v>8.8941188640000011</v>
      </c>
      <c r="AB52" s="479">
        <f t="shared" si="8"/>
        <v>8.8941188640000011</v>
      </c>
      <c r="AC52" s="479">
        <f t="shared" si="8"/>
        <v>8.8941188640000011</v>
      </c>
      <c r="AD52" s="480">
        <f t="shared" si="8"/>
        <v>0</v>
      </c>
      <c r="AE52" s="3679"/>
      <c r="AF52" s="3679"/>
      <c r="AG52" s="3679"/>
      <c r="AH52" s="526"/>
      <c r="AI52" s="3679"/>
      <c r="AJ52" s="3679"/>
      <c r="AK52" s="3679"/>
      <c r="AL52" s="3679"/>
      <c r="AM52" s="3679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20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0.86</v>
      </c>
      <c r="I53" s="469">
        <f>IF($B53=0,0,VLOOKUP($B53,Arbeitsgänge!$B$27:$T$80,14))</f>
        <v>30.651086754399994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7"/>
        <v>0</v>
      </c>
      <c r="V53" s="479">
        <f t="shared" si="7"/>
        <v>0</v>
      </c>
      <c r="W53" s="479">
        <f t="shared" si="7"/>
        <v>0</v>
      </c>
      <c r="X53" s="480">
        <f t="shared" si="7"/>
        <v>0</v>
      </c>
      <c r="Y53" s="3679"/>
      <c r="Z53" s="478">
        <f t="shared" si="8"/>
        <v>0</v>
      </c>
      <c r="AA53" s="479">
        <f t="shared" si="8"/>
        <v>0</v>
      </c>
      <c r="AB53" s="479">
        <f t="shared" si="8"/>
        <v>0</v>
      </c>
      <c r="AC53" s="479">
        <f t="shared" si="8"/>
        <v>0</v>
      </c>
      <c r="AD53" s="480">
        <f t="shared" si="8"/>
        <v>0</v>
      </c>
      <c r="AE53" s="3679"/>
      <c r="AF53" s="3679"/>
      <c r="AG53" s="3679"/>
      <c r="AH53" s="526"/>
      <c r="AI53" s="3679"/>
      <c r="AJ53" s="3679"/>
      <c r="AK53" s="3679"/>
      <c r="AL53" s="3679"/>
      <c r="AM53" s="3679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7"/>
        <v>0</v>
      </c>
      <c r="V54" s="479">
        <f t="shared" si="7"/>
        <v>0</v>
      </c>
      <c r="W54" s="479">
        <f t="shared" si="7"/>
        <v>0</v>
      </c>
      <c r="X54" s="480">
        <f t="shared" si="7"/>
        <v>0</v>
      </c>
      <c r="Y54" s="3679"/>
      <c r="Z54" s="478">
        <f t="shared" si="8"/>
        <v>0</v>
      </c>
      <c r="AA54" s="479">
        <f t="shared" si="8"/>
        <v>0</v>
      </c>
      <c r="AB54" s="479">
        <f t="shared" si="8"/>
        <v>0</v>
      </c>
      <c r="AC54" s="479">
        <f t="shared" si="8"/>
        <v>0</v>
      </c>
      <c r="AD54" s="480">
        <f t="shared" si="8"/>
        <v>0</v>
      </c>
      <c r="AE54" s="3679"/>
      <c r="AF54" s="3679"/>
      <c r="AG54" s="3679"/>
      <c r="AH54" s="526"/>
      <c r="AI54" s="3679"/>
      <c r="AJ54" s="3679"/>
      <c r="AK54" s="3679"/>
      <c r="AL54" s="3679"/>
      <c r="AM54" s="3679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7"/>
        <v>0</v>
      </c>
      <c r="V55" s="479">
        <f t="shared" si="7"/>
        <v>0</v>
      </c>
      <c r="W55" s="479">
        <f t="shared" si="7"/>
        <v>0</v>
      </c>
      <c r="X55" s="480">
        <f t="shared" si="7"/>
        <v>0</v>
      </c>
      <c r="Y55" s="3679"/>
      <c r="Z55" s="478">
        <f t="shared" si="8"/>
        <v>0</v>
      </c>
      <c r="AA55" s="479">
        <f t="shared" si="8"/>
        <v>0</v>
      </c>
      <c r="AB55" s="479">
        <f t="shared" si="8"/>
        <v>0</v>
      </c>
      <c r="AC55" s="479">
        <f t="shared" si="8"/>
        <v>0</v>
      </c>
      <c r="AD55" s="480">
        <f t="shared" si="8"/>
        <v>0</v>
      </c>
      <c r="AE55" s="3679"/>
      <c r="AF55" s="3679"/>
      <c r="AG55" s="3679"/>
      <c r="AH55" s="526"/>
      <c r="AI55" s="3679"/>
      <c r="AJ55" s="3679"/>
      <c r="AK55" s="3679"/>
      <c r="AL55" s="3679"/>
      <c r="AM55" s="3679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79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79"/>
      <c r="AF56" s="3679"/>
      <c r="AG56" s="3679"/>
      <c r="AH56" s="526"/>
      <c r="AI56" s="3679"/>
      <c r="AJ56" s="3679"/>
      <c r="AK56" s="3679"/>
      <c r="AL56" s="3679"/>
      <c r="AM56" s="3679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6.1352000000000002</v>
      </c>
      <c r="L57" s="1716"/>
      <c r="M57" s="278">
        <f>SUM(T46:T56)</f>
        <v>1.5338000000000001</v>
      </c>
      <c r="N57" s="508">
        <f>SUM(U46:U56)</f>
        <v>1.5338000000000001</v>
      </c>
      <c r="O57" s="508">
        <f>SUM(V46:V56)</f>
        <v>1.5338000000000001</v>
      </c>
      <c r="P57" s="508">
        <f>SUM(W46:W56)</f>
        <v>1.5338000000000001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79"/>
      <c r="Z57" s="537"/>
      <c r="AA57" s="537"/>
      <c r="AB57" s="537"/>
      <c r="AC57" s="537"/>
      <c r="AD57" s="537"/>
      <c r="AE57" s="3679"/>
      <c r="AF57" s="3679"/>
      <c r="AG57" s="3679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11.04336</v>
      </c>
      <c r="L58" s="1718"/>
      <c r="M58" s="270">
        <f>IF(M57+(M57*$G$58/100)&gt;M57+10,M57+10,M57+(M57*$G$58/100))</f>
        <v>2.76084</v>
      </c>
      <c r="N58" s="509">
        <f>IF(N57+(N57*$G$58/100)&gt;(N57+10),N57+10,N57+(N57*$G$58/100))</f>
        <v>2.76084</v>
      </c>
      <c r="O58" s="509">
        <f>IF(O57+(O57*$G$58/100)&gt;(O57+10),O57+10,O57+(O57*$G$58/100))</f>
        <v>2.76084</v>
      </c>
      <c r="P58" s="509">
        <f>P57+P57*$G$58/100</f>
        <v>2.76084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79"/>
      <c r="Z58" s="537"/>
      <c r="AA58" s="537"/>
      <c r="AB58" s="537"/>
      <c r="AC58" s="537"/>
      <c r="AD58" s="537"/>
      <c r="AE58" s="3679"/>
      <c r="AF58" s="3679"/>
      <c r="AG58" s="3679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666.4</v>
      </c>
      <c r="M59" s="253">
        <f>SUM(T61:T63)</f>
        <v>199.92</v>
      </c>
      <c r="N59" s="254">
        <f>SUM(U61:U63)</f>
        <v>166.6</v>
      </c>
      <c r="O59" s="254">
        <f>SUM(V61:V63)</f>
        <v>166.6</v>
      </c>
      <c r="P59" s="254">
        <f>SUM(W61:W63)</f>
        <v>133.28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79"/>
      <c r="Z59" s="528"/>
      <c r="AA59" s="528"/>
      <c r="AB59" s="528"/>
      <c r="AC59" s="528"/>
      <c r="AD59" s="528"/>
      <c r="AE59" s="3679"/>
      <c r="AF59" s="3679"/>
      <c r="AG59" s="367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79"/>
      <c r="Z60" s="528"/>
      <c r="AA60" s="528"/>
      <c r="AB60" s="528"/>
      <c r="AC60" s="528"/>
      <c r="AD60" s="528"/>
      <c r="AE60" s="3679"/>
      <c r="AF60" s="3679"/>
      <c r="AG60" s="3679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3677" t="s">
        <v>1624</v>
      </c>
      <c r="E61" s="2615"/>
      <c r="F61" s="2615"/>
      <c r="G61" s="3060">
        <v>140</v>
      </c>
      <c r="H61" s="3665">
        <f>G61*(100+$H$59)/100</f>
        <v>166.6</v>
      </c>
      <c r="I61" s="3667"/>
      <c r="J61" s="3095">
        <f>SUM(M61:Q61)</f>
        <v>4</v>
      </c>
      <c r="K61" s="2618"/>
      <c r="L61" s="2619">
        <f>J61*H61</f>
        <v>666.4</v>
      </c>
      <c r="M61" s="3111">
        <f>M7/N7</f>
        <v>1.2</v>
      </c>
      <c r="N61" s="3088">
        <v>1</v>
      </c>
      <c r="O61" s="3088">
        <v>1</v>
      </c>
      <c r="P61" s="3088">
        <f>P7/O7</f>
        <v>0.8</v>
      </c>
      <c r="Q61" s="2620"/>
      <c r="R61" s="542"/>
      <c r="S61" s="542"/>
      <c r="T61" s="594">
        <f>IF(M61&lt;&gt;0,M61*$H61,0)</f>
        <v>199.92</v>
      </c>
      <c r="U61" s="594">
        <f t="shared" ref="U61:X63" si="10">IF(N61&lt;&gt;0,N61*$H61,0)</f>
        <v>166.6</v>
      </c>
      <c r="V61" s="594">
        <f t="shared" si="10"/>
        <v>166.6</v>
      </c>
      <c r="W61" s="594">
        <f t="shared" si="10"/>
        <v>133.28</v>
      </c>
      <c r="X61" s="594">
        <f t="shared" si="10"/>
        <v>0</v>
      </c>
      <c r="Y61" s="3679"/>
      <c r="Z61" s="266"/>
      <c r="AA61" s="266"/>
      <c r="AB61" s="266"/>
      <c r="AC61" s="266"/>
      <c r="AD61" s="267"/>
      <c r="AE61" s="3679"/>
      <c r="AF61" s="3679"/>
      <c r="AG61" s="3679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79"/>
      <c r="C62" s="354"/>
      <c r="D62" s="3676"/>
      <c r="E62" s="3081"/>
      <c r="F62" s="3081"/>
      <c r="G62" s="3441"/>
      <c r="H62" s="3666">
        <f>G62*(100+$H$59)/100</f>
        <v>0</v>
      </c>
      <c r="I62" s="3668"/>
      <c r="J62" s="3096">
        <f>SUM(M62:Q62)</f>
        <v>0</v>
      </c>
      <c r="K62" s="2304"/>
      <c r="L62" s="3069">
        <f>J62*H62</f>
        <v>0</v>
      </c>
      <c r="M62" s="3442"/>
      <c r="N62" s="3443"/>
      <c r="O62" s="3443"/>
      <c r="P62" s="3443"/>
      <c r="Q62" s="3444"/>
      <c r="R62" s="542"/>
      <c r="S62" s="542"/>
      <c r="T62" s="594">
        <f>IF(M62&lt;&gt;0,M62*$H62,0)</f>
        <v>0</v>
      </c>
      <c r="U62" s="594">
        <f t="shared" si="10"/>
        <v>0</v>
      </c>
      <c r="V62" s="594">
        <f t="shared" si="10"/>
        <v>0</v>
      </c>
      <c r="W62" s="594">
        <f t="shared" si="10"/>
        <v>0</v>
      </c>
      <c r="X62" s="594">
        <f t="shared" si="10"/>
        <v>0</v>
      </c>
      <c r="Y62" s="3679"/>
      <c r="Z62" s="3058"/>
      <c r="AA62" s="3058"/>
      <c r="AB62" s="3058"/>
      <c r="AC62" s="3058"/>
      <c r="AD62" s="3059"/>
      <c r="AE62" s="3679"/>
      <c r="AF62" s="3679"/>
      <c r="AG62" s="3679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0"/>
        <v>0</v>
      </c>
      <c r="V63" s="594">
        <f t="shared" si="10"/>
        <v>0</v>
      </c>
      <c r="W63" s="594">
        <f t="shared" si="10"/>
        <v>0</v>
      </c>
      <c r="X63" s="594">
        <f t="shared" si="10"/>
        <v>0</v>
      </c>
      <c r="Y63" s="3679"/>
      <c r="Z63" s="268"/>
      <c r="AA63" s="268"/>
      <c r="AB63" s="268"/>
      <c r="AC63" s="268"/>
      <c r="AD63" s="269"/>
      <c r="AE63" s="3679"/>
      <c r="AF63" s="3679"/>
      <c r="AG63" s="3679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79"/>
      <c r="Z64" s="529"/>
      <c r="AA64" s="529"/>
      <c r="AB64" s="529"/>
      <c r="AC64" s="529"/>
      <c r="AD64" s="529"/>
      <c r="AE64" s="3679"/>
      <c r="AF64" s="3679"/>
      <c r="AG64" s="367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79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79"/>
      <c r="Z65" s="529" t="s">
        <v>1159</v>
      </c>
      <c r="AA65" s="529"/>
      <c r="AB65" s="529"/>
      <c r="AC65" s="529"/>
      <c r="AD65" s="529"/>
      <c r="AE65" s="3679"/>
      <c r="AF65" s="3679"/>
      <c r="AG65" s="367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79"/>
      <c r="U66" s="3679"/>
      <c r="V66" s="3679"/>
      <c r="W66" s="3057">
        <f>K10/100</f>
        <v>0.33</v>
      </c>
      <c r="X66" s="3679"/>
      <c r="Y66" s="3679"/>
      <c r="Z66" s="274" t="s">
        <v>356</v>
      </c>
      <c r="AA66" s="274" t="s">
        <v>563</v>
      </c>
      <c r="AB66" s="274" t="s">
        <v>564</v>
      </c>
      <c r="AC66" s="275"/>
      <c r="AD66" s="529"/>
      <c r="AE66" s="3679"/>
      <c r="AF66" s="3679"/>
      <c r="AG66" s="3679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1">SUM(L69:L70)</f>
        <v>41.65</v>
      </c>
      <c r="M67" s="253">
        <f t="shared" si="11"/>
        <v>12.494999999999999</v>
      </c>
      <c r="N67" s="254">
        <f t="shared" si="11"/>
        <v>10.4125</v>
      </c>
      <c r="O67" s="254">
        <f t="shared" si="11"/>
        <v>10.4125</v>
      </c>
      <c r="P67" s="254">
        <f t="shared" si="11"/>
        <v>8.33</v>
      </c>
      <c r="Q67" s="257">
        <f t="shared" si="1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3678"/>
      <c r="L69" s="3069">
        <f>SUM(M69:Q69)</f>
        <v>41.65</v>
      </c>
      <c r="M69" s="1386">
        <f>IF(AND($B69&lt;3,V$5=1),M$7*$I69/100,IF(AND($B69=3,V$5=3),M$7*$I69/100,0))</f>
        <v>12.494999999999999</v>
      </c>
      <c r="N69" s="933">
        <f t="shared" ref="N69:P70" si="12">IF(AND($B69&lt;3,W$5=1),N$7*$I69/100,IF(AND($B69=3,W$5=3),N$7*$I69/100,0))</f>
        <v>10.4125</v>
      </c>
      <c r="O69" s="933">
        <f t="shared" si="12"/>
        <v>10.4125</v>
      </c>
      <c r="P69" s="933">
        <f t="shared" si="12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79"/>
      <c r="Z69" s="528"/>
      <c r="AA69" s="528"/>
      <c r="AB69" s="528"/>
      <c r="AC69" s="528"/>
      <c r="AD69" s="528"/>
      <c r="AE69" s="3679"/>
      <c r="AF69" s="3679"/>
      <c r="AG69" s="367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3678"/>
      <c r="L70" s="3069">
        <f>SUM(M70:Q70)</f>
        <v>0</v>
      </c>
      <c r="M70" s="1386">
        <f>IF(AND($B70&lt;3,V$5=1),M$7*$I70/100,IF(AND($B70=3,V$5=3),M$7*$I70/100,0))</f>
        <v>0</v>
      </c>
      <c r="N70" s="933">
        <f t="shared" si="12"/>
        <v>0</v>
      </c>
      <c r="O70" s="933">
        <f t="shared" si="12"/>
        <v>0</v>
      </c>
      <c r="P70" s="933">
        <f t="shared" si="1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79"/>
      <c r="Z70" s="528"/>
      <c r="AA70" s="528"/>
      <c r="AB70" s="528"/>
      <c r="AC70" s="528"/>
      <c r="AD70" s="528"/>
      <c r="AE70" s="3679"/>
      <c r="AF70" s="3679"/>
      <c r="AG70" s="3679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79"/>
      <c r="Z71" s="528"/>
      <c r="AA71" s="528"/>
      <c r="AB71" s="528"/>
      <c r="AC71" s="528"/>
      <c r="AD71" s="528"/>
      <c r="AE71" s="3679"/>
      <c r="AF71" s="3679"/>
      <c r="AG71" s="3679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79"/>
      <c r="Z72" s="529"/>
      <c r="AA72" s="529"/>
      <c r="AB72" s="529"/>
      <c r="AC72" s="529"/>
      <c r="AD72" s="529"/>
      <c r="AE72" s="3679"/>
      <c r="AF72" s="3679"/>
      <c r="AG72" s="367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3">K16</f>
        <v>46.568627450980387</v>
      </c>
      <c r="L77" s="3321">
        <f t="shared" si="13"/>
        <v>0</v>
      </c>
      <c r="M77" s="3321">
        <f t="shared" si="13"/>
        <v>13.970588235294118</v>
      </c>
      <c r="N77" s="3321">
        <f t="shared" si="13"/>
        <v>11.642156862745097</v>
      </c>
      <c r="O77" s="3321">
        <f t="shared" si="13"/>
        <v>11.642156862745097</v>
      </c>
      <c r="P77" s="3321">
        <f t="shared" si="13"/>
        <v>9.3137254901960773</v>
      </c>
      <c r="Q77" s="3321">
        <f t="shared" si="13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226.28472222222223</v>
      </c>
      <c r="L79" s="3321"/>
      <c r="M79" s="3321">
        <f>M78*M16</f>
        <v>67.885416666666671</v>
      </c>
      <c r="N79" s="3321">
        <f>N78*N16</f>
        <v>56.57118055555555</v>
      </c>
      <c r="O79" s="3321">
        <f>O78*O16</f>
        <v>56.57118055555555</v>
      </c>
      <c r="P79" s="3321">
        <f>P78*P16</f>
        <v>45.256944444444443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74657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58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59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0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1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7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7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7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0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B1" sqref="B1:H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79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'19)LuzerneSil-Fremdernte(a)'!H2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'19)LuzerneSil-Fremdernte(a)'!K2</f>
        <v>Luzernesilage, 4 Nutzungen</v>
      </c>
      <c r="S2" s="3679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79"/>
      <c r="AL2" s="3679"/>
      <c r="AM2" s="39"/>
      <c r="AN2" s="3679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'19)LuzerneSil-Fremdernte(a)'!H3</f>
        <v>2-jähriger Luzerneanbau, Lohnernte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79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79"/>
      <c r="AH3" s="205"/>
      <c r="AI3" s="3679"/>
      <c r="AJ3" s="3679"/>
      <c r="AK3" s="3679"/>
      <c r="AL3" s="3679"/>
      <c r="AM3" s="39"/>
      <c r="AN3" s="3679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79"/>
      <c r="V4" s="177"/>
      <c r="AG4" s="3679"/>
      <c r="AH4" s="3679"/>
      <c r="AI4" s="3679"/>
      <c r="AJ4" s="3679"/>
      <c r="AK4" s="3679"/>
      <c r="AL4" s="3679"/>
      <c r="AM4" s="3679"/>
      <c r="AN4" s="3679"/>
      <c r="AO4" s="3679"/>
      <c r="AP4" s="3679"/>
      <c r="AQ4" s="3679"/>
      <c r="AR4" s="3679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'19)LuzerneSil-Fremdernte(a)'!M5</f>
        <v>Silage</v>
      </c>
      <c r="O5" s="1568" t="str">
        <f>'19)LuzerneSil-Fremdernte(a)'!N5</f>
        <v>Silage</v>
      </c>
      <c r="P5" s="1568" t="str">
        <f>'19)LuzerneSil-Fremdernte(a)'!O5</f>
        <v>Silage</v>
      </c>
      <c r="Q5" s="1568" t="str">
        <f>'19)LuzerneSil-Fremdernte(a)'!P5</f>
        <v>Silage</v>
      </c>
      <c r="R5" s="1573" t="str">
        <f>'19)LuzerneSil-Fremdernte(a)'!Q5</f>
        <v>Silage</v>
      </c>
      <c r="S5" s="3679"/>
      <c r="V5" s="177"/>
      <c r="AG5" s="3679"/>
      <c r="AH5" s="3679"/>
      <c r="AI5" s="3679"/>
      <c r="AJ5" s="3679"/>
      <c r="AK5" s="3679"/>
      <c r="AL5" s="3679"/>
      <c r="AM5" s="3679"/>
      <c r="AN5" s="3679"/>
      <c r="AO5" s="3679"/>
      <c r="AP5" s="3679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'19)LuzerneSil-Fremdernte(a)'!K6</f>
        <v>110</v>
      </c>
      <c r="N6" s="1821">
        <f>'19)LuzerneSil-Fremdernte(a)'!M6</f>
        <v>33</v>
      </c>
      <c r="O6" s="1821">
        <f>'19)LuzerneSil-Fremdernte(a)'!N6</f>
        <v>27.5</v>
      </c>
      <c r="P6" s="1821">
        <f>'19)LuzerneSil-Fremdernte(a)'!O6</f>
        <v>27.5</v>
      </c>
      <c r="Q6" s="1821">
        <f>'19)LuzerneSil-Fremdernte(a)'!P6</f>
        <v>22</v>
      </c>
      <c r="R6" s="1822">
        <f>'19)LuzerneSil-Fremdernte(a)'!Q6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'19)LuzerneSil-Fremdernte(a)'!K14</f>
        <v>104.5</v>
      </c>
      <c r="N7" s="452">
        <f>'19)LuzerneSil-Fremdernte(a)'!M14</f>
        <v>31.35</v>
      </c>
      <c r="O7" s="452">
        <f>'19)LuzerneSil-Fremdernte(a)'!N14</f>
        <v>26.125</v>
      </c>
      <c r="P7" s="452">
        <f>'19)LuzerneSil-Fremdernte(a)'!O14</f>
        <v>26.125</v>
      </c>
      <c r="Q7" s="452">
        <f>'19)LuzerneSil-Fremdernte(a)'!P14</f>
        <v>20.9</v>
      </c>
      <c r="R7" s="1744">
        <f>'19)LuzerneSil-Fremdernte(a)'!Q14</f>
        <v>0</v>
      </c>
      <c r="S7" s="3679"/>
      <c r="V7" s="177"/>
      <c r="AG7" s="3679"/>
      <c r="AH7" s="3679"/>
      <c r="AI7" s="3679"/>
      <c r="AJ7" s="3679"/>
      <c r="AK7" s="3679"/>
      <c r="AL7" s="3679"/>
      <c r="AM7" s="3679"/>
      <c r="AN7" s="3679"/>
      <c r="AO7" s="3679"/>
      <c r="AP7" s="3679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'19)LuzerneSil-Fremdernte(a)'!K15</f>
        <v>316.66666666666663</v>
      </c>
      <c r="N8" s="473">
        <f>'19)LuzerneSil-Fremdernte(a)'!M15</f>
        <v>95</v>
      </c>
      <c r="O8" s="473">
        <f>'19)LuzerneSil-Fremdernte(a)'!N15</f>
        <v>79.166666666666657</v>
      </c>
      <c r="P8" s="473">
        <f>'19)LuzerneSil-Fremdernte(a)'!O15</f>
        <v>79.166666666666657</v>
      </c>
      <c r="Q8" s="473">
        <f>'19)LuzerneSil-Fremdernte(a)'!P15</f>
        <v>63.333333333333329</v>
      </c>
      <c r="R8" s="1583">
        <f>'19)LuzerneSil-Fremdernte(a)'!Q15</f>
        <v>0</v>
      </c>
      <c r="S8" s="3679"/>
      <c r="V8" s="177"/>
      <c r="AG8" s="3679"/>
      <c r="AH8" s="3679"/>
      <c r="AI8" s="3679"/>
      <c r="AJ8" s="3679"/>
      <c r="AK8" s="3679"/>
      <c r="AL8" s="3679"/>
      <c r="AM8" s="3679"/>
      <c r="AN8" s="3679"/>
      <c r="AO8" s="3679"/>
      <c r="AP8" s="3679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'19)LuzerneSil-Fremdernte(a)'!K17</f>
        <v>97.185000000000002</v>
      </c>
      <c r="N9" s="452">
        <f>'19)LuzerneSil-Fremdernte(a)'!M17</f>
        <v>29.155500000000004</v>
      </c>
      <c r="O9" s="452">
        <f>'19)LuzerneSil-Fremdernte(a)'!N17</f>
        <v>24.296250000000001</v>
      </c>
      <c r="P9" s="452">
        <f>'19)LuzerneSil-Fremdernte(a)'!O17</f>
        <v>24.296250000000001</v>
      </c>
      <c r="Q9" s="452">
        <f>'19)LuzerneSil-Fremdernte(a)'!P17</f>
        <v>19.436999999999998</v>
      </c>
      <c r="R9" s="1744">
        <f>'19)LuzerneSil-Fremdernte(a)'!Q17</f>
        <v>0</v>
      </c>
      <c r="S9" s="3679"/>
      <c r="V9" s="177"/>
      <c r="AG9" s="3679"/>
      <c r="AH9" s="3679"/>
      <c r="AI9" s="3679"/>
      <c r="AJ9" s="3679"/>
      <c r="AK9" s="3679"/>
      <c r="AL9" s="3679"/>
      <c r="AM9" s="3679"/>
      <c r="AN9" s="3679"/>
      <c r="AO9" s="3679"/>
      <c r="AP9" s="367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'19)LuzerneSil-Fremdernte(a)'!K18</f>
        <v>277.67142857142858</v>
      </c>
      <c r="N10" s="1748">
        <f>'19)LuzerneSil-Fremdernte(a)'!M18</f>
        <v>83.301428571428588</v>
      </c>
      <c r="O10" s="1748">
        <f>'19)LuzerneSil-Fremdernte(a)'!N18</f>
        <v>69.417857142857144</v>
      </c>
      <c r="P10" s="1748">
        <f>'19)LuzerneSil-Fremdernte(a)'!O18</f>
        <v>69.417857142857144</v>
      </c>
      <c r="Q10" s="1748">
        <f>'19)LuzerneSil-Fremdernte(a)'!P18</f>
        <v>55.534285714285701</v>
      </c>
      <c r="R10" s="1745">
        <f>'19)LuzerneSil-Fremdernte(a)'!Q18</f>
        <v>0</v>
      </c>
      <c r="S10" s="3679"/>
      <c r="V10" s="177"/>
      <c r="AG10" s="3679"/>
      <c r="AH10" s="3679"/>
      <c r="AI10" s="3679"/>
      <c r="AJ10" s="3679"/>
      <c r="AK10" s="3679"/>
      <c r="AL10" s="3679"/>
      <c r="AM10" s="3679"/>
      <c r="AN10" s="3679"/>
      <c r="AO10" s="3679"/>
      <c r="AP10" s="3679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'19)LuzerneSil-Fremdernte(a)'!K19</f>
        <v>40.834033613445378</v>
      </c>
      <c r="N11" s="2094">
        <f>'19)LuzerneSil-Fremdernte(a)'!M19</f>
        <v>12.250210084033617</v>
      </c>
      <c r="O11" s="2094">
        <f>'19)LuzerneSil-Fremdernte(a)'!N19</f>
        <v>10.208508403361344</v>
      </c>
      <c r="P11" s="2094">
        <f>'19)LuzerneSil-Fremdernte(a)'!O19</f>
        <v>10.208508403361344</v>
      </c>
      <c r="Q11" s="2094">
        <f>'19)LuzerneSil-Fremdernte(a)'!P19</f>
        <v>8.1668067226890741</v>
      </c>
      <c r="R11" s="2078">
        <f>'19)LuzerneSil-Fremdernte(a)'!Q19</f>
        <v>0</v>
      </c>
      <c r="S11" s="3679"/>
      <c r="V11" s="177"/>
      <c r="AG11" s="3679"/>
      <c r="AH11" s="3679"/>
      <c r="AI11" s="3679"/>
      <c r="AJ11" s="3679"/>
      <c r="AK11" s="3679"/>
      <c r="AL11" s="3679"/>
      <c r="AM11" s="3679"/>
      <c r="AN11" s="3679"/>
      <c r="AO11" s="3679"/>
      <c r="AP11" s="3679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'19)LuzerneSil-Fremdernte(a)'!K22</f>
        <v>5636.73</v>
      </c>
      <c r="N12" s="1176">
        <f>'19)LuzerneSil-Fremdernte(a)'!M22</f>
        <v>1691.0190000000002</v>
      </c>
      <c r="O12" s="1176">
        <f>'19)LuzerneSil-Fremdernte(a)'!N22</f>
        <v>1409.1824999999999</v>
      </c>
      <c r="P12" s="1176">
        <f>'19)LuzerneSil-Fremdernte(a)'!O22</f>
        <v>1409.1824999999999</v>
      </c>
      <c r="Q12" s="1176">
        <f>'19)LuzerneSil-Fremdernte(a)'!P22</f>
        <v>1127.3459999999998</v>
      </c>
      <c r="R12" s="1747">
        <f>'19)LuzerneSil-Fremdernte(a)'!Q22</f>
        <v>0</v>
      </c>
      <c r="S12" s="3679"/>
      <c r="V12" s="177"/>
      <c r="AG12" s="3679"/>
      <c r="AH12" s="3679"/>
      <c r="AI12" s="3679"/>
      <c r="AJ12" s="3679"/>
      <c r="AK12" s="3679"/>
      <c r="AL12" s="3679"/>
      <c r="AM12" s="3679"/>
      <c r="AN12" s="3679"/>
      <c r="AO12" s="3679"/>
      <c r="AP12" s="3679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'19)LuzerneSil-Fremdernte(a)'!K23</f>
        <v>9394.5499999999993</v>
      </c>
      <c r="N13" s="2065">
        <f>'19)LuzerneSil-Fremdernte(a)'!M23</f>
        <v>2818.3649999999998</v>
      </c>
      <c r="O13" s="2065">
        <f>'19)LuzerneSil-Fremdernte(a)'!N23</f>
        <v>2348.6374999999998</v>
      </c>
      <c r="P13" s="2065">
        <f>'19)LuzerneSil-Fremdernte(a)'!O23</f>
        <v>2348.6374999999998</v>
      </c>
      <c r="Q13" s="2065">
        <f>'19)LuzerneSil-Fremdernte(a)'!P23</f>
        <v>1878.9099999999996</v>
      </c>
      <c r="R13" s="2067">
        <f>'19)LuzerneSil-Fremdernte(a)'!Q23</f>
        <v>0</v>
      </c>
      <c r="S13" s="3679"/>
      <c r="V13" s="177"/>
      <c r="AG13" s="3679"/>
      <c r="AH13" s="3679"/>
      <c r="AI13" s="3679"/>
      <c r="AJ13" s="3679"/>
      <c r="AK13" s="3679"/>
      <c r="AL13" s="3679"/>
      <c r="AM13" s="3679"/>
      <c r="AN13" s="3679"/>
      <c r="AO13" s="3679"/>
      <c r="AP13" s="3679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79"/>
      <c r="V14" s="177"/>
      <c r="AG14" s="3679"/>
      <c r="AH14" s="3679"/>
      <c r="AI14" s="3679"/>
      <c r="AJ14" s="3679"/>
      <c r="AK14" s="3679"/>
      <c r="AL14" s="3679"/>
      <c r="AM14" s="3679"/>
      <c r="AN14" s="3679"/>
      <c r="AO14" s="3679"/>
      <c r="AP14" s="3679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67.5</v>
      </c>
      <c r="P15" s="3339">
        <f t="shared" si="0"/>
        <v>67.5</v>
      </c>
      <c r="Q15" s="3340">
        <f t="shared" si="0"/>
        <v>54</v>
      </c>
      <c r="R15" s="3341">
        <f t="shared" si="0"/>
        <v>0</v>
      </c>
      <c r="S15" s="3679"/>
      <c r="V15" s="177"/>
      <c r="AG15" s="3679"/>
      <c r="AH15" s="3679"/>
      <c r="AI15" s="3679"/>
      <c r="AJ15" s="3679"/>
      <c r="AK15" s="3679"/>
      <c r="AL15" s="3679"/>
      <c r="AM15" s="3679"/>
      <c r="AN15" s="3679"/>
      <c r="AO15" s="3679"/>
      <c r="AP15" s="3679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79"/>
      <c r="V16" s="177"/>
      <c r="AG16" s="3679"/>
      <c r="AH16" s="3679"/>
      <c r="AI16" s="3679"/>
      <c r="AJ16" s="3679"/>
      <c r="AK16" s="3679"/>
      <c r="AL16" s="3679"/>
      <c r="AM16" s="3679"/>
      <c r="AN16" s="3679"/>
      <c r="AO16" s="3679"/>
      <c r="AP16" s="3679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67.5</v>
      </c>
      <c r="P17" s="3334">
        <f t="shared" si="2"/>
        <v>67.5</v>
      </c>
      <c r="Q17" s="2065">
        <f t="shared" si="2"/>
        <v>54</v>
      </c>
      <c r="R17" s="3335">
        <f t="shared" si="2"/>
        <v>0</v>
      </c>
      <c r="S17" s="3679"/>
      <c r="V17" s="177"/>
      <c r="AG17" s="3679"/>
      <c r="AH17" s="3679"/>
      <c r="AI17" s="3679"/>
      <c r="AJ17" s="3679"/>
      <c r="AK17" s="3679"/>
      <c r="AL17" s="3679"/>
      <c r="AM17" s="3679"/>
      <c r="AN17" s="3679"/>
      <c r="AO17" s="3679"/>
      <c r="AP17" s="3679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'19)LuzerneSil-Fremdernte(a)'!L32</f>
        <v>64.2</v>
      </c>
      <c r="N19" s="2071">
        <f>'19)LuzerneSil-Fremdernte(a)'!M32</f>
        <v>19.260000000000002</v>
      </c>
      <c r="O19" s="2071">
        <f>'19)LuzerneSil-Fremdernte(a)'!N32</f>
        <v>16.05</v>
      </c>
      <c r="P19" s="2071">
        <f>'19)LuzerneSil-Fremdernte(a)'!O32</f>
        <v>16.05</v>
      </c>
      <c r="Q19" s="2071">
        <f>'19)LuzerneSil-Fremdernte(a)'!P32</f>
        <v>12.84</v>
      </c>
      <c r="R19" s="2073">
        <f>'19)LuzerneSil-Fremdernte(a)'!Q32</f>
        <v>0</v>
      </c>
      <c r="AG19" s="3679"/>
      <c r="AH19" s="3679"/>
      <c r="AI19" s="3679"/>
      <c r="AJ19" s="3679"/>
      <c r="AK19" s="3679"/>
      <c r="AL19" s="3679"/>
      <c r="AM19" s="3679"/>
      <c r="AN19" s="3679"/>
      <c r="AO19" s="3679"/>
      <c r="AP19" s="367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'19)LuzerneSil-Fremdernte(a)'!L34</f>
        <v>414.22759583333334</v>
      </c>
      <c r="N20" s="285">
        <f>'19)LuzerneSil-Fremdernte(a)'!M34</f>
        <v>124.26827875000001</v>
      </c>
      <c r="O20" s="285">
        <f>'19)LuzerneSil-Fremdernte(a)'!N34</f>
        <v>103.55689895833333</v>
      </c>
      <c r="P20" s="285">
        <f>'19)LuzerneSil-Fremdernte(a)'!O34</f>
        <v>103.55689895833333</v>
      </c>
      <c r="Q20" s="285">
        <f>'19)LuzerneSil-Fremdernte(a)'!P34</f>
        <v>82.845519166666676</v>
      </c>
      <c r="R20" s="1574">
        <f>'19)LuzerneSil-Fremdernte(a)'!Q34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'19)LuzerneSil-Fremdernte(a)'!L40</f>
        <v>0</v>
      </c>
      <c r="N21" s="285">
        <f>'19)LuzerneSil-Fremdernte(a)'!M40</f>
        <v>0</v>
      </c>
      <c r="O21" s="285">
        <f>'19)LuzerneSil-Fremdernte(a)'!N40</f>
        <v>0</v>
      </c>
      <c r="P21" s="285">
        <f>'19)LuzerneSil-Fremdernte(a)'!O40</f>
        <v>0</v>
      </c>
      <c r="Q21" s="285">
        <f>'19)LuzerneSil-Fremdernte(a)'!P40</f>
        <v>0</v>
      </c>
      <c r="R21" s="1574">
        <f>'19)LuzerneSil-Fremdernte(a)'!Q40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'19)LuzerneSil-Fremdernte(a)'!L67</f>
        <v>41.65</v>
      </c>
      <c r="N23" s="285">
        <f>'19)LuzerneSil-Fremdernte(a)'!M67</f>
        <v>12.494999999999999</v>
      </c>
      <c r="O23" s="285">
        <f>'19)LuzerneSil-Fremdernte(a)'!N67</f>
        <v>10.4125</v>
      </c>
      <c r="P23" s="285">
        <f>'19)LuzerneSil-Fremdernte(a)'!O67</f>
        <v>10.4125</v>
      </c>
      <c r="Q23" s="285">
        <f>'19)LuzerneSil-Fremdernte(a)'!P67</f>
        <v>8.33</v>
      </c>
      <c r="R23" s="1574">
        <f>'19)LuzerneSil-Fremdernte(a)'!Q67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'19)LuzerneSil-Fremdernte(a)'!L43</f>
        <v>232.37540508871999</v>
      </c>
      <c r="N24" s="285">
        <f>'19)LuzerneSil-Fremdernte(a)'!M43</f>
        <v>58.093851272179997</v>
      </c>
      <c r="O24" s="285">
        <f>'19)LuzerneSil-Fremdernte(a)'!N43</f>
        <v>58.093851272179997</v>
      </c>
      <c r="P24" s="285">
        <f>'19)LuzerneSil-Fremdernte(a)'!O43</f>
        <v>58.093851272179997</v>
      </c>
      <c r="Q24" s="285">
        <f>'19)LuzerneSil-Fremdernte(a)'!P43</f>
        <v>58.093851272179997</v>
      </c>
      <c r="R24" s="1574">
        <f>'19)LuzerneSil-Fremdernte(a)'!Q43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'19)LuzerneSil-Fremdernte(a)'!L59</f>
        <v>666.4</v>
      </c>
      <c r="N25" s="285">
        <f>'19)LuzerneSil-Fremdernte(a)'!M59</f>
        <v>199.92</v>
      </c>
      <c r="O25" s="285">
        <f>'19)LuzerneSil-Fremdernte(a)'!N59</f>
        <v>166.6</v>
      </c>
      <c r="P25" s="285">
        <f>'19)LuzerneSil-Fremdernte(a)'!O59</f>
        <v>166.6</v>
      </c>
      <c r="Q25" s="285">
        <f>'19)LuzerneSil-Fremdernte(a)'!P59</f>
        <v>133.28</v>
      </c>
      <c r="R25" s="1574">
        <f>'19)LuzerneSil-Fremdernte(a)'!Q59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'19)LuzerneSil-Fremdernte(a)'!L64</f>
        <v>0</v>
      </c>
      <c r="N26" s="1979">
        <f>'19)LuzerneSil-Fremdernte(a)'!M64</f>
        <v>0</v>
      </c>
      <c r="O26" s="1979">
        <f>'19)LuzerneSil-Fremdernte(a)'!N64</f>
        <v>0</v>
      </c>
      <c r="P26" s="1979">
        <f>'19)LuzerneSil-Fremdernte(a)'!O64</f>
        <v>0</v>
      </c>
      <c r="Q26" s="1979">
        <f>'19)LuzerneSil-Fremdernte(a)'!P64</f>
        <v>0</v>
      </c>
      <c r="R26" s="1981">
        <f>'19)LuzerneSil-Fremdernte(a)'!Q64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1418.8530009220533</v>
      </c>
      <c r="N27" s="2407">
        <f t="shared" si="4"/>
        <v>414.03713002218001</v>
      </c>
      <c r="O27" s="2407">
        <f t="shared" si="4"/>
        <v>354.71325023051332</v>
      </c>
      <c r="P27" s="2407">
        <f t="shared" si="4"/>
        <v>354.71325023051332</v>
      </c>
      <c r="Q27" s="2407">
        <f t="shared" si="4"/>
        <v>295.38937043884664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-1418.8530009220533</v>
      </c>
      <c r="N28" s="1777">
        <f t="shared" si="5"/>
        <v>-414.03713002218001</v>
      </c>
      <c r="O28" s="1777">
        <f t="shared" si="5"/>
        <v>-354.71325023051332</v>
      </c>
      <c r="P28" s="1777">
        <f t="shared" si="5"/>
        <v>-354.71325023051332</v>
      </c>
      <c r="Q28" s="1777">
        <f t="shared" si="5"/>
        <v>-295.38937043884664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-0.25171562251909413</v>
      </c>
      <c r="N29" s="1874">
        <f t="shared" si="6"/>
        <v>-0.24484475338371714</v>
      </c>
      <c r="O29" s="1874">
        <f t="shared" si="6"/>
        <v>-0.25171562251909413</v>
      </c>
      <c r="P29" s="1874">
        <f t="shared" si="6"/>
        <v>-0.25171562251909413</v>
      </c>
      <c r="Q29" s="1874">
        <f t="shared" si="6"/>
        <v>-0.26202192622215958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67.5</v>
      </c>
      <c r="P30" s="2097">
        <f t="shared" si="7"/>
        <v>67.5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'19)LuzerneSil-Fremdernte(a)'!L25</f>
        <v>0</v>
      </c>
      <c r="V30" s="3308">
        <f>'19)LuzerneSil-Fremdernte(a)'!M25</f>
        <v>0</v>
      </c>
      <c r="W30" s="3308">
        <f>'19)LuzerneSil-Fremdernte(a)'!N25</f>
        <v>0</v>
      </c>
      <c r="X30" s="3308">
        <f>'19)LuzerneSil-Fremdernte(a)'!O25</f>
        <v>0</v>
      </c>
      <c r="Y30" s="3308">
        <f>'19)LuzerneSil-Fremdernte(a)'!P25</f>
        <v>0</v>
      </c>
      <c r="Z30" s="3308">
        <f>'19)LuzerneSil-Fremdernte(a)'!Q25</f>
        <v>0</v>
      </c>
      <c r="AA30" s="3679"/>
      <c r="AB30" s="3679"/>
      <c r="AC30" s="3679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M27*'19)LuzerneSil-Fremdernte(a)'!$L$72*'19)LuzerneSil-Fremdernte(a)'!$Q$72/12/100</f>
        <v>8.8678312557628338</v>
      </c>
      <c r="N31" s="1979">
        <f>N27*'19)LuzerneSil-Fremdernte(a)'!$L$72*'19)LuzerneSil-Fremdernte(a)'!$Q$72/12/100</f>
        <v>2.5877320626386249</v>
      </c>
      <c r="O31" s="1979">
        <f>O27*'19)LuzerneSil-Fremdernte(a)'!$L$72*'19)LuzerneSil-Fremdernte(a)'!$Q$72/12/100</f>
        <v>2.2169578139407085</v>
      </c>
      <c r="P31" s="1979">
        <f>P27*'19)LuzerneSil-Fremdernte(a)'!$L$72*'19)LuzerneSil-Fremdernte(a)'!$Q$72/12/100</f>
        <v>2.2169578139407085</v>
      </c>
      <c r="Q31" s="1979">
        <f>Q27*'19)LuzerneSil-Fremdernte(a)'!$L$72*'19)LuzerneSil-Fremdernte(a)'!$Q$72/12/100</f>
        <v>1.8461835652427916</v>
      </c>
      <c r="R31" s="1981">
        <f>R27*'19)LuzerneSil-Fremdernte(a)'!$L$72*'19)LuzerneSil-Fremdernte(a)'!$Q$72/12/100</f>
        <v>0</v>
      </c>
      <c r="T31" s="3297" t="s">
        <v>1215</v>
      </c>
      <c r="U31" s="3308">
        <f>'19)LuzerneSil-Fremdernte(a)'!L30</f>
        <v>270</v>
      </c>
      <c r="V31" s="3308">
        <f>'19)LuzerneSil-Fremdernte(a)'!M30</f>
        <v>81</v>
      </c>
      <c r="W31" s="3308">
        <f>'19)LuzerneSil-Fremdernte(a)'!N30</f>
        <v>67.5</v>
      </c>
      <c r="X31" s="3308">
        <f>'19)LuzerneSil-Fremdernte(a)'!O30</f>
        <v>67.5</v>
      </c>
      <c r="Y31" s="3308">
        <f>'19)LuzerneSil-Fremdernte(a)'!P30</f>
        <v>54</v>
      </c>
      <c r="Z31" s="3308">
        <f>'19)LuzerneSil-Fremdernte(a)'!Q30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-1157.7208321778162</v>
      </c>
      <c r="N32" s="1769">
        <f t="shared" si="8"/>
        <v>-335.62486208481863</v>
      </c>
      <c r="O32" s="1769">
        <f t="shared" si="8"/>
        <v>-289.43020804445405</v>
      </c>
      <c r="P32" s="1769">
        <f t="shared" si="8"/>
        <v>-289.43020804445405</v>
      </c>
      <c r="Q32" s="1769">
        <f t="shared" si="8"/>
        <v>-243.23555400408944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67.5</v>
      </c>
      <c r="X32" s="429">
        <f t="shared" si="9"/>
        <v>67.5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-0.20538873286068629</v>
      </c>
      <c r="N33" s="1581">
        <f t="shared" si="10"/>
        <v>-0.19847492079321319</v>
      </c>
      <c r="O33" s="1581">
        <f t="shared" si="10"/>
        <v>-0.20538873286068629</v>
      </c>
      <c r="P33" s="1581">
        <f t="shared" si="10"/>
        <v>-0.20538873286068629</v>
      </c>
      <c r="Q33" s="1581">
        <f t="shared" si="10"/>
        <v>-0.21575945096189589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-0.12323323971641179</v>
      </c>
      <c r="N34" s="2149">
        <f t="shared" si="11"/>
        <v>-0.11908495247592794</v>
      </c>
      <c r="O34" s="2149">
        <f t="shared" si="11"/>
        <v>-0.12323323971641179</v>
      </c>
      <c r="P34" s="2149">
        <f t="shared" si="11"/>
        <v>-0.12323323971641179</v>
      </c>
      <c r="Q34" s="2149">
        <f t="shared" si="11"/>
        <v>-0.12945567057713753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'19)LuzerneSil-Fremdernte(a)'!K58</f>
        <v>11.04336</v>
      </c>
      <c r="N36" s="2397">
        <f>'19)LuzerneSil-Fremdernte(a)'!M58</f>
        <v>2.76084</v>
      </c>
      <c r="O36" s="2397">
        <f>'19)LuzerneSil-Fremdernte(a)'!N58</f>
        <v>2.76084</v>
      </c>
      <c r="P36" s="2397">
        <f>'19)LuzerneSil-Fremdernte(a)'!O58</f>
        <v>2.76084</v>
      </c>
      <c r="Q36" s="2397">
        <f>'19)LuzerneSil-Fremdernte(a)'!P58</f>
        <v>2.76084</v>
      </c>
      <c r="R36" s="2398">
        <f>'19)LuzerneSil-Fremdernte(a)'!Q58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'19)LuzerneSil-Fremdernte(a)'!K16</f>
        <v>46.568627450980387</v>
      </c>
      <c r="N37" s="2400">
        <f>'19)LuzerneSil-Fremdernte(a)'!M16</f>
        <v>13.970588235294118</v>
      </c>
      <c r="O37" s="2400">
        <f>'19)LuzerneSil-Fremdernte(a)'!N16</f>
        <v>11.642156862745097</v>
      </c>
      <c r="P37" s="2400">
        <f>'19)LuzerneSil-Fremdernte(a)'!O16</f>
        <v>11.642156862745097</v>
      </c>
      <c r="Q37" s="2400">
        <f>'19)LuzerneSil-Fremdernte(a)'!P16</f>
        <v>9.3137254901960773</v>
      </c>
      <c r="R37" s="2401">
        <f>'19)LuzerneSil-Fremdernte(a)'!Q16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'19)LuzerneSil-Fremdernte(a)'!M78</f>
        <v>4.8591666666666669</v>
      </c>
      <c r="O38" s="1997">
        <f>'19)LuzerneSil-Fremdernte(a)'!N78</f>
        <v>4.8591666666666669</v>
      </c>
      <c r="P38" s="1997">
        <f>'19)LuzerneSil-Fremdernte(a)'!O78</f>
        <v>4.8591666666666669</v>
      </c>
      <c r="Q38" s="1997">
        <f>'19)LuzerneSil-Fremdernte(a)'!P78</f>
        <v>4.8591666666666669</v>
      </c>
      <c r="R38" s="1998">
        <f>'19)LuzerneSil-Fremdernte(a)'!Q78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193.25880000000001</v>
      </c>
      <c r="N39" s="285">
        <f t="shared" si="13"/>
        <v>48.314700000000002</v>
      </c>
      <c r="O39" s="285">
        <f t="shared" si="13"/>
        <v>48.314700000000002</v>
      </c>
      <c r="P39" s="285">
        <f t="shared" si="13"/>
        <v>48.314700000000002</v>
      </c>
      <c r="Q39" s="285">
        <f t="shared" si="13"/>
        <v>48.314700000000002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226.28472222222223</v>
      </c>
      <c r="N40" s="285">
        <f>N37*N38</f>
        <v>67.885416666666671</v>
      </c>
      <c r="O40" s="285">
        <f>O37*O38</f>
        <v>56.57118055555555</v>
      </c>
      <c r="P40" s="285">
        <f>P37*P38</f>
        <v>56.57118055555555</v>
      </c>
      <c r="Q40" s="285">
        <f>Q37*Q38</f>
        <v>45.256944444444443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300</v>
      </c>
      <c r="N41" s="285">
        <f>N$6/$M$6*$M$41</f>
        <v>90</v>
      </c>
      <c r="O41" s="285">
        <f>O$6/$M$6*$M$41</f>
        <v>75</v>
      </c>
      <c r="P41" s="285">
        <f>P$6/$M$6*$M$41</f>
        <v>75</v>
      </c>
      <c r="Q41" s="285">
        <f>Q$6/$M$6*$M$41</f>
        <v>60</v>
      </c>
      <c r="R41" s="1574">
        <f>R$6/$M$6*$M$41</f>
        <v>0</v>
      </c>
      <c r="AG41" s="3679"/>
      <c r="AH41" s="3679"/>
      <c r="AI41" s="3679"/>
      <c r="AJ41" s="3679"/>
      <c r="AK41" s="3679"/>
      <c r="AL41" s="3679"/>
      <c r="AM41" s="3679"/>
      <c r="AN41" s="3679"/>
      <c r="AO41" s="3679"/>
      <c r="AP41" s="3679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17.254999999999999</v>
      </c>
      <c r="P42" s="285">
        <f>P$6/$M$6*$M$42</f>
        <v>17.254999999999999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32.200000000000003</v>
      </c>
      <c r="P44" s="1979">
        <f>P$6/$M$6*$M$44</f>
        <v>32.200000000000003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917.36352222222217</v>
      </c>
      <c r="N45" s="1991">
        <f t="shared" si="14"/>
        <v>265.54611666666665</v>
      </c>
      <c r="O45" s="1991">
        <f t="shared" si="14"/>
        <v>229.34088055555554</v>
      </c>
      <c r="P45" s="1991">
        <f t="shared" si="14"/>
        <v>229.34088055555554</v>
      </c>
      <c r="Q45" s="1991">
        <f t="shared" si="14"/>
        <v>193.13564444444444</v>
      </c>
      <c r="R45" s="1994">
        <f t="shared" si="14"/>
        <v>0</v>
      </c>
      <c r="AG45" s="17"/>
      <c r="AH45" s="17"/>
      <c r="AI45" s="3679"/>
      <c r="AJ45" s="168"/>
      <c r="AK45" s="3679"/>
      <c r="AL45" s="3679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79"/>
      <c r="AJ46" s="168"/>
      <c r="AK46" s="3679"/>
      <c r="AL46" s="3679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79"/>
      <c r="AJ47" s="168"/>
      <c r="AK47" s="3679"/>
      <c r="AL47" s="3679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2345.0843544000381</v>
      </c>
      <c r="N48" s="2127">
        <f t="shared" si="16"/>
        <v>682.17097875148534</v>
      </c>
      <c r="O48" s="2041">
        <f t="shared" si="16"/>
        <v>586.27108860000953</v>
      </c>
      <c r="P48" s="2041">
        <f t="shared" si="16"/>
        <v>586.27108860000953</v>
      </c>
      <c r="Q48" s="2041">
        <f t="shared" si="16"/>
        <v>490.37119844853385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-2345.0843544000381</v>
      </c>
      <c r="N49" s="2125">
        <f t="shared" si="17"/>
        <v>-682.17097875148534</v>
      </c>
      <c r="O49" s="1772">
        <f t="shared" si="17"/>
        <v>-586.27108860000953</v>
      </c>
      <c r="P49" s="1772">
        <f t="shared" si="17"/>
        <v>-586.27108860000953</v>
      </c>
      <c r="Q49" s="1772">
        <f t="shared" si="17"/>
        <v>-490.37119844853385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-0.41603631083980219</v>
      </c>
      <c r="N50" s="2511">
        <f t="shared" si="18"/>
        <v>-0.40340822826442829</v>
      </c>
      <c r="O50" s="2168">
        <f t="shared" si="18"/>
        <v>-0.41603631083980219</v>
      </c>
      <c r="P50" s="2168">
        <f t="shared" si="18"/>
        <v>-0.41603631083980219</v>
      </c>
      <c r="Q50" s="2168">
        <f t="shared" si="18"/>
        <v>-0.43497843470286313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67.5</v>
      </c>
      <c r="P51" s="2185">
        <f t="shared" si="19"/>
        <v>67.5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-2075.0843544000381</v>
      </c>
      <c r="N52" s="2178">
        <f t="shared" si="20"/>
        <v>-601.17097875148534</v>
      </c>
      <c r="O52" s="2081">
        <f t="shared" si="20"/>
        <v>-518.77108860000953</v>
      </c>
      <c r="P52" s="2081">
        <f t="shared" si="20"/>
        <v>-518.77108860000953</v>
      </c>
      <c r="Q52" s="2081">
        <f t="shared" si="20"/>
        <v>-436.37119844853385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-0.36813619854065005</v>
      </c>
      <c r="N53" s="2511">
        <f t="shared" si="21"/>
        <v>-0.35550811596527609</v>
      </c>
      <c r="O53" s="2168">
        <f t="shared" si="21"/>
        <v>-0.36813619854065005</v>
      </c>
      <c r="P53" s="2168">
        <f t="shared" si="21"/>
        <v>-0.36813619854065005</v>
      </c>
      <c r="Q53" s="2168">
        <f t="shared" si="21"/>
        <v>-0.38707832240371098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2075.0843544000381</v>
      </c>
      <c r="N55" s="2038">
        <f t="shared" si="22"/>
        <v>601.17097875148534</v>
      </c>
      <c r="O55" s="2038">
        <f t="shared" si="22"/>
        <v>518.77108860000953</v>
      </c>
      <c r="P55" s="2038">
        <f t="shared" si="22"/>
        <v>518.77108860000953</v>
      </c>
      <c r="Q55" s="2038">
        <f t="shared" si="22"/>
        <v>436.37119844853385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7.473164830375195</v>
      </c>
      <c r="N56" s="2103">
        <f t="shared" si="24"/>
        <v>7.2168147540951049</v>
      </c>
      <c r="O56" s="2103">
        <f t="shared" si="24"/>
        <v>7.473164830375195</v>
      </c>
      <c r="P56" s="2103">
        <f t="shared" si="24"/>
        <v>7.473164830375195</v>
      </c>
      <c r="Q56" s="2103">
        <f t="shared" si="24"/>
        <v>7.8576899447953323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21.351899515357701</v>
      </c>
      <c r="N57" s="3427">
        <f>IF($N$7=0,0,N$55/$N$9)</f>
        <v>20.619470725986016</v>
      </c>
      <c r="O57" s="3427">
        <f>IF($O$7=0,0,O$55/$O$9)</f>
        <v>21.351899515357701</v>
      </c>
      <c r="P57" s="3427">
        <f>IF($P$7=0,0,P$55/$P$9)</f>
        <v>21.351899515357701</v>
      </c>
      <c r="Q57" s="3427">
        <f>IF($Q$7=0,0,Q$55/$Q$9)</f>
        <v>22.450542699415234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50.817520846551325</v>
      </c>
      <c r="N58" s="2134">
        <f t="shared" si="25"/>
        <v>49.074340327846713</v>
      </c>
      <c r="O58" s="2134">
        <f t="shared" si="25"/>
        <v>50.817520846551325</v>
      </c>
      <c r="P58" s="2134">
        <f t="shared" si="25"/>
        <v>50.817520846551325</v>
      </c>
      <c r="Q58" s="2134">
        <f t="shared" si="25"/>
        <v>53.432291624608261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0.36813619854065005</v>
      </c>
      <c r="N59" s="2136">
        <f t="shared" si="25"/>
        <v>0.35550811596527609</v>
      </c>
      <c r="O59" s="2136">
        <f t="shared" si="25"/>
        <v>0.36813619854065005</v>
      </c>
      <c r="P59" s="2136">
        <f t="shared" si="25"/>
        <v>0.36813619854065005</v>
      </c>
      <c r="Q59" s="2136">
        <f t="shared" si="25"/>
        <v>0.38707832240371098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0.10226005515018058</v>
      </c>
      <c r="N60" s="2136">
        <f t="shared" si="26"/>
        <v>9.8752254434798917E-2</v>
      </c>
      <c r="O60" s="2136">
        <f t="shared" si="26"/>
        <v>0.10226005515018058</v>
      </c>
      <c r="P60" s="2136">
        <f t="shared" si="26"/>
        <v>0.10226005515018058</v>
      </c>
      <c r="Q60" s="2136">
        <f t="shared" si="26"/>
        <v>0.10752175622325305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79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0.36813619854065005</v>
      </c>
      <c r="N61" s="2136">
        <f t="shared" si="27"/>
        <v>0.35550811596527609</v>
      </c>
      <c r="O61" s="2136">
        <f t="shared" si="27"/>
        <v>0.36813619854065005</v>
      </c>
      <c r="P61" s="2136">
        <f t="shared" si="27"/>
        <v>0.36813619854065005</v>
      </c>
      <c r="Q61" s="2136">
        <f t="shared" si="27"/>
        <v>0.38707832240371098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0.22088171912439003</v>
      </c>
      <c r="N62" s="2513">
        <f t="shared" si="28"/>
        <v>0.21330486957916572</v>
      </c>
      <c r="O62" s="2513">
        <f t="shared" si="28"/>
        <v>0.22088171912439003</v>
      </c>
      <c r="P62" s="2513">
        <f t="shared" si="28"/>
        <v>0.22088171912439003</v>
      </c>
      <c r="Q62" s="2513">
        <f t="shared" si="28"/>
        <v>0.23224699344222657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1848.799632177816</v>
      </c>
      <c r="N63" s="1769">
        <f t="shared" si="29"/>
        <v>533.28556208481871</v>
      </c>
      <c r="O63" s="1769">
        <f t="shared" si="29"/>
        <v>462.19990804445399</v>
      </c>
      <c r="P63" s="1769">
        <f t="shared" si="29"/>
        <v>462.19990804445399</v>
      </c>
      <c r="Q63" s="1769">
        <f t="shared" si="29"/>
        <v>391.11425400408939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19.023508074063034</v>
      </c>
      <c r="N64" s="3427">
        <f>IF($N$7=0,0,N$63/$N$9)</f>
        <v>18.291079284691349</v>
      </c>
      <c r="O64" s="3427">
        <f>IF($O$7=0,0,O$63/$O$9)</f>
        <v>19.023508074063034</v>
      </c>
      <c r="P64" s="3427">
        <f>IF($P$7=0,0,P$63/$P$9)</f>
        <v>19.023508074063034</v>
      </c>
      <c r="Q64" s="3427">
        <f>IF($Q$7=0,0,Q$63/$Q$9)</f>
        <v>20.122151258120567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0.3279915185183282</v>
      </c>
      <c r="N65" s="2169">
        <f t="shared" si="30"/>
        <v>0.3153634359429543</v>
      </c>
      <c r="O65" s="2169">
        <f t="shared" si="30"/>
        <v>0.3279915185183282</v>
      </c>
      <c r="P65" s="2169">
        <f t="shared" si="30"/>
        <v>0.3279915185183282</v>
      </c>
      <c r="Q65" s="2169">
        <f t="shared" si="30"/>
        <v>0.34693364238138907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0.19679491111099692</v>
      </c>
      <c r="N66" s="2171">
        <f t="shared" si="30"/>
        <v>0.18921806156577262</v>
      </c>
      <c r="O66" s="2171">
        <f t="shared" si="30"/>
        <v>0.19679491111099692</v>
      </c>
      <c r="P66" s="2171">
        <f t="shared" si="30"/>
        <v>0.19679491111099692</v>
      </c>
      <c r="Q66" s="2171">
        <f t="shared" si="30"/>
        <v>0.20816018542883347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528.94542708909614</v>
      </c>
      <c r="N68" s="1772">
        <f t="shared" si="31"/>
        <v>158.61101081263863</v>
      </c>
      <c r="O68" s="1772">
        <f t="shared" si="31"/>
        <v>132.23635677227404</v>
      </c>
      <c r="P68" s="1772">
        <f t="shared" si="31"/>
        <v>132.23635677227404</v>
      </c>
      <c r="Q68" s="1772">
        <f t="shared" si="31"/>
        <v>105.86170273190947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9.3839056880335975E-2</v>
      </c>
      <c r="N69" s="2031">
        <f t="shared" si="32"/>
        <v>9.3796113948239848E-2</v>
      </c>
      <c r="O69" s="2031">
        <f t="shared" si="32"/>
        <v>9.3839056880335975E-2</v>
      </c>
      <c r="P69" s="2031">
        <f t="shared" si="32"/>
        <v>9.3839056880335975E-2</v>
      </c>
      <c r="Q69" s="2031">
        <f t="shared" si="32"/>
        <v>9.3903471278480158E-2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1392.03420508872</v>
      </c>
      <c r="N70" s="1769">
        <f t="shared" si="33"/>
        <v>396.32855127217999</v>
      </c>
      <c r="O70" s="1769">
        <f t="shared" si="33"/>
        <v>348.00855127218</v>
      </c>
      <c r="P70" s="1769">
        <f t="shared" si="33"/>
        <v>348.00855127218</v>
      </c>
      <c r="Q70" s="1769">
        <f t="shared" si="33"/>
        <v>299.68855127218001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0.24695775832596562</v>
      </c>
      <c r="N71" s="2168">
        <f t="shared" si="34"/>
        <v>0.23437261868268774</v>
      </c>
      <c r="O71" s="2168">
        <f t="shared" si="34"/>
        <v>0.24695775832596562</v>
      </c>
      <c r="P71" s="2168">
        <f t="shared" si="34"/>
        <v>0.24695775832596562</v>
      </c>
      <c r="Q71" s="2168">
        <f t="shared" si="34"/>
        <v>0.26583546779088235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79"/>
      <c r="F97" s="3679"/>
      <c r="G97" s="3679"/>
      <c r="H97" s="3679"/>
      <c r="I97" s="3679"/>
      <c r="J97" s="3679"/>
      <c r="K97" s="3679"/>
      <c r="L97" s="203"/>
      <c r="M97" s="3679"/>
      <c r="N97" s="3679"/>
      <c r="O97" s="3679"/>
      <c r="P97" s="3679"/>
      <c r="Q97" s="3679"/>
      <c r="R97" s="3679"/>
      <c r="T97" s="3679"/>
      <c r="U97" s="3679"/>
      <c r="V97" s="3679"/>
      <c r="W97" s="3679"/>
      <c r="X97" s="3679"/>
      <c r="Y97" s="3679"/>
      <c r="Z97" s="3679"/>
      <c r="AA97" s="3679"/>
      <c r="AB97" s="3679"/>
      <c r="AC97" s="3679"/>
      <c r="AD97" s="3679"/>
      <c r="AE97" s="3679"/>
      <c r="AF97" s="3679"/>
    </row>
    <row r="98" spans="5:32" x14ac:dyDescent="0.2">
      <c r="E98" s="3679"/>
      <c r="F98" s="3679"/>
      <c r="G98" s="3679"/>
      <c r="H98" s="3679"/>
      <c r="I98" s="3679"/>
      <c r="J98" s="3679"/>
      <c r="K98" s="3679"/>
      <c r="L98" s="203"/>
      <c r="M98" s="3679"/>
      <c r="N98" s="3679"/>
      <c r="O98" s="3679"/>
      <c r="P98" s="3679"/>
      <c r="Q98" s="3679"/>
      <c r="R98" s="3679"/>
      <c r="T98" s="3679"/>
      <c r="U98" s="3679"/>
      <c r="V98" s="3679"/>
      <c r="W98" s="3679"/>
      <c r="X98" s="3679"/>
      <c r="Y98" s="3679"/>
      <c r="Z98" s="3679"/>
      <c r="AA98" s="3679"/>
      <c r="AB98" s="3679"/>
      <c r="AC98" s="3679"/>
      <c r="AD98" s="3679"/>
      <c r="AE98" s="3679"/>
      <c r="AF98" s="3679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1">
    <pageSetUpPr fitToPage="1"/>
  </sheetPr>
  <dimension ref="A1:CA73"/>
  <sheetViews>
    <sheetView showGridLines="0" showZeros="0" zoomScale="90" zoomScaleNormal="72" workbookViewId="0">
      <pane xSplit="10" ySplit="5" topLeftCell="K6" activePane="bottomRight" state="frozen"/>
      <selection activeCell="H36" sqref="H36"/>
      <selection pane="topRight" activeCell="H36" sqref="H36"/>
      <selection pane="bottomLeft" activeCell="H36" sqref="H36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8.5703125" style="530" customWidth="1"/>
    <col min="19" max="20" width="7.42578125" style="530" customWidth="1"/>
    <col min="21" max="21" width="8.5703125" style="530" customWidth="1"/>
    <col min="22" max="23" width="7.42578125" style="530" customWidth="1"/>
    <col min="24" max="24" width="8.710937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ht="15.95" customHeight="1" x14ac:dyDescent="0.2">
      <c r="B1" s="4320" t="s">
        <v>312</v>
      </c>
      <c r="C1" s="4320"/>
      <c r="D1" s="4320"/>
      <c r="E1" s="4320"/>
      <c r="F1" s="4320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219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18" t="s">
        <v>893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37" t="s">
        <v>1448</v>
      </c>
      <c r="E5" s="237"/>
      <c r="F5" s="237"/>
      <c r="G5" s="237"/>
      <c r="H5" s="237"/>
      <c r="I5" s="237"/>
      <c r="J5" s="144" t="s">
        <v>139</v>
      </c>
      <c r="K5" s="416">
        <v>110</v>
      </c>
      <c r="L5" s="417"/>
      <c r="M5" s="370">
        <v>130</v>
      </c>
      <c r="N5" s="2261"/>
      <c r="O5" s="370">
        <v>150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/>
      <c r="L6" s="706">
        <v>5</v>
      </c>
      <c r="M6" s="702"/>
      <c r="N6" s="706">
        <v>5</v>
      </c>
      <c r="O6" s="702"/>
      <c r="P6" s="706">
        <v>5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110</v>
      </c>
      <c r="L9" s="721">
        <f>IF(K7=0,0,K9/K7*100)</f>
        <v>333.33333333333337</v>
      </c>
      <c r="M9" s="809">
        <f>M5*(100-M6)/100</f>
        <v>130</v>
      </c>
      <c r="N9" s="810">
        <f>IF(M7=0,0,M9/M7*100)</f>
        <v>393.93939393939394</v>
      </c>
      <c r="O9" s="720">
        <f>O5*(100-O6)/100</f>
        <v>150</v>
      </c>
      <c r="P9" s="721">
        <f>IF(O7=0,0,O9/O7*100)</f>
        <v>454.54545454545456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47.61904761904762</v>
      </c>
      <c r="M10" s="286"/>
      <c r="N10" s="811">
        <f>IF(M8=0,0,1/M8*N9)</f>
        <v>56.277056277056275</v>
      </c>
      <c r="O10" s="173"/>
      <c r="P10" s="722">
        <f>IF(O8=0,0,1/O8*P9)</f>
        <v>64.935064935064929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104.5</v>
      </c>
      <c r="L11" s="709">
        <f>IF(L7=0,0,K11/L7*100)</f>
        <v>298.57142857142856</v>
      </c>
      <c r="M11" s="812">
        <f>M9*(100-N6)/100</f>
        <v>123.5</v>
      </c>
      <c r="N11" s="813">
        <f>IF(N7=0,0,M11/N7*100)</f>
        <v>352.85714285714283</v>
      </c>
      <c r="O11" s="708">
        <f>O9*(100-P6)/100</f>
        <v>142.5</v>
      </c>
      <c r="P11" s="709">
        <f>IF(P7=0,0,O11/P7*100)</f>
        <v>407.14285714285711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42.65306122448979</v>
      </c>
      <c r="M12" s="801"/>
      <c r="N12" s="814">
        <f>IF(N8=0,0,1/N8*N11)</f>
        <v>50.408163265306115</v>
      </c>
      <c r="O12" s="487"/>
      <c r="P12" s="502">
        <f>IF(P8=0,0,1/P8*P11)</f>
        <v>58.16326530612244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6.4</v>
      </c>
      <c r="L13" s="418"/>
      <c r="M13" s="499">
        <v>6.5</v>
      </c>
      <c r="N13" s="784"/>
      <c r="O13" s="499">
        <v>6.5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10.666666666666668</v>
      </c>
      <c r="L14" s="418"/>
      <c r="M14" s="815">
        <f>M13/$G14</f>
        <v>10.833333333333334</v>
      </c>
      <c r="N14" s="784"/>
      <c r="O14" s="513">
        <f>O13/$G14</f>
        <v>10.833333333333334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6688.0000000000009</v>
      </c>
      <c r="L15" s="418"/>
      <c r="M15" s="816">
        <f>M$11*M13*10</f>
        <v>8027.5</v>
      </c>
      <c r="N15" s="784"/>
      <c r="O15" s="497">
        <f>O$11*O13*10</f>
        <v>9262.5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11146.666666666668</v>
      </c>
      <c r="L16" s="417"/>
      <c r="M16" s="817">
        <f>M$11*M14*10</f>
        <v>13379.166666666668</v>
      </c>
      <c r="N16" s="428"/>
      <c r="O16" s="498">
        <f>O$11*O14*10</f>
        <v>15437.5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SUM(L19:L23)</f>
        <v>0</v>
      </c>
      <c r="M18" s="785"/>
      <c r="N18" s="2583">
        <f>SUM(N19:N23)</f>
        <v>0</v>
      </c>
      <c r="O18" s="326"/>
      <c r="P18" s="2582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>
        <v>15</v>
      </c>
      <c r="C20" s="52"/>
      <c r="D20" s="80" t="str">
        <f>IF($B20=0,0,VLOOKUP($B20,Ausglleist!$C$8:$O$44,2))</f>
        <v>E1.1 Begrünung im Acker/Gartenbau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1</v>
      </c>
      <c r="S20" s="528"/>
      <c r="T20" s="528"/>
      <c r="U20" s="563" t="b">
        <v>1</v>
      </c>
      <c r="V20" s="528"/>
      <c r="W20" s="528"/>
      <c r="X20" s="563" t="b">
        <v>1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217.21</v>
      </c>
      <c r="M27" s="804"/>
      <c r="N27" s="786">
        <f>SUM(N29:N30)</f>
        <v>217.21</v>
      </c>
      <c r="O27" s="330"/>
      <c r="P27" s="325">
        <f>SUM(P29:P30)</f>
        <v>217.21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79.5</v>
      </c>
      <c r="I29" s="711">
        <f>H29*($H$27+100)/100</f>
        <v>85.064999999999998</v>
      </c>
      <c r="J29" s="91"/>
      <c r="K29" s="440">
        <v>2</v>
      </c>
      <c r="L29" s="337">
        <f>$I29*K29</f>
        <v>170.13</v>
      </c>
      <c r="M29" s="440">
        <v>2</v>
      </c>
      <c r="N29" s="791">
        <f>$I29*M29</f>
        <v>170.13</v>
      </c>
      <c r="O29" s="440">
        <v>2</v>
      </c>
      <c r="P29" s="337">
        <f>$I29*O29</f>
        <v>170.13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>
        <v>2</v>
      </c>
      <c r="I30" s="712">
        <f>H30*($H$27+100)/100</f>
        <v>2.14</v>
      </c>
      <c r="J30" s="92"/>
      <c r="K30" s="441">
        <v>22</v>
      </c>
      <c r="L30" s="333">
        <f>$I30*K30</f>
        <v>47.080000000000005</v>
      </c>
      <c r="M30" s="441">
        <v>22</v>
      </c>
      <c r="N30" s="792">
        <f>$I30*M30</f>
        <v>47.080000000000005</v>
      </c>
      <c r="O30" s="441">
        <v>22</v>
      </c>
      <c r="P30" s="333">
        <f>$I30*O30</f>
        <v>47.080000000000005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534.87049000000002</v>
      </c>
      <c r="M31" s="819"/>
      <c r="N31" s="786">
        <f>SUM(N33:N36)-N17</f>
        <v>632.11967000000004</v>
      </c>
      <c r="O31" s="334"/>
      <c r="P31" s="325">
        <f>SUM(P33:P36)-P17</f>
        <v>729.36885000000007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1.36</v>
      </c>
      <c r="H33" s="386"/>
      <c r="I33"/>
      <c r="J33" s="172"/>
      <c r="K33" s="336">
        <f>G33*$K$9+H33</f>
        <v>149.60000000000002</v>
      </c>
      <c r="L33" s="337">
        <f>K33*$E33</f>
        <v>256.94797333333338</v>
      </c>
      <c r="M33" s="820">
        <f>G33*$M$9+H33</f>
        <v>176.8</v>
      </c>
      <c r="N33" s="791">
        <f>M33*$E33</f>
        <v>303.66578666666669</v>
      </c>
      <c r="O33" s="336">
        <f>G33*$O$9+H33</f>
        <v>204.00000000000003</v>
      </c>
      <c r="P33" s="337">
        <f>O33*$E33</f>
        <v>350.38360000000006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63.8</v>
      </c>
      <c r="L34" s="337">
        <f>K34*$E34</f>
        <v>72.125899999999987</v>
      </c>
      <c r="M34" s="820">
        <f>G34*$M$9+H34</f>
        <v>75.399999999999991</v>
      </c>
      <c r="N34" s="791">
        <f>M34*$E34</f>
        <v>85.239699999999985</v>
      </c>
      <c r="O34" s="336">
        <f>G34*$O$9+H34</f>
        <v>87</v>
      </c>
      <c r="P34" s="337">
        <f>O34*$E34</f>
        <v>98.353499999999983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1.61</v>
      </c>
      <c r="H35" s="386"/>
      <c r="I35"/>
      <c r="J35" s="172"/>
      <c r="K35" s="336">
        <f>G35*$K$9+H35</f>
        <v>177.10000000000002</v>
      </c>
      <c r="L35" s="337">
        <f>K35*$E35</f>
        <v>186.16161666666667</v>
      </c>
      <c r="M35" s="820">
        <f>G35*$M$9+H35</f>
        <v>209.3</v>
      </c>
      <c r="N35" s="791">
        <f>M35*$E35</f>
        <v>220.00918333333334</v>
      </c>
      <c r="O35" s="336">
        <f>G35*$O$9+H35</f>
        <v>241.50000000000003</v>
      </c>
      <c r="P35" s="337">
        <f>O35*$E35</f>
        <v>253.85675000000001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33</v>
      </c>
      <c r="L36" s="333">
        <f>K36*$E36</f>
        <v>19.634999999999998</v>
      </c>
      <c r="M36" s="821">
        <f>G36*$M$9+H36</f>
        <v>39</v>
      </c>
      <c r="N36" s="792">
        <f>M36*$E36</f>
        <v>23.204999999999998</v>
      </c>
      <c r="O36" s="338">
        <f>G36*$O$9+H36</f>
        <v>45</v>
      </c>
      <c r="P36" s="333">
        <f>O36*$E36</f>
        <v>26.774999999999999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1184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308.78523601066667</v>
      </c>
      <c r="M42" s="823"/>
      <c r="N42" s="786">
        <f>SUM(W45:W55)</f>
        <v>334.97854590976965</v>
      </c>
      <c r="O42" s="425"/>
      <c r="P42" s="325">
        <f>SUM(Z45:Z55)</f>
        <v>331.28929633007277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7</v>
      </c>
      <c r="C45" s="104"/>
      <c r="D45" s="137"/>
      <c r="E45" s="8"/>
      <c r="F45" s="8"/>
      <c r="G45" s="731"/>
      <c r="H45" s="726" t="str">
        <f>IF($B45=0,0,VLOOKUP($B45,Arbeitsgänge!$B$27:$T$80,7))</f>
        <v>67 Kw</v>
      </c>
      <c r="I45" s="727">
        <f>IF($B45=0,0,VLOOKUP($B45,Arbeitsgänge!$B$27:$T$80,12))</f>
        <v>1.06</v>
      </c>
      <c r="J45" s="470">
        <f>IF($B45=0,0,VLOOKUP($B45,Arbeitsgänge!$B$27:$T$80,14))</f>
        <v>44.858599975999994</v>
      </c>
      <c r="K45" s="374">
        <v>1</v>
      </c>
      <c r="L45" s="337">
        <f>K45*$J45</f>
        <v>44.858599975999994</v>
      </c>
      <c r="M45" s="374">
        <v>1</v>
      </c>
      <c r="N45" s="791">
        <f>M45*$J45</f>
        <v>44.858599975999994</v>
      </c>
      <c r="O45" s="374">
        <v>1</v>
      </c>
      <c r="P45" s="337">
        <f>O45*$J45</f>
        <v>44.858599975999994</v>
      </c>
      <c r="Q45" s="528"/>
      <c r="R45" s="1344">
        <f t="shared" ref="R45:R55" si="0">$I45*K45</f>
        <v>1.06</v>
      </c>
      <c r="S45" s="535" t="e">
        <f>K45*#REF!</f>
        <v>#REF!</v>
      </c>
      <c r="T45" s="258">
        <f t="shared" ref="T45:T55" si="1">K45*$J45</f>
        <v>44.858599975999994</v>
      </c>
      <c r="U45" s="1345">
        <f t="shared" ref="U45:U55" si="2">$I45*M45</f>
        <v>1.06</v>
      </c>
      <c r="V45" s="1346" t="e">
        <f>M45*#REF!</f>
        <v>#REF!</v>
      </c>
      <c r="W45" s="827">
        <f t="shared" ref="W45:W55" si="3">M45*$J45</f>
        <v>44.858599975999994</v>
      </c>
      <c r="X45" s="1347">
        <f t="shared" ref="X45:X55" si="4">$I45*O45</f>
        <v>1.06</v>
      </c>
      <c r="Y45" s="535" t="e">
        <f>O45*#REF!</f>
        <v>#REF!</v>
      </c>
      <c r="Z45" s="258">
        <f t="shared" ref="Z45:Z55" si="5">O45*$J45</f>
        <v>44.858599975999994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17</v>
      </c>
      <c r="C46" s="104"/>
      <c r="D46" s="137"/>
      <c r="E46" s="8"/>
      <c r="F46" s="8"/>
      <c r="G46" s="731"/>
      <c r="H46" s="726" t="str">
        <f>IF($B46=0,0,VLOOKUP($B46,Arbeitsgänge!$B$27:$T$80,7))</f>
        <v>83 Kw</v>
      </c>
      <c r="I46" s="727">
        <f>IF($B46=0,0,VLOOKUP($B46,Arbeitsgänge!$B$27:$T$80,12))</f>
        <v>1.19</v>
      </c>
      <c r="J46" s="470">
        <f>IF($B46=0,0,VLOOKUP($B46,Arbeitsgänge!$B$27:$T$80,14))</f>
        <v>29.88255947879999</v>
      </c>
      <c r="K46" s="375">
        <v>1</v>
      </c>
      <c r="L46" s="337">
        <f t="shared" ref="L46:P55" si="6">K46*$J46</f>
        <v>29.88255947879999</v>
      </c>
      <c r="M46" s="375">
        <v>1</v>
      </c>
      <c r="N46" s="791">
        <f t="shared" si="6"/>
        <v>29.88255947879999</v>
      </c>
      <c r="O46" s="375"/>
      <c r="P46" s="337">
        <f t="shared" si="6"/>
        <v>0</v>
      </c>
      <c r="Q46" s="528"/>
      <c r="R46" s="1348">
        <f t="shared" si="0"/>
        <v>1.19</v>
      </c>
      <c r="S46" s="471" t="e">
        <f>K46*#REF!</f>
        <v>#REF!</v>
      </c>
      <c r="T46" s="258">
        <f t="shared" si="1"/>
        <v>29.88255947879999</v>
      </c>
      <c r="U46" s="1349">
        <f t="shared" si="2"/>
        <v>1.19</v>
      </c>
      <c r="V46" s="1350" t="e">
        <f>M46*#REF!</f>
        <v>#REF!</v>
      </c>
      <c r="W46" s="827">
        <f t="shared" si="3"/>
        <v>29.88255947879999</v>
      </c>
      <c r="X46" s="1351">
        <f t="shared" si="4"/>
        <v>0</v>
      </c>
      <c r="Y46" s="471" t="e">
        <f>O46*#REF!</f>
        <v>#REF!</v>
      </c>
      <c r="Z46" s="258">
        <f t="shared" si="5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6"/>
        <v>32.484850928</v>
      </c>
      <c r="M47" s="375">
        <v>1</v>
      </c>
      <c r="N47" s="791">
        <f t="shared" si="6"/>
        <v>32.484850928</v>
      </c>
      <c r="O47" s="375">
        <v>1</v>
      </c>
      <c r="P47" s="337">
        <f t="shared" si="6"/>
        <v>32.484850928</v>
      </c>
      <c r="Q47" s="528"/>
      <c r="R47" s="1348">
        <f t="shared" si="0"/>
        <v>1.02</v>
      </c>
      <c r="S47" s="471" t="e">
        <f>K47*#REF!</f>
        <v>#REF!</v>
      </c>
      <c r="T47" s="258">
        <f t="shared" si="1"/>
        <v>32.484850928</v>
      </c>
      <c r="U47" s="1349">
        <f t="shared" si="2"/>
        <v>1.02</v>
      </c>
      <c r="V47" s="1350" t="e">
        <f>M47*#REF!</f>
        <v>#REF!</v>
      </c>
      <c r="W47" s="827">
        <f t="shared" si="3"/>
        <v>32.484850928</v>
      </c>
      <c r="X47" s="1351">
        <f t="shared" si="4"/>
        <v>1.02</v>
      </c>
      <c r="Y47" s="471" t="e">
        <f>O47*#REF!</f>
        <v>#REF!</v>
      </c>
      <c r="Z47" s="258">
        <f t="shared" si="5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</v>
      </c>
      <c r="C48" s="104"/>
      <c r="D48" s="137"/>
      <c r="E48" s="8"/>
      <c r="F48" s="8"/>
      <c r="G48" s="731"/>
      <c r="H48" s="726" t="str">
        <f>IF($B48=0,0,VLOOKUP($B48,Arbeitsgänge!$B$27:$T$80,7))</f>
        <v>83 Kw</v>
      </c>
      <c r="I48" s="727">
        <f>IF($B48=0,0,VLOOKUP($B48,Arbeitsgänge!$B$27:$T$80,12))</f>
        <v>0.95</v>
      </c>
      <c r="J48" s="470">
        <f>IF($B48=0,0,VLOOKUP($B48,Arbeitsgänge!$B$27:$T$80,14))</f>
        <v>42.122053129999998</v>
      </c>
      <c r="K48" s="375">
        <v>1</v>
      </c>
      <c r="L48" s="337">
        <f t="shared" si="6"/>
        <v>42.122053129999998</v>
      </c>
      <c r="M48" s="375">
        <v>1</v>
      </c>
      <c r="N48" s="791">
        <f t="shared" si="6"/>
        <v>42.122053129999998</v>
      </c>
      <c r="O48" s="375">
        <v>1</v>
      </c>
      <c r="P48" s="337">
        <f t="shared" si="6"/>
        <v>42.122053129999998</v>
      </c>
      <c r="Q48" s="528"/>
      <c r="R48" s="1348">
        <f t="shared" si="0"/>
        <v>0.95</v>
      </c>
      <c r="S48" s="471" t="e">
        <f>K48*#REF!</f>
        <v>#REF!</v>
      </c>
      <c r="T48" s="258">
        <f t="shared" si="1"/>
        <v>42.122053129999998</v>
      </c>
      <c r="U48" s="1349">
        <f t="shared" si="2"/>
        <v>0.95</v>
      </c>
      <c r="V48" s="1350" t="e">
        <f>M48*#REF!</f>
        <v>#REF!</v>
      </c>
      <c r="W48" s="827">
        <f t="shared" si="3"/>
        <v>42.122053129999998</v>
      </c>
      <c r="X48" s="1351">
        <f t="shared" si="4"/>
        <v>0.95</v>
      </c>
      <c r="Y48" s="471" t="e">
        <f>O48*#REF!</f>
        <v>#REF!</v>
      </c>
      <c r="Z48" s="258">
        <f t="shared" si="5"/>
        <v>42.122053129999998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6"/>
        <v>10.901022815199999</v>
      </c>
      <c r="M49" s="375">
        <v>2</v>
      </c>
      <c r="N49" s="791">
        <f t="shared" si="6"/>
        <v>10.901022815199999</v>
      </c>
      <c r="O49" s="375">
        <v>2</v>
      </c>
      <c r="P49" s="337">
        <f t="shared" si="6"/>
        <v>10.901022815199999</v>
      </c>
      <c r="Q49" s="528"/>
      <c r="R49" s="1348">
        <f t="shared" si="0"/>
        <v>0.74</v>
      </c>
      <c r="S49" s="471" t="e">
        <f>K49*#REF!</f>
        <v>#REF!</v>
      </c>
      <c r="T49" s="258">
        <f t="shared" si="1"/>
        <v>10.901022815199999</v>
      </c>
      <c r="U49" s="1349">
        <f t="shared" si="2"/>
        <v>0.74</v>
      </c>
      <c r="V49" s="1350" t="e">
        <f>M49*#REF!</f>
        <v>#REF!</v>
      </c>
      <c r="W49" s="827">
        <f t="shared" si="3"/>
        <v>10.901022815199999</v>
      </c>
      <c r="X49" s="1351">
        <f t="shared" si="4"/>
        <v>0.74</v>
      </c>
      <c r="Y49" s="471" t="e">
        <f>O49*#REF!</f>
        <v>#REF!</v>
      </c>
      <c r="Z49" s="258">
        <f t="shared" si="5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6"/>
        <v>4.4729452375999994</v>
      </c>
      <c r="M50" s="375">
        <v>1</v>
      </c>
      <c r="N50" s="791">
        <f t="shared" si="6"/>
        <v>4.4729452375999994</v>
      </c>
      <c r="O50" s="375">
        <v>1</v>
      </c>
      <c r="P50" s="337">
        <f t="shared" si="6"/>
        <v>4.4729452375999994</v>
      </c>
      <c r="Q50" s="528"/>
      <c r="R50" s="1348">
        <f t="shared" si="0"/>
        <v>0.22</v>
      </c>
      <c r="S50" s="471" t="e">
        <f>K50*#REF!</f>
        <v>#REF!</v>
      </c>
      <c r="T50" s="258">
        <f t="shared" si="1"/>
        <v>4.4729452375999994</v>
      </c>
      <c r="U50" s="1349">
        <f t="shared" si="2"/>
        <v>0.22</v>
      </c>
      <c r="V50" s="1350" t="e">
        <f>M50*#REF!</f>
        <v>#REF!</v>
      </c>
      <c r="W50" s="827">
        <f t="shared" si="3"/>
        <v>4.4729452375999994</v>
      </c>
      <c r="X50" s="1351">
        <f t="shared" si="4"/>
        <v>0.22</v>
      </c>
      <c r="Y50" s="471" t="e">
        <f>O50*#REF!</f>
        <v>#REF!</v>
      </c>
      <c r="Z50" s="258">
        <f t="shared" si="5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0.66666666666666674</v>
      </c>
      <c r="L51" s="337">
        <f t="shared" si="6"/>
        <v>107.20745654826669</v>
      </c>
      <c r="M51" s="375">
        <f>N9/500</f>
        <v>0.78787878787878785</v>
      </c>
      <c r="N51" s="791">
        <f t="shared" si="6"/>
        <v>126.69972137522424</v>
      </c>
      <c r="O51" s="375">
        <f>P9/500</f>
        <v>0.90909090909090917</v>
      </c>
      <c r="P51" s="337">
        <f t="shared" si="6"/>
        <v>146.19198620218185</v>
      </c>
      <c r="Q51" s="528"/>
      <c r="R51" s="1348">
        <f t="shared" si="0"/>
        <v>5.2533333333333339</v>
      </c>
      <c r="S51" s="471" t="e">
        <f>K51*#REF!</f>
        <v>#REF!</v>
      </c>
      <c r="T51" s="258">
        <f t="shared" si="1"/>
        <v>107.20745654826669</v>
      </c>
      <c r="U51" s="1349">
        <f t="shared" si="2"/>
        <v>6.2084848484848481</v>
      </c>
      <c r="V51" s="1350" t="e">
        <f>M51*#REF!</f>
        <v>#REF!</v>
      </c>
      <c r="W51" s="827">
        <f t="shared" si="3"/>
        <v>126.69972137522424</v>
      </c>
      <c r="X51" s="1351">
        <f t="shared" si="4"/>
        <v>7.163636363636364</v>
      </c>
      <c r="Y51" s="471" t="e">
        <f>O51*#REF!</f>
        <v>#REF!</v>
      </c>
      <c r="Z51" s="258">
        <f t="shared" si="5"/>
        <v>146.19198620218185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0.66666666666666674</v>
      </c>
      <c r="L52" s="337">
        <f t="shared" si="6"/>
        <v>36.855747896799997</v>
      </c>
      <c r="M52" s="375">
        <f>N9/500</f>
        <v>0.78787878787878785</v>
      </c>
      <c r="N52" s="791">
        <f t="shared" si="6"/>
        <v>43.556792968945444</v>
      </c>
      <c r="O52" s="375">
        <f>P9/500</f>
        <v>0.90909090909090917</v>
      </c>
      <c r="P52" s="337">
        <f t="shared" si="6"/>
        <v>50.257838041090906</v>
      </c>
      <c r="Q52" s="528"/>
      <c r="R52" s="1348">
        <f t="shared" si="0"/>
        <v>1.4200000000000002</v>
      </c>
      <c r="S52" s="471" t="e">
        <f>K52*#REF!</f>
        <v>#REF!</v>
      </c>
      <c r="T52" s="258">
        <f t="shared" si="1"/>
        <v>36.855747896799997</v>
      </c>
      <c r="U52" s="1349">
        <f t="shared" si="2"/>
        <v>1.678181818181818</v>
      </c>
      <c r="V52" s="1350" t="e">
        <f>M52*#REF!</f>
        <v>#REF!</v>
      </c>
      <c r="W52" s="827">
        <f t="shared" si="3"/>
        <v>43.556792968945444</v>
      </c>
      <c r="X52" s="1351">
        <f t="shared" si="4"/>
        <v>1.9363636363636365</v>
      </c>
      <c r="Y52" s="471" t="e">
        <f>O52*#REF!</f>
        <v>#REF!</v>
      </c>
      <c r="Z52" s="258">
        <f t="shared" si="5"/>
        <v>50.257838041090906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6"/>
        <v>0</v>
      </c>
      <c r="M53" s="375"/>
      <c r="N53" s="791">
        <f t="shared" si="6"/>
        <v>0</v>
      </c>
      <c r="O53" s="375"/>
      <c r="P53" s="337">
        <f t="shared" si="6"/>
        <v>0</v>
      </c>
      <c r="Q53" s="528"/>
      <c r="R53" s="1348">
        <f t="shared" si="0"/>
        <v>0</v>
      </c>
      <c r="S53" s="471" t="e">
        <f>K53*#REF!</f>
        <v>#REF!</v>
      </c>
      <c r="T53" s="258">
        <f t="shared" si="1"/>
        <v>0</v>
      </c>
      <c r="U53" s="1349">
        <f t="shared" si="2"/>
        <v>0</v>
      </c>
      <c r="V53" s="1350" t="e">
        <f>M53*#REF!</f>
        <v>#REF!</v>
      </c>
      <c r="W53" s="827">
        <f t="shared" si="3"/>
        <v>0</v>
      </c>
      <c r="X53" s="1351">
        <f t="shared" si="4"/>
        <v>0</v>
      </c>
      <c r="Y53" s="471" t="e">
        <f>O53*#REF!</f>
        <v>#REF!</v>
      </c>
      <c r="Z53" s="258">
        <f t="shared" si="5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6"/>
        <v>0</v>
      </c>
      <c r="M54" s="377"/>
      <c r="N54" s="791">
        <f t="shared" si="6"/>
        <v>0</v>
      </c>
      <c r="O54" s="377"/>
      <c r="P54" s="337">
        <f t="shared" si="6"/>
        <v>0</v>
      </c>
      <c r="Q54" s="528"/>
      <c r="R54" s="1348">
        <f t="shared" si="0"/>
        <v>0</v>
      </c>
      <c r="S54" s="471" t="e">
        <f>K54*#REF!</f>
        <v>#REF!</v>
      </c>
      <c r="T54" s="258">
        <f t="shared" si="1"/>
        <v>0</v>
      </c>
      <c r="U54" s="1349">
        <f t="shared" si="2"/>
        <v>0</v>
      </c>
      <c r="V54" s="1350" t="e">
        <f>M54*#REF!</f>
        <v>#REF!</v>
      </c>
      <c r="W54" s="827">
        <f t="shared" si="3"/>
        <v>0</v>
      </c>
      <c r="X54" s="1351">
        <f t="shared" si="4"/>
        <v>0</v>
      </c>
      <c r="Y54" s="471" t="e">
        <f>O54*#REF!</f>
        <v>#REF!</v>
      </c>
      <c r="Z54" s="258">
        <f t="shared" si="5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6"/>
        <v>0</v>
      </c>
      <c r="M55" s="378"/>
      <c r="N55" s="796">
        <f t="shared" si="6"/>
        <v>0</v>
      </c>
      <c r="O55" s="378"/>
      <c r="P55" s="372">
        <f t="shared" si="6"/>
        <v>0</v>
      </c>
      <c r="Q55" s="528"/>
      <c r="R55" s="1352">
        <f t="shared" si="0"/>
        <v>0</v>
      </c>
      <c r="S55" s="472" t="e">
        <f>K55*#REF!</f>
        <v>#REF!</v>
      </c>
      <c r="T55" s="536">
        <f t="shared" si="1"/>
        <v>0</v>
      </c>
      <c r="U55" s="1353">
        <f t="shared" si="2"/>
        <v>0</v>
      </c>
      <c r="V55" s="1354" t="e">
        <f>M55*#REF!</f>
        <v>#REF!</v>
      </c>
      <c r="W55" s="1355">
        <f t="shared" si="3"/>
        <v>0</v>
      </c>
      <c r="X55" s="1356">
        <f t="shared" si="4"/>
        <v>0</v>
      </c>
      <c r="Y55" s="472" t="e">
        <f>O55*#REF!</f>
        <v>#REF!</v>
      </c>
      <c r="Z55" s="536">
        <f t="shared" si="5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11.853333333333333</v>
      </c>
      <c r="L56" s="341"/>
      <c r="M56" s="797">
        <f>SUM($U$45:$U$55)</f>
        <v>13.066666666666665</v>
      </c>
      <c r="N56" s="798"/>
      <c r="O56" s="340">
        <f>SUM($X$45:$X$55)</f>
        <v>13.09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21.335999999999999</v>
      </c>
      <c r="L57" s="343"/>
      <c r="M57" s="799">
        <f>IF(M56+(M56*$G$57/100)&gt;M56+10,M56+10,M56+(M56*$G$57/100))</f>
        <v>23.066666666666663</v>
      </c>
      <c r="N57" s="800"/>
      <c r="O57" s="342">
        <f>IF(O56+(O56*$G$57/100)&gt;O56+10,O56+10,O56+(O56*$G$57/100))</f>
        <v>23.09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258.82500000000005</v>
      </c>
      <c r="M58" s="826"/>
      <c r="N58" s="786">
        <f>SUM(N60:N62)</f>
        <v>279.64999999999998</v>
      </c>
      <c r="O58" s="344"/>
      <c r="P58" s="325">
        <f>SUM(P60:P62)</f>
        <v>300.47500000000002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 t="s">
        <v>1009</v>
      </c>
      <c r="E61" s="7"/>
      <c r="F61" s="7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0.33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22.872960000000006</v>
      </c>
      <c r="M65" s="1357"/>
      <c r="N65" s="786">
        <f>M66*$H66/100</f>
        <v>27.454049999999999</v>
      </c>
      <c r="O65" s="347"/>
      <c r="P65" s="325">
        <f>O66*$H66/100</f>
        <v>31.67775</v>
      </c>
      <c r="Q65" s="529"/>
      <c r="R65" s="529"/>
      <c r="S65" s="529"/>
      <c r="T65" s="529"/>
      <c r="U65" s="529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1.71</v>
      </c>
      <c r="I66" s="74"/>
      <c r="J66" s="361" t="s">
        <v>266</v>
      </c>
      <c r="K66" s="3181">
        <f>K15*0.2</f>
        <v>1337.6000000000004</v>
      </c>
      <c r="L66" s="348"/>
      <c r="M66" s="3181">
        <f>M15*0.2</f>
        <v>1605.5</v>
      </c>
      <c r="N66" s="789"/>
      <c r="O66" s="3181">
        <f>O15*0.2</f>
        <v>1852.5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IF($B68=0,0,VLOOKUP($B68,'Preise-Stammdaten'!$B$61:$N$66,12))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F1"/>
  </mergeCells>
  <phoneticPr fontId="0" type="noConversion"/>
  <hyperlinks>
    <hyperlink ref="B1:F1" location="Inhalt!A1:A10" display="zurück zum Inhaltsverzeichnis"/>
  </hyperlinks>
  <printOptions horizontalCentered="1" verticalCentered="1"/>
  <pageMargins left="0.51181102362204722" right="0.47244094488188981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58&amp;9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7" r:id="rId4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5" name="Check Box 2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8" r:id="rId6" name="Check Box 2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9" r:id="rId7" name="Check Box 27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0" r:id="rId8" name="Check Box 28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1" r:id="rId9" name="Check Box 2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10" name="Check Box 3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11" name="Check Box 3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2" name="Check Box 32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3" name="Check Box 33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4" name="Check Box 3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7" r:id="rId15" name="Check Box 3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8" r:id="rId16" name="Check Box 3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7" name="Check Box 37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0" r:id="rId18" name="Check Box 38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38100</xdr:rowOff>
                  </from>
                  <to>
                    <xdr:col>15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1" r:id="rId19" name="Drop Down 39">
              <controlPr defaultSize="0" autoLine="0" autoPict="0">
                <anchor moveWithCells="1">
                  <from>
                    <xdr:col>1</xdr:col>
                    <xdr:colOff>542925</xdr:colOff>
                    <xdr:row>43</xdr:row>
                    <xdr:rowOff>190500</xdr:rowOff>
                  </from>
                  <to>
                    <xdr:col>7</xdr:col>
                    <xdr:colOff>0</xdr:colOff>
                    <xdr:row>44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2" r:id="rId20" name="Drop Down 40">
              <controlPr defaultSize="0" autoLine="0" autoPict="0">
                <anchor moveWithCells="1">
                  <from>
                    <xdr:col>1</xdr:col>
                    <xdr:colOff>542925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3" r:id="rId21" name="Drop Down 41">
              <controlPr defaultSize="0" autoLine="0" autoPict="0">
                <anchor moveWithCells="1">
                  <from>
                    <xdr:col>1</xdr:col>
                    <xdr:colOff>542925</xdr:colOff>
                    <xdr:row>46</xdr:row>
                    <xdr:rowOff>9525</xdr:rowOff>
                  </from>
                  <to>
                    <xdr:col>7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4" r:id="rId22" name="Drop Down 42">
              <controlPr defaultSize="0" autoLine="0" autoPict="0">
                <anchor moveWithCells="1">
                  <from>
                    <xdr:col>1</xdr:col>
                    <xdr:colOff>542925</xdr:colOff>
                    <xdr:row>46</xdr:row>
                    <xdr:rowOff>190500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5" r:id="rId23" name="Drop Down 43">
              <controlPr defaultSize="0" autoLine="0" autoPict="0">
                <anchor moveWithCells="1">
                  <from>
                    <xdr:col>1</xdr:col>
                    <xdr:colOff>542925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6" r:id="rId24" name="Drop Down 44">
              <controlPr defaultSize="0" autoLine="0" autoPict="0">
                <anchor moveWithCells="1">
                  <from>
                    <xdr:col>1</xdr:col>
                    <xdr:colOff>542925</xdr:colOff>
                    <xdr:row>48</xdr:row>
                    <xdr:rowOff>190500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7" r:id="rId25" name="Drop Down 45">
              <controlPr defaultSize="0" autoLine="0" autoPict="0">
                <anchor moveWithCells="1">
                  <from>
                    <xdr:col>1</xdr:col>
                    <xdr:colOff>542925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8" r:id="rId26" name="Drop Down 46">
              <controlPr defaultSize="0" autoLine="0" autoPict="0">
                <anchor moveWithCells="1">
                  <from>
                    <xdr:col>1</xdr:col>
                    <xdr:colOff>542925</xdr:colOff>
                    <xdr:row>50</xdr:row>
                    <xdr:rowOff>190500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9" r:id="rId27" name="Drop Down 47">
              <controlPr defaultSize="0" autoLine="0" autoPict="0">
                <anchor moveWithCells="1">
                  <from>
                    <xdr:col>1</xdr:col>
                    <xdr:colOff>542925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0" r:id="rId28" name="Drop Down 48">
              <controlPr defaultSize="0" autoLine="0" autoPict="0">
                <anchor moveWithCells="1">
                  <from>
                    <xdr:col>1</xdr:col>
                    <xdr:colOff>542925</xdr:colOff>
                    <xdr:row>52</xdr:row>
                    <xdr:rowOff>190500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1" r:id="rId29" name="Drop Down 49">
              <controlPr defaultSize="0" autoLine="0" autoPict="0">
                <anchor moveWithCells="1">
                  <from>
                    <xdr:col>1</xdr:col>
                    <xdr:colOff>542925</xdr:colOff>
                    <xdr:row>53</xdr:row>
                    <xdr:rowOff>190500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FFC000"/>
    <pageSetUpPr fitToPage="1"/>
  </sheetPr>
  <dimension ref="A1:BP91"/>
  <sheetViews>
    <sheetView showGridLines="0" showZeros="0" zoomScaleNormal="75" workbookViewId="0">
      <pane xSplit="12" ySplit="6" topLeftCell="M7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140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7" customFormat="1" ht="15" thickBot="1" x14ac:dyDescent="0.25">
      <c r="L1" s="357"/>
      <c r="AI1" s="41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 t="e">
        <f>#REF!</f>
        <v>#REF!</v>
      </c>
      <c r="K2" s="2504" t="s">
        <v>858</v>
      </c>
      <c r="L2" s="2502"/>
      <c r="M2" s="2505"/>
      <c r="N2" s="2529"/>
      <c r="O2" s="2530" t="str">
        <f>'Silomais-Meka-(a)'!M2</f>
        <v>Silomais Meka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25" t="str">
        <f>'Silomais-Meka-(a)'!H3</f>
        <v>Silomais Meka mit Herbstbegrünung und Trichogrammaeinsatz</v>
      </c>
      <c r="H3" s="4281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391" t="s">
        <v>1454</v>
      </c>
      <c r="F6" s="26"/>
      <c r="G6" s="26"/>
      <c r="H6" s="26"/>
      <c r="I6" s="238"/>
      <c r="J6" s="238"/>
      <c r="K6" s="238"/>
      <c r="L6" s="512" t="s">
        <v>139</v>
      </c>
      <c r="M6" s="316">
        <f>'Silomais-Meka-(a)'!K5</f>
        <v>110</v>
      </c>
      <c r="N6" s="1735">
        <f>'Silomais-Meka-(a)'!M5</f>
        <v>130</v>
      </c>
      <c r="O6" s="1743">
        <f>'Silomais-Meka-(a)'!O5</f>
        <v>150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'Silomais-Meka-(a)'!K9</f>
        <v>110</v>
      </c>
      <c r="N7" s="1736">
        <f>'Silomais-Meka-(a)'!M9</f>
        <v>130</v>
      </c>
      <c r="O7" s="1744">
        <f>'Silomais-Meka-(a)'!O9</f>
        <v>150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'Silomais-Meka-(a)'!L9</f>
        <v>333.33333333333337</v>
      </c>
      <c r="N8" s="1737">
        <f>'Silomais-Meka-(a)'!N9</f>
        <v>393.93939393939394</v>
      </c>
      <c r="O8" s="1583">
        <f>'Silomais-Meka-(a)'!P9</f>
        <v>454.54545454545456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'Silomais-Meka-(a)'!K11</f>
        <v>104.5</v>
      </c>
      <c r="N9" s="1562">
        <f>'Silomais-Meka-(a)'!M11</f>
        <v>123.5</v>
      </c>
      <c r="O9" s="1747">
        <f>'Silomais-Meka-(a)'!O11</f>
        <v>142.5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'Silomais-Meka-(a)'!L11</f>
        <v>298.57142857142856</v>
      </c>
      <c r="N10" s="1582">
        <f>'Silomais-Meka-(a)'!N11</f>
        <v>352.85714285714283</v>
      </c>
      <c r="O10" s="2014">
        <f>'Silomais-Meka-(a)'!P11</f>
        <v>407.14285714285711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'Silomais-Meka-(a)'!L12</f>
        <v>42.65306122448979</v>
      </c>
      <c r="N11" s="1818">
        <f>'Silomais-Meka-(a)'!N12</f>
        <v>50.408163265306115</v>
      </c>
      <c r="O11" s="1819">
        <f>'Silomais-Meka-(a)'!P12</f>
        <v>58.16326530612244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'Silomais-Meka-(a)'!K15</f>
        <v>6688.0000000000009</v>
      </c>
      <c r="N12" s="1738">
        <f>'Silomais-Meka-(a)'!M15</f>
        <v>8027.5</v>
      </c>
      <c r="O12" s="1745">
        <f>'Silomais-Meka-(a)'!O15</f>
        <v>9262.5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'Silomais-Meka-(a)'!K16</f>
        <v>11146.666666666668</v>
      </c>
      <c r="N13" s="2077">
        <f>'Silomais-Meka-(a)'!M16</f>
        <v>13379.166666666668</v>
      </c>
      <c r="O13" s="2078">
        <f>'Silomais-Meka-(a)'!O16</f>
        <v>15437.5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'Silomais-Meka-(a)'!L24</f>
        <v>270</v>
      </c>
      <c r="N15" s="3338">
        <f>'Silomais-Meka-(a)'!N24</f>
        <v>270</v>
      </c>
      <c r="O15" s="3341">
        <f>'Silomais-Meka-(a)'!P24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1226</v>
      </c>
      <c r="E16" s="3"/>
      <c r="F16" s="3"/>
      <c r="G16" s="172"/>
      <c r="H16" s="3346"/>
      <c r="I16" s="24"/>
      <c r="J16" s="24"/>
      <c r="K16" s="24"/>
      <c r="L16" s="512"/>
      <c r="M16" s="452">
        <f>'Silomais-Meka-(a)'!L18</f>
        <v>0</v>
      </c>
      <c r="N16" s="1736">
        <f>'Silomais-Meka-(a)'!N18</f>
        <v>0</v>
      </c>
      <c r="O16" s="3343">
        <f>'Silomais-Meka-(a)'!P18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'Silomais-Meka-(a)'!L27</f>
        <v>217.21</v>
      </c>
      <c r="N19" s="2072">
        <f>'Silomais-Meka-(a)'!N27</f>
        <v>217.21</v>
      </c>
      <c r="O19" s="2073">
        <f>'Silomais-Meka-(a)'!P27</f>
        <v>217.21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'Silomais-Meka-(a)'!L31</f>
        <v>534.87049000000002</v>
      </c>
      <c r="N20" s="1567">
        <f>'Silomais-Meka-(a)'!N31</f>
        <v>632.11967000000004</v>
      </c>
      <c r="O20" s="1574">
        <f>'Silomais-Meka-(a)'!P31</f>
        <v>729.36885000000007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'Silomais-Meka-(a)'!L37</f>
        <v>84.585200000000015</v>
      </c>
      <c r="N21" s="1567">
        <f>'Silomais-Meka-(a)'!N37</f>
        <v>84.585200000000015</v>
      </c>
      <c r="O21" s="1574">
        <f>'Silomais-Meka-(a)'!P37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'Silomais-Meka-(a)'!L65</f>
        <v>22.872960000000006</v>
      </c>
      <c r="N22" s="1567">
        <f>'Silomais-Meka-(a)'!N65</f>
        <v>27.454049999999999</v>
      </c>
      <c r="O22" s="1574">
        <f>'Silomais-Meka-(a)'!P65</f>
        <v>31.67775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'Silomais-Meka-(a)'!L67</f>
        <v>0</v>
      </c>
      <c r="N23" s="1567">
        <f>'Silomais-Meka-(a)'!N67</f>
        <v>0</v>
      </c>
      <c r="O23" s="1574">
        <f>'Silomais-Meka-(a)'!P67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'Silomais-Meka-(a)'!L42</f>
        <v>308.78523601066667</v>
      </c>
      <c r="N24" s="1567">
        <f>'Silomais-Meka-(a)'!N42</f>
        <v>334.97854590976965</v>
      </c>
      <c r="O24" s="1574">
        <f>'Silomais-Meka-(a)'!P42</f>
        <v>331.28929633007277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'Silomais-Meka-(a)'!L58</f>
        <v>258.82500000000005</v>
      </c>
      <c r="N25" s="1567">
        <f>'Silomais-Meka-(a)'!N58</f>
        <v>279.64999999999998</v>
      </c>
      <c r="O25" s="1574">
        <f>'Silomais-Meka-(a)'!P58</f>
        <v>300.47500000000002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'Silomais-Meka-(a)'!L63</f>
        <v>0</v>
      </c>
      <c r="N26" s="1980">
        <f>'Silomais-Meka-(a)'!N63</f>
        <v>0</v>
      </c>
      <c r="O26" s="1981">
        <f>'Silomais-Meka-(a)'!P63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1427.1488860106667</v>
      </c>
      <c r="N27" s="1775">
        <f>SUM(N19:N26)</f>
        <v>1575.9974659097697</v>
      </c>
      <c r="O27" s="2055">
        <f>SUM(O19:O26)</f>
        <v>1694.6060963300729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-1427.1488860106667</v>
      </c>
      <c r="N28" s="2060">
        <f>-N27</f>
        <v>-1575.9974659097697</v>
      </c>
      <c r="O28" s="2061">
        <f>-O27</f>
        <v>-1694.6060963300729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M27*'Silomais-Meka-(a)'!$L$70*'Silomais-Meka-(a)'!$P$70/12/100</f>
        <v>8.9196805375666681</v>
      </c>
      <c r="N30" s="1980">
        <f>N27*'Silomais-Meka-(a)'!$L$70*'Silomais-Meka-(a)'!$P$70/12/100</f>
        <v>9.8499841619360602</v>
      </c>
      <c r="O30" s="1981">
        <f>O27*'Silomais-Meka-(a)'!$L$70*'Silomais-Meka-(a)'!$P$70/12/100</f>
        <v>10.591288102062954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'Silomais-Meka-(a)'!Q18+'Silomais-Meka-(a)'!Q24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-1166.0685665482333</v>
      </c>
      <c r="N31" s="1769">
        <f>N28+N29-N30</f>
        <v>-1315.8474500717059</v>
      </c>
      <c r="O31" s="1776">
        <f>O28+O29-O30</f>
        <v>-1435.1973844321358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-0.174352357438432</v>
      </c>
      <c r="N32" s="1561">
        <f>IF(N12=0,0,N31/N12)</f>
        <v>-0.16391746497311815</v>
      </c>
      <c r="O32" s="2047">
        <f>IF(O12=0,0,O31/O12)</f>
        <v>-0.15494708603855717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-0.1046114144630592</v>
      </c>
      <c r="N33" s="1576">
        <f>IF(N13=0,0,N31/N13)</f>
        <v>-9.8350478983870879E-2</v>
      </c>
      <c r="O33" s="2052">
        <f>IF(O13=0,0,O31/O13)</f>
        <v>-9.2968251623134296E-2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'Silomais-Meka-(a)'!K57</f>
        <v>21.335999999999999</v>
      </c>
      <c r="N35" s="2396">
        <f>'Silomais-Meka-(a)'!M57</f>
        <v>23.066666666666663</v>
      </c>
      <c r="O35" s="2398">
        <f>'Silomais-Meka-(a)'!O57</f>
        <v>23.09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'Silomais-Meka-(a)'!L10</f>
        <v>47.61904761904762</v>
      </c>
      <c r="N36" s="2431">
        <f>'Silomais-Meka-(a)'!N10</f>
        <v>56.277056277056275</v>
      </c>
      <c r="O36" s="2432">
        <f>'Silomais-Meka-(a)'!P10</f>
        <v>64.935064935064929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373.38</v>
      </c>
      <c r="N37" s="1567">
        <f>$J$37*N35</f>
        <v>403.66666666666663</v>
      </c>
      <c r="O37" s="1574">
        <f>$J$37*O35</f>
        <v>404.07499999999999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231.38888888888891</v>
      </c>
      <c r="N38" s="2433">
        <f>N36*$I$36</f>
        <v>273.45959595959596</v>
      </c>
      <c r="O38" s="2429">
        <f>O36*$I$36</f>
        <v>315.530303030303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1587.5120329398148</v>
      </c>
      <c r="N43" s="1991">
        <f>SUM(N37:N42)</f>
        <v>1349.8694066771884</v>
      </c>
      <c r="O43" s="1994">
        <f>SUM(O37:O42)</f>
        <v>1392.3484470812289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3023.5805994880484</v>
      </c>
      <c r="N46" s="2041">
        <f>N27+N30+N43</f>
        <v>2935.7168567488943</v>
      </c>
      <c r="O46" s="2080">
        <f>O27+O30+O43</f>
        <v>3097.5458315133646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-3023.5805994880484</v>
      </c>
      <c r="N47" s="2227">
        <f>N45-N46</f>
        <v>-2935.7168567488943</v>
      </c>
      <c r="O47" s="2228">
        <f>O45-O46</f>
        <v>-3097.5458315133646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-2753.5805994880484</v>
      </c>
      <c r="N49" s="1991">
        <f>N47+N48</f>
        <v>-2665.7168567488943</v>
      </c>
      <c r="O49" s="1994">
        <f>O47+O48</f>
        <v>-2827.5458315133646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2753.5805994880484</v>
      </c>
      <c r="N51" s="1771">
        <f>N46-N48</f>
        <v>2665.7168567488943</v>
      </c>
      <c r="O51" s="3358">
        <f>O46-O48</f>
        <v>2827.5458315133646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9.2225187542661917</v>
      </c>
      <c r="N52" s="2335">
        <f>IF(N10=0,0,N$51/N10)</f>
        <v>7.5546631567782434</v>
      </c>
      <c r="O52" s="2336">
        <f>IF(O10=0,0,O$51/O10)</f>
        <v>6.9448494107345802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26.350053583617687</v>
      </c>
      <c r="N53" s="2335">
        <f>IF(N9=0,0,N$51/N9)</f>
        <v>21.584751876509266</v>
      </c>
      <c r="O53" s="2336">
        <f>IF(O9=0,0,O$51/O9)</f>
        <v>19.842426887813087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64.557631279863344</v>
      </c>
      <c r="N54" s="2335">
        <f t="shared" si="3"/>
        <v>52.882642097447707</v>
      </c>
      <c r="O54" s="2336">
        <f t="shared" si="3"/>
        <v>48.613945875142065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0.4117195872440263</v>
      </c>
      <c r="N55" s="2219">
        <f t="shared" si="3"/>
        <v>0.33207310579245025</v>
      </c>
      <c r="O55" s="2220">
        <f t="shared" si="3"/>
        <v>0.30526810596635517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0.24703175234641581</v>
      </c>
      <c r="N56" s="2219">
        <f>IF(N13=0,0,N$51/N13)</f>
        <v>0.19924386347547013</v>
      </c>
      <c r="O56" s="2220">
        <f>IF(O13=0,0,O$51/O13)</f>
        <v>0.18316086357981309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2522.1917105991597</v>
      </c>
      <c r="N58" s="1769">
        <f>N51-N38</f>
        <v>2392.2572607892985</v>
      </c>
      <c r="O58" s="1776">
        <f>O51-O38</f>
        <v>2512.0155284830616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24.135805843054161</v>
      </c>
      <c r="N59" s="3416">
        <f>N58/N9</f>
        <v>19.370504135945737</v>
      </c>
      <c r="O59" s="3417">
        <f>O58/O9</f>
        <v>17.628179147249554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0.37712196629772121</v>
      </c>
      <c r="N60" s="2130">
        <f>IF(N12=0,0,N$58/N12)</f>
        <v>0.29800775593762674</v>
      </c>
      <c r="O60" s="2217">
        <f>IF(O12=0,0,O$58/O12)</f>
        <v>0.27120275611153161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0.104756101749367</v>
      </c>
      <c r="N61" s="2130">
        <f>N58/$N$12*10/$F$57</f>
        <v>8.2779932204896323E-2</v>
      </c>
      <c r="O61" s="3422">
        <f>O58/$O$12*10/$F$57</f>
        <v>7.5334098919869891E-2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0.22627317977863273</v>
      </c>
      <c r="N62" s="1874">
        <f>IF(N13=0,0,N$58/N13)</f>
        <v>0.17880465356257602</v>
      </c>
      <c r="O62" s="2032">
        <f>IF(O13=0,0,O$58/O13)</f>
        <v>0.16272165366691899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868.45833053756678</v>
      </c>
      <c r="N64" s="1772">
        <f>SUM(N19:N23)+N30</f>
        <v>971.21890416193617</v>
      </c>
      <c r="O64" s="1773">
        <f>SUM(O19:O23)+O30</f>
        <v>1073.433088102063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0.12985321927894239</v>
      </c>
      <c r="N65" s="1874">
        <f>N64/N12</f>
        <v>0.12098647202266412</v>
      </c>
      <c r="O65" s="2032">
        <f>O64/O12</f>
        <v>0.11589021194084351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1442.1066899606958</v>
      </c>
      <c r="N66" s="2038">
        <f>N24+N25+N26+N39+N37</f>
        <v>1493.218356627362</v>
      </c>
      <c r="O66" s="2039">
        <f>O24+O25+O26+O39+O37</f>
        <v>1510.7624403809987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0.2156260002931662</v>
      </c>
      <c r="N67" s="2166">
        <f>N66/N12</f>
        <v>0.18601287531950944</v>
      </c>
      <c r="O67" s="2187">
        <f>O66/O12</f>
        <v>0.16310525672129542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0">
    <mergeCell ref="B51:B67"/>
    <mergeCell ref="D19:D23"/>
    <mergeCell ref="B45:B49"/>
    <mergeCell ref="B35:B43"/>
    <mergeCell ref="G3:O3"/>
    <mergeCell ref="B2:B4"/>
    <mergeCell ref="B19:B27"/>
    <mergeCell ref="B6:B13"/>
    <mergeCell ref="B15:B17"/>
    <mergeCell ref="B28:B3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59&amp;9
&amp;R&amp;12&amp;F
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3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6.42578125" style="530" customWidth="1"/>
    <col min="18" max="18" width="11" style="530" customWidth="1"/>
    <col min="19" max="19" width="9.85546875" style="530" bestFit="1" customWidth="1"/>
    <col min="20" max="20" width="7.42578125" style="530" customWidth="1"/>
    <col min="21" max="21" width="11.28515625" style="530" customWidth="1"/>
    <col min="22" max="23" width="7.42578125" style="530" customWidth="1"/>
    <col min="24" max="24" width="10.1406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158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18" t="s">
        <v>1586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37" t="s">
        <v>1448</v>
      </c>
      <c r="E5" s="237"/>
      <c r="F5" s="237"/>
      <c r="G5" s="237"/>
      <c r="H5" s="237"/>
      <c r="I5" s="237"/>
      <c r="J5" s="144" t="s">
        <v>139</v>
      </c>
      <c r="K5" s="4048">
        <v>120</v>
      </c>
      <c r="L5" s="4050"/>
      <c r="M5" s="4049">
        <v>145</v>
      </c>
      <c r="N5" s="4050"/>
      <c r="O5" s="4049">
        <v>170</v>
      </c>
      <c r="P5" s="4050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63" t="s">
        <v>1587</v>
      </c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114</v>
      </c>
      <c r="L9" s="721">
        <f>IF(K7=0,0,K9/K7*100)</f>
        <v>345.45454545454544</v>
      </c>
      <c r="M9" s="809">
        <f>M5*(100-M6)/100</f>
        <v>137.75</v>
      </c>
      <c r="N9" s="810">
        <f>IF(M7=0,0,M9/M7*100)</f>
        <v>417.42424242424238</v>
      </c>
      <c r="O9" s="720">
        <f>O5*(100-O6)/100</f>
        <v>161.5</v>
      </c>
      <c r="P9" s="721">
        <f>IF(O7=0,0,O9/O7*100)</f>
        <v>489.39393939393938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49.350649350649348</v>
      </c>
      <c r="M10" s="286"/>
      <c r="N10" s="811">
        <f>IF(M8=0,0,1/M8*N9)</f>
        <v>59.632034632034625</v>
      </c>
      <c r="O10" s="173"/>
      <c r="P10" s="722">
        <f>IF(O8=0,0,1/O8*P9)</f>
        <v>69.913419913419901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111.72</v>
      </c>
      <c r="L11" s="709">
        <f>IF(L7=0,0,K11/L7*100)</f>
        <v>319.20000000000005</v>
      </c>
      <c r="M11" s="812">
        <f>M9*(100-N6)/100</f>
        <v>134.995</v>
      </c>
      <c r="N11" s="813">
        <f>IF(N7=0,0,M11/N7*100)</f>
        <v>385.70000000000005</v>
      </c>
      <c r="O11" s="708">
        <f>O9*(100-P6)/100</f>
        <v>158.27000000000001</v>
      </c>
      <c r="P11" s="709">
        <f>IF(P7=0,0,O11/P7*100)</f>
        <v>452.20000000000005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45.6</v>
      </c>
      <c r="M12" s="801"/>
      <c r="N12" s="814">
        <f>IF(N8=0,0,1/N8*N11)</f>
        <v>55.1</v>
      </c>
      <c r="O12" s="487"/>
      <c r="P12" s="502">
        <f>IF(P8=0,0,1/P8*P11)</f>
        <v>64.600000000000009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6.5</v>
      </c>
      <c r="L13" s="418"/>
      <c r="M13" s="499">
        <v>6.6</v>
      </c>
      <c r="N13" s="784"/>
      <c r="O13" s="499">
        <v>6.6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10.833333333333334</v>
      </c>
      <c r="L14" s="418"/>
      <c r="M14" s="815">
        <f>M13/$G14</f>
        <v>11</v>
      </c>
      <c r="N14" s="784"/>
      <c r="O14" s="513">
        <f>O13/$G14</f>
        <v>11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7261.7999999999993</v>
      </c>
      <c r="L15" s="418"/>
      <c r="M15" s="816">
        <f>M$11*M13*10</f>
        <v>8909.67</v>
      </c>
      <c r="N15" s="784"/>
      <c r="O15" s="497">
        <f>O$11*O13*10</f>
        <v>10445.820000000002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12103</v>
      </c>
      <c r="L16" s="417"/>
      <c r="M16" s="817">
        <f>M$11*M14*10</f>
        <v>14849.45</v>
      </c>
      <c r="N16" s="428"/>
      <c r="O16" s="498">
        <f>O$11*O14*10</f>
        <v>17409.7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565.88307999999995</v>
      </c>
      <c r="M31" s="819"/>
      <c r="N31" s="786">
        <f>SUM(N33:N36)-N17</f>
        <v>683.77538833333324</v>
      </c>
      <c r="O31" s="334"/>
      <c r="P31" s="325">
        <f>SUM(P33:P36)-P17</f>
        <v>801.66769666666653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/>
      <c r="I33"/>
      <c r="J33" s="172"/>
      <c r="K33" s="336">
        <f>G33*$K$9+H33</f>
        <v>159.6</v>
      </c>
      <c r="L33" s="337">
        <f>K33*$E33</f>
        <v>274.12363999999997</v>
      </c>
      <c r="M33" s="820">
        <f>G33*$M$9+H33</f>
        <v>192.85</v>
      </c>
      <c r="N33" s="791">
        <f>M33*$E33</f>
        <v>331.23273166666667</v>
      </c>
      <c r="O33" s="336">
        <f>G33*$O$9+H33</f>
        <v>226.1</v>
      </c>
      <c r="P33" s="337">
        <f>O33*$E33</f>
        <v>388.34182333333331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0.59</v>
      </c>
      <c r="H34" s="386"/>
      <c r="I34"/>
      <c r="J34" s="172"/>
      <c r="K34" s="336">
        <f>G34*$K$9+H34</f>
        <v>67.259999999999991</v>
      </c>
      <c r="L34" s="337">
        <f>K34*$E34</f>
        <v>76.037429999999972</v>
      </c>
      <c r="M34" s="820">
        <f>G34*$M$9+H34</f>
        <v>81.272499999999994</v>
      </c>
      <c r="N34" s="791">
        <f>M34*$E34</f>
        <v>91.878561249999976</v>
      </c>
      <c r="O34" s="336">
        <f>G34*$O$9+H34</f>
        <v>95.284999999999997</v>
      </c>
      <c r="P34" s="337">
        <f>O34*$E34</f>
        <v>107.71969249999998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1.67</v>
      </c>
      <c r="H35" s="386"/>
      <c r="I35"/>
      <c r="J35" s="172"/>
      <c r="K35" s="336">
        <f>G35*$K$9+H35</f>
        <v>190.38</v>
      </c>
      <c r="L35" s="337">
        <f>K35*$E35</f>
        <v>200.12110999999999</v>
      </c>
      <c r="M35" s="820">
        <f>G35*$M$9+H35</f>
        <v>230.04249999999999</v>
      </c>
      <c r="N35" s="791">
        <f>M35*$E35</f>
        <v>241.81300791666663</v>
      </c>
      <c r="O35" s="336">
        <f>G35*$O$9+H35</f>
        <v>269.70499999999998</v>
      </c>
      <c r="P35" s="337">
        <f>O35*$E35</f>
        <v>283.50490583333328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0.23</v>
      </c>
      <c r="H36" s="387"/>
      <c r="I36" s="36"/>
      <c r="J36" s="36"/>
      <c r="K36" s="338">
        <f>G36*$K$9+H36</f>
        <v>26.220000000000002</v>
      </c>
      <c r="L36" s="333">
        <f>K36*$E36</f>
        <v>15.600900000000001</v>
      </c>
      <c r="M36" s="821">
        <f>G36*$M$9+H36</f>
        <v>31.682500000000001</v>
      </c>
      <c r="N36" s="792">
        <f>M36*$E36</f>
        <v>18.851087499999998</v>
      </c>
      <c r="O36" s="338">
        <f>G36*$O$9+H36</f>
        <v>37.145000000000003</v>
      </c>
      <c r="P36" s="333">
        <f>O36*$E36</f>
        <v>22.101275000000001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347.83787684968723</v>
      </c>
      <c r="M42" s="823"/>
      <c r="N42" s="786">
        <f>SUM(W45:W55)</f>
        <v>378.94243235487204</v>
      </c>
      <c r="O42" s="425"/>
      <c r="P42" s="325">
        <f>SUM(Z45:Z55)</f>
        <v>410.04698786005696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0.69090909090909092</v>
      </c>
      <c r="L51" s="337">
        <f t="shared" si="0"/>
        <v>111.10590951365819</v>
      </c>
      <c r="M51" s="375">
        <f>N9/500</f>
        <v>0.83484848484848473</v>
      </c>
      <c r="N51" s="791">
        <f t="shared" si="1"/>
        <v>134.25297399567029</v>
      </c>
      <c r="O51" s="375">
        <f>P9/500</f>
        <v>0.97878787878787876</v>
      </c>
      <c r="P51" s="337">
        <f t="shared" si="2"/>
        <v>157.40003847768241</v>
      </c>
      <c r="Q51" s="528"/>
      <c r="R51" s="1348">
        <f t="shared" si="3"/>
        <v>5.4443636363636365</v>
      </c>
      <c r="S51" s="471" t="e">
        <f>K51*#REF!</f>
        <v>#REF!</v>
      </c>
      <c r="T51" s="258">
        <f t="shared" si="4"/>
        <v>111.10590951365819</v>
      </c>
      <c r="U51" s="1349">
        <f t="shared" si="5"/>
        <v>6.5786060606060595</v>
      </c>
      <c r="V51" s="1350" t="e">
        <f>M51*#REF!</f>
        <v>#REF!</v>
      </c>
      <c r="W51" s="827">
        <f t="shared" si="6"/>
        <v>134.25297399567029</v>
      </c>
      <c r="X51" s="1351">
        <f t="shared" si="7"/>
        <v>7.7128484848484842</v>
      </c>
      <c r="Y51" s="471" t="e">
        <f>O51*#REF!</f>
        <v>#REF!</v>
      </c>
      <c r="Z51" s="258">
        <f t="shared" si="8"/>
        <v>157.40003847768241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0.69090909090909092</v>
      </c>
      <c r="L52" s="337">
        <f t="shared" si="0"/>
        <v>38.195956911229082</v>
      </c>
      <c r="M52" s="375">
        <f>N9/500</f>
        <v>0.83484848484848473</v>
      </c>
      <c r="N52" s="791">
        <f t="shared" si="1"/>
        <v>46.153447934401804</v>
      </c>
      <c r="O52" s="375">
        <f>P9/500</f>
        <v>0.97878787878787876</v>
      </c>
      <c r="P52" s="337">
        <f t="shared" si="2"/>
        <v>54.110938957574533</v>
      </c>
      <c r="Q52" s="528"/>
      <c r="R52" s="1348">
        <f t="shared" si="3"/>
        <v>1.4716363636363636</v>
      </c>
      <c r="S52" s="471" t="e">
        <f>K52*#REF!</f>
        <v>#REF!</v>
      </c>
      <c r="T52" s="258">
        <f t="shared" si="4"/>
        <v>38.195956911229082</v>
      </c>
      <c r="U52" s="1349">
        <f t="shared" si="5"/>
        <v>1.7782272727272723</v>
      </c>
      <c r="V52" s="1350" t="e">
        <f>M52*#REF!</f>
        <v>#REF!</v>
      </c>
      <c r="W52" s="827">
        <f t="shared" si="6"/>
        <v>46.153447934401804</v>
      </c>
      <c r="X52" s="1351">
        <f t="shared" si="7"/>
        <v>2.0848181818181817</v>
      </c>
      <c r="Y52" s="471" t="e">
        <f>O52*#REF!</f>
        <v>#REF!</v>
      </c>
      <c r="Z52" s="258">
        <f t="shared" si="8"/>
        <v>54.110938957574533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11.846</v>
      </c>
      <c r="L56" s="341"/>
      <c r="M56" s="797">
        <f>SUM($U$45:$U$55)</f>
        <v>13.286833333333332</v>
      </c>
      <c r="N56" s="798"/>
      <c r="O56" s="340">
        <f>SUM($X$45:$X$55)</f>
        <v>14.727666666666666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21.322800000000001</v>
      </c>
      <c r="L57" s="343"/>
      <c r="M57" s="799">
        <f>IF(M56+(M56*$G$57/100)&gt;M56+10,M56+10,M56+(M56*$G$57/100))</f>
        <v>23.286833333333334</v>
      </c>
      <c r="N57" s="800"/>
      <c r="O57" s="342">
        <f>IF(O56+(O56*$G$57/100)&gt;O56+10,O56+10,O56+(O56*$G$57/100))</f>
        <v>24.727666666666664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258.82500000000005</v>
      </c>
      <c r="M58" s="826"/>
      <c r="N58" s="786">
        <f>SUM(N60:N62)</f>
        <v>279.64999999999998</v>
      </c>
      <c r="O58" s="344"/>
      <c r="P58" s="325">
        <f>SUM(P60:P62)</f>
        <v>300.47500000000002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 t="s">
        <v>1009</v>
      </c>
      <c r="E61" s="7"/>
      <c r="F61" s="7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3117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0.33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24.835355999999997</v>
      </c>
      <c r="M65" s="1357"/>
      <c r="N65" s="786">
        <f>M66*$H66/100</f>
        <v>30.4710714</v>
      </c>
      <c r="O65" s="347"/>
      <c r="P65" s="325">
        <f>O66*$H66/100</f>
        <v>35.724704400000007</v>
      </c>
      <c r="Q65" s="529"/>
      <c r="R65" s="529"/>
      <c r="S65" s="529"/>
      <c r="T65" s="529"/>
      <c r="U65" s="529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1.71</v>
      </c>
      <c r="I66" s="74"/>
      <c r="J66" s="361" t="s">
        <v>266</v>
      </c>
      <c r="K66" s="3181">
        <f>K15*0.2</f>
        <v>1452.36</v>
      </c>
      <c r="L66" s="348"/>
      <c r="M66" s="3181">
        <f>M15*0.2</f>
        <v>1781.9340000000002</v>
      </c>
      <c r="N66" s="789"/>
      <c r="O66" s="3181">
        <f>O15*0.2</f>
        <v>2089.1640000000002</v>
      </c>
      <c r="P66" s="348"/>
      <c r="Q66" s="529"/>
      <c r="R66" s="529"/>
      <c r="S66" s="529"/>
      <c r="T66" s="529"/>
      <c r="U66" s="529"/>
      <c r="V66" s="3008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51181102362204722" right="0.47244094488188981" top="0.55118110236220474" bottom="0.9055118110236221" header="0.51181102362204722" footer="0.31496062992125984"/>
  <pageSetup paperSize="9" scale="71" firstPageNumber="15" orientation="portrait" useFirstPageNumber="1" verticalDpi="300" r:id="rId1"/>
  <headerFooter alignWithMargins="0">
    <oddFooter>&amp;L&amp;12LEL Schwäbisch Gmünd (Abtlg. II)
LAZBW Aulendorf&amp;C&amp;12 58&amp;9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Check Box 1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9" r:id="rId6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0" r:id="rId7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1" r:id="rId8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2" r:id="rId9" name="Check Box 6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3" r:id="rId10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4" r:id="rId11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5" r:id="rId12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6" r:id="rId13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7" r:id="rId14" name="Check Box 11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8" r:id="rId15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9" r:id="rId16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0" r:id="rId17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1" r:id="rId18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3" r:id="rId20" name="Drop Down 17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4" r:id="rId21" name="Drop Down 18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5" r:id="rId22" name="Drop Down 19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6" r:id="rId23" name="Drop Down 2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7" r:id="rId24" name="Drop Down 2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8" r:id="rId25" name="Drop Down 2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9" r:id="rId26" name="Drop Down 2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0" r:id="rId27" name="Drop Down 2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1" r:id="rId28" name="Drop Down 2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2" r:id="rId29" name="Drop Down 2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00B0F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I36" sqref="I3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'20)Silomais int-(a)'!J2</f>
        <v>2022</v>
      </c>
      <c r="K2" s="2504" t="s">
        <v>858</v>
      </c>
      <c r="L2" s="2502"/>
      <c r="M2" s="2505"/>
      <c r="N2" s="2529"/>
      <c r="O2" s="2530" t="str">
        <f>'20)Silomais int-(a)'!M2</f>
        <v>Silomais intensiv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'20)Silomais int-(a)'!H3</f>
        <v>Silomais intensiv ohne FAKT- Ausgleichsleistungen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'20)Silomais int-(a)'!K5</f>
        <v>120</v>
      </c>
      <c r="N6" s="1735">
        <f>'20)Silomais int-(a)'!M5</f>
        <v>145</v>
      </c>
      <c r="O6" s="1743">
        <f>'20)Silomais int-(a)'!O5</f>
        <v>170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'20)Silomais int-(a)'!K9</f>
        <v>114</v>
      </c>
      <c r="N7" s="1736">
        <f>'20)Silomais int-(a)'!M9</f>
        <v>137.75</v>
      </c>
      <c r="O7" s="1744">
        <f>'20)Silomais int-(a)'!O9</f>
        <v>161.5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'20)Silomais int-(a)'!L9</f>
        <v>345.45454545454544</v>
      </c>
      <c r="N8" s="1737">
        <f>'20)Silomais int-(a)'!N9</f>
        <v>417.42424242424238</v>
      </c>
      <c r="O8" s="1583">
        <f>'20)Silomais int-(a)'!P9</f>
        <v>489.39393939393938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'20)Silomais int-(a)'!K11</f>
        <v>111.72</v>
      </c>
      <c r="N9" s="1562">
        <f>'20)Silomais int-(a)'!M11</f>
        <v>134.995</v>
      </c>
      <c r="O9" s="1747">
        <f>'20)Silomais int-(a)'!O11</f>
        <v>158.27000000000001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'20)Silomais int-(a)'!L11</f>
        <v>319.20000000000005</v>
      </c>
      <c r="N10" s="1582">
        <f>'20)Silomais int-(a)'!N11</f>
        <v>385.70000000000005</v>
      </c>
      <c r="O10" s="2014">
        <f>'20)Silomais int-(a)'!P11</f>
        <v>452.20000000000005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'20)Silomais int-(a)'!L12</f>
        <v>45.6</v>
      </c>
      <c r="N11" s="1818">
        <f>'20)Silomais int-(a)'!N12</f>
        <v>55.1</v>
      </c>
      <c r="O11" s="1819">
        <f>'20)Silomais int-(a)'!P12</f>
        <v>64.600000000000009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'20)Silomais int-(a)'!K15</f>
        <v>7261.7999999999993</v>
      </c>
      <c r="N12" s="1738">
        <f>'20)Silomais int-(a)'!M15</f>
        <v>8909.67</v>
      </c>
      <c r="O12" s="1745">
        <f>'20)Silomais int-(a)'!O15</f>
        <v>10445.820000000002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'20)Silomais int-(a)'!K16</f>
        <v>12103</v>
      </c>
      <c r="N13" s="2077">
        <f>'20)Silomais int-(a)'!M16</f>
        <v>14849.45</v>
      </c>
      <c r="O13" s="2078">
        <f>'20)Silomais int-(a)'!O16</f>
        <v>17409.7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'20)Silomais int-(a)'!L24</f>
        <v>270</v>
      </c>
      <c r="N15" s="3338">
        <f>'20)Silomais int-(a)'!N24</f>
        <v>270</v>
      </c>
      <c r="O15" s="3341">
        <f>'20)Silomais int-(a)'!P24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'20)Silomais int-(a)'!L18</f>
        <v>0</v>
      </c>
      <c r="N16" s="1736">
        <f>'20)Silomais int-(a)'!N18</f>
        <v>0</v>
      </c>
      <c r="O16" s="3343">
        <f>'20)Silomais int-(a)'!P18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'20)Silomais int-(a)'!L27</f>
        <v>214</v>
      </c>
      <c r="N19" s="2072">
        <f>'20)Silomais int-(a)'!N27</f>
        <v>214</v>
      </c>
      <c r="O19" s="2073">
        <f>'20)Silomais int-(a)'!P27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'20)Silomais int-(a)'!L31</f>
        <v>565.88307999999995</v>
      </c>
      <c r="N20" s="1567">
        <f>'20)Silomais int-(a)'!N31</f>
        <v>683.77538833333324</v>
      </c>
      <c r="O20" s="1574">
        <f>'20)Silomais int-(a)'!P31</f>
        <v>801.66769666666653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'20)Silomais int-(a)'!L37</f>
        <v>84.585200000000015</v>
      </c>
      <c r="N21" s="1567">
        <f>'20)Silomais int-(a)'!N37</f>
        <v>84.585200000000015</v>
      </c>
      <c r="O21" s="1574">
        <f>'20)Silomais int-(a)'!P37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'20)Silomais int-(a)'!L65</f>
        <v>24.835355999999997</v>
      </c>
      <c r="N22" s="1567">
        <f>'20)Silomais int-(a)'!N65</f>
        <v>30.4710714</v>
      </c>
      <c r="O22" s="1574">
        <f>'20)Silomais int-(a)'!P65</f>
        <v>35.724704400000007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'20)Silomais int-(a)'!L67</f>
        <v>59.5</v>
      </c>
      <c r="N23" s="1567">
        <f>'20)Silomais int-(a)'!N67</f>
        <v>59.5</v>
      </c>
      <c r="O23" s="1574">
        <f>'20)Silomais int-(a)'!P67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'20)Silomais int-(a)'!L42</f>
        <v>347.83787684968723</v>
      </c>
      <c r="N24" s="1567">
        <f>'20)Silomais int-(a)'!N42</f>
        <v>378.94243235487204</v>
      </c>
      <c r="O24" s="1574">
        <f>'20)Silomais int-(a)'!P42</f>
        <v>410.04698786005696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'20)Silomais int-(a)'!L58</f>
        <v>258.82500000000005</v>
      </c>
      <c r="N25" s="1567">
        <f>'20)Silomais int-(a)'!N58</f>
        <v>279.64999999999998</v>
      </c>
      <c r="O25" s="1574">
        <f>'20)Silomais int-(a)'!P58</f>
        <v>300.47500000000002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'20)Silomais int-(a)'!L63</f>
        <v>0</v>
      </c>
      <c r="N26" s="1980">
        <f>'20)Silomais int-(a)'!N63</f>
        <v>0</v>
      </c>
      <c r="O26" s="1981">
        <f>'20)Silomais int-(a)'!P63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1555.4665128496872</v>
      </c>
      <c r="N27" s="1775">
        <f>SUM(N19:N26)</f>
        <v>1730.9240920882053</v>
      </c>
      <c r="O27" s="2055">
        <f>SUM(O19:O26)</f>
        <v>1905.9995889267238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-1555.4665128496872</v>
      </c>
      <c r="N28" s="2060">
        <f>-N27</f>
        <v>-1730.9240920882053</v>
      </c>
      <c r="O28" s="2061">
        <f>-O27</f>
        <v>-1905.9995889267238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M27*'20)Silomais int-(a)'!$L$70*'20)Silomais int-(a)'!$P$70/12/100</f>
        <v>9.7216657053105457</v>
      </c>
      <c r="N30" s="1980">
        <f>N27*'20)Silomais int-(a)'!$L$70*'20)Silomais int-(a)'!$P$70/12/100</f>
        <v>10.818275575551281</v>
      </c>
      <c r="O30" s="1981">
        <f>O27*'20)Silomais int-(a)'!$L$70*'20)Silomais int-(a)'!$P$70/12/100</f>
        <v>11.912497430792024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-1295.1881785549976</v>
      </c>
      <c r="N31" s="1769">
        <f>N28+N29-N30</f>
        <v>-1471.7423676637566</v>
      </c>
      <c r="O31" s="1776">
        <f>O28+O29-O30</f>
        <v>-1647.9120863575158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-0.17835635497466162</v>
      </c>
      <c r="N32" s="1561">
        <f>IF(N12=0,0,N31/N12)</f>
        <v>-0.16518483486635943</v>
      </c>
      <c r="O32" s="2047">
        <f>IF(O12=0,0,O31/O12)</f>
        <v>-0.15775803970942592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-0.10701381298479697</v>
      </c>
      <c r="N33" s="1576">
        <f>IF(N13=0,0,N31/N13)</f>
        <v>-9.9110900919815656E-2</v>
      </c>
      <c r="O33" s="2052">
        <f>IF(O13=0,0,O31/O13)</f>
        <v>-9.4654823825655571E-2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'20)Silomais int-(a)'!K57</f>
        <v>21.322800000000001</v>
      </c>
      <c r="N35" s="2396">
        <f>'20)Silomais int-(a)'!M57</f>
        <v>23.286833333333334</v>
      </c>
      <c r="O35" s="2398">
        <f>'20)Silomais int-(a)'!O57</f>
        <v>24.727666666666664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'20)Silomais int-(a)'!L10</f>
        <v>49.350649350649348</v>
      </c>
      <c r="N36" s="2431">
        <f>'20)Silomais int-(a)'!N10</f>
        <v>59.632034632034625</v>
      </c>
      <c r="O36" s="2432">
        <f>'20)Silomais int-(a)'!P10</f>
        <v>69.913419913419901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373.149</v>
      </c>
      <c r="N37" s="1567">
        <f>$J$37*N35</f>
        <v>407.51958333333334</v>
      </c>
      <c r="O37" s="1574">
        <f>$J$37*O35</f>
        <v>432.73416666666662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239.80303030303031</v>
      </c>
      <c r="N38" s="2433">
        <f>N36*$I$36</f>
        <v>289.76199494949492</v>
      </c>
      <c r="O38" s="2429">
        <f>O36*$I$36</f>
        <v>339.72095959595953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1595.6951743539562</v>
      </c>
      <c r="N43" s="1991">
        <f>SUM(N37:N42)</f>
        <v>1370.024722333754</v>
      </c>
      <c r="O43" s="1994">
        <f>SUM(O37:O42)</f>
        <v>1445.198270313552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3160.8833529089538</v>
      </c>
      <c r="N46" s="2041">
        <f>N27+N30+N43</f>
        <v>3111.7670899975105</v>
      </c>
      <c r="O46" s="2080">
        <f>O27+O30+O43</f>
        <v>3363.1103566710681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-3160.8833529089538</v>
      </c>
      <c r="N47" s="2227">
        <f>N45-N46</f>
        <v>-3111.7670899975105</v>
      </c>
      <c r="O47" s="2228">
        <f>O45-O46</f>
        <v>-3363.1103566710681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-2890.8833529089538</v>
      </c>
      <c r="N49" s="1991">
        <f>N47+N48</f>
        <v>-2841.7670899975105</v>
      </c>
      <c r="O49" s="1994">
        <f>O47+O48</f>
        <v>-3093.1103566710681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2890.8833529089538</v>
      </c>
      <c r="N51" s="1771">
        <f>N46-N48</f>
        <v>2841.7670899975105</v>
      </c>
      <c r="O51" s="3358">
        <f>O46-O48</f>
        <v>3093.1103566710681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9.0566521081107556</v>
      </c>
      <c r="N52" s="2335">
        <f>IF(N10=0,0,N$51/N10)</f>
        <v>7.3678171895190827</v>
      </c>
      <c r="O52" s="2336">
        <f>IF(O10=0,0,O$51/O10)</f>
        <v>6.840137896220849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25.87614888031645</v>
      </c>
      <c r="N53" s="2335">
        <f>IF(N9=0,0,N$51/N9)</f>
        <v>21.050906255768808</v>
      </c>
      <c r="O53" s="2336">
        <f>IF(O9=0,0,O$51/O9)</f>
        <v>19.543251132059567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63.396564756775298</v>
      </c>
      <c r="N54" s="2335">
        <f t="shared" si="3"/>
        <v>51.574720326633582</v>
      </c>
      <c r="O54" s="2336">
        <f t="shared" si="3"/>
        <v>47.880965273545939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0.39809459815871467</v>
      </c>
      <c r="N55" s="2219">
        <f t="shared" si="3"/>
        <v>0.3189531250874062</v>
      </c>
      <c r="O55" s="2220">
        <f t="shared" si="3"/>
        <v>0.29610986563726616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0.23885675889522878</v>
      </c>
      <c r="N56" s="2219">
        <f>IF(N13=0,0,N$51/N13)</f>
        <v>0.19137187505244371</v>
      </c>
      <c r="O56" s="2220">
        <f>IF(O13=0,0,O$51/O13)</f>
        <v>0.1776659193823597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2651.0803226059234</v>
      </c>
      <c r="N58" s="1769">
        <f>N51-N38</f>
        <v>2552.0050950480154</v>
      </c>
      <c r="O58" s="1776">
        <f>O51-O38</f>
        <v>2753.3893970751087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23.729684233851803</v>
      </c>
      <c r="N59" s="3416">
        <f>N58/N9</f>
        <v>18.904441609304161</v>
      </c>
      <c r="O59" s="3417">
        <f>O58/O9</f>
        <v>17.396786485594923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0.36507206513618162</v>
      </c>
      <c r="N60" s="2130">
        <f>IF(N12=0,0,N$58/N12)</f>
        <v>0.28643093347430548</v>
      </c>
      <c r="O60" s="2217">
        <f>IF(O12=0,0,O$58/O12)</f>
        <v>0.2635876740241655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0.10140890698227267</v>
      </c>
      <c r="N61" s="2130">
        <f>N58/$N$12*10/$F$57</f>
        <v>7.9564148187307088E-2</v>
      </c>
      <c r="O61" s="3422">
        <f>O58/$O$12*10/$F$57</f>
        <v>7.3218798340045979E-2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0.21904323908170895</v>
      </c>
      <c r="N62" s="1874">
        <f>IF(N13=0,0,N$58/N13)</f>
        <v>0.17185856008458328</v>
      </c>
      <c r="O62" s="2032">
        <f>IF(O13=0,0,O$58/O13)</f>
        <v>0.1581526044144993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958.52530170531054</v>
      </c>
      <c r="N64" s="1772">
        <f>SUM(N19:N23)+N30</f>
        <v>1083.1499353088846</v>
      </c>
      <c r="O64" s="1773">
        <f>SUM(O19:O23)+O30</f>
        <v>1207.3900984974587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0.1319955523018137</v>
      </c>
      <c r="N65" s="1874">
        <f>N64/N12</f>
        <v>0.12157015190336842</v>
      </c>
      <c r="O65" s="2032">
        <f>O64/O12</f>
        <v>0.11558595672694517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1485.8395764057977</v>
      </c>
      <c r="N66" s="2038">
        <f>N24+N25+N26+N39+N37</f>
        <v>1541.0351597391314</v>
      </c>
      <c r="O66" s="2039">
        <f>O24+O25+O26+O39+O37</f>
        <v>1618.1792985776494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0.20461036883497175</v>
      </c>
      <c r="N67" s="2166">
        <f>N66/N12</f>
        <v>0.17296209172047128</v>
      </c>
      <c r="O67" s="2187">
        <f>O66/O12</f>
        <v>0.15491165830711703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G3:K3"/>
    <mergeCell ref="B15:B17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59&amp;9
&amp;R&amp;12&amp;F
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5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L1" sqref="L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8554687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1059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2" t="s">
        <v>1449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110</v>
      </c>
      <c r="L5" s="417"/>
      <c r="M5" s="370">
        <v>130</v>
      </c>
      <c r="N5" s="2261"/>
      <c r="O5" s="370">
        <v>150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13</v>
      </c>
      <c r="L7" s="706">
        <v>15</v>
      </c>
      <c r="M7" s="702">
        <v>13</v>
      </c>
      <c r="N7" s="706">
        <v>15</v>
      </c>
      <c r="O7" s="702">
        <v>13</v>
      </c>
      <c r="P7" s="706">
        <v>15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104.5</v>
      </c>
      <c r="L9" s="721">
        <f>IF(K7=0,0,K9/K7*100)</f>
        <v>803.84615384615381</v>
      </c>
      <c r="M9" s="809">
        <f>M5*(100-M6)/100</f>
        <v>123.5</v>
      </c>
      <c r="N9" s="810">
        <f>IF(M7=0,0,M9/M7*100)</f>
        <v>950</v>
      </c>
      <c r="O9" s="720">
        <f>O5*(100-O6)/100</f>
        <v>142.5</v>
      </c>
      <c r="P9" s="721">
        <f>IF(O7=0,0,O9/O7*100)</f>
        <v>1096.1538461538462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114.83516483516482</v>
      </c>
      <c r="M10" s="286"/>
      <c r="N10" s="811">
        <f>IF(M8=0,0,1/M8*N9)</f>
        <v>135.71428571428569</v>
      </c>
      <c r="O10" s="173"/>
      <c r="P10" s="722">
        <f>IF(O8=0,0,1/O8*P9)</f>
        <v>156.5934065934066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97.185000000000002</v>
      </c>
      <c r="L11" s="709">
        <f>IF(L7=0,0,K11/L7*100)</f>
        <v>647.9</v>
      </c>
      <c r="M11" s="812">
        <f>M9*(100-N6)/100</f>
        <v>114.855</v>
      </c>
      <c r="N11" s="813">
        <f>IF(N7=0,0,M11/N7*100)</f>
        <v>765.7</v>
      </c>
      <c r="O11" s="708">
        <f>O9*(100-P6)/100</f>
        <v>132.52500000000001</v>
      </c>
      <c r="P11" s="709">
        <f>IF(P7=0,0,O11/P7*100)</f>
        <v>883.50000000000011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92.55714285714285</v>
      </c>
      <c r="M12" s="801"/>
      <c r="N12" s="814">
        <f>IF(N8=0,0,1/N8*N11)</f>
        <v>109.38571428571429</v>
      </c>
      <c r="O12" s="487"/>
      <c r="P12" s="502">
        <f>IF(P8=0,0,1/P8*P11)</f>
        <v>126.21428571428572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7</v>
      </c>
      <c r="L13" s="418"/>
      <c r="M13" s="499">
        <v>7</v>
      </c>
      <c r="N13" s="784"/>
      <c r="O13" s="499">
        <v>7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11.666666666666668</v>
      </c>
      <c r="L14" s="418"/>
      <c r="M14" s="815">
        <f>M13/$G14</f>
        <v>11.666666666666668</v>
      </c>
      <c r="N14" s="784"/>
      <c r="O14" s="513">
        <f>O13/$G14</f>
        <v>11.666666666666668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6802.9500000000007</v>
      </c>
      <c r="L15" s="418"/>
      <c r="M15" s="816">
        <f>M$11*M13*10</f>
        <v>8039.85</v>
      </c>
      <c r="N15" s="784"/>
      <c r="O15" s="497">
        <f>O$11*O13*10</f>
        <v>9276.75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11338.25</v>
      </c>
      <c r="L16" s="417"/>
      <c r="M16" s="817">
        <f>M$11*M14*10</f>
        <v>13399.750000000002</v>
      </c>
      <c r="N16" s="428"/>
      <c r="O16" s="498">
        <f>O$11*O14*10</f>
        <v>15461.250000000002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1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1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1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1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1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1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1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89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1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428</v>
      </c>
      <c r="M27" s="804"/>
      <c r="N27" s="786">
        <f>SUM(N29:N30)</f>
        <v>428</v>
      </c>
      <c r="O27" s="330"/>
      <c r="P27" s="325">
        <f>SUM(P29:P30)</f>
        <v>428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400</v>
      </c>
      <c r="I29" s="711">
        <f>H29*($H$27+100)/100</f>
        <v>428</v>
      </c>
      <c r="J29" s="91"/>
      <c r="K29" s="440">
        <v>1</v>
      </c>
      <c r="L29" s="337">
        <f>$I29*K29</f>
        <v>428</v>
      </c>
      <c r="M29" s="440">
        <v>1</v>
      </c>
      <c r="N29" s="791">
        <f>$I29*M29</f>
        <v>428</v>
      </c>
      <c r="O29" s="440">
        <v>1</v>
      </c>
      <c r="P29" s="337">
        <f>$I29*O29</f>
        <v>428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714.76352383333324</v>
      </c>
      <c r="M31" s="819"/>
      <c r="N31" s="786">
        <f>SUM(N33:N36)-N17</f>
        <v>844.72052816666655</v>
      </c>
      <c r="O31" s="334"/>
      <c r="P31" s="325">
        <f>SUM(P33:P36)-P17</f>
        <v>974.67753249999987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 t="s">
        <v>1466</v>
      </c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1.1599999999999999</v>
      </c>
      <c r="H33" s="386"/>
      <c r="I33"/>
      <c r="J33" s="172"/>
      <c r="K33" s="336">
        <f>G33*$K$9+H33</f>
        <v>121.21999999999998</v>
      </c>
      <c r="L33" s="337">
        <f>K33*$E33</f>
        <v>208.2034313333333</v>
      </c>
      <c r="M33" s="820">
        <f>G33*$M$9+H33</f>
        <v>143.26</v>
      </c>
      <c r="N33" s="791">
        <f>M33*$E33</f>
        <v>246.05860066666665</v>
      </c>
      <c r="O33" s="336">
        <f>G33*$O$9+H33</f>
        <v>165.29999999999998</v>
      </c>
      <c r="P33" s="337">
        <f>O33*$E33</f>
        <v>283.91377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60.609999999999992</v>
      </c>
      <c r="L34" s="337">
        <f>K34*$E34</f>
        <v>68.519604999999984</v>
      </c>
      <c r="M34" s="820">
        <f>G34*$M$9+H34</f>
        <v>71.63</v>
      </c>
      <c r="N34" s="791">
        <f>M34*$E34</f>
        <v>80.977714999999989</v>
      </c>
      <c r="O34" s="336">
        <f>G34*$O$9+H34</f>
        <v>82.649999999999991</v>
      </c>
      <c r="P34" s="337">
        <f>O34*$E34</f>
        <v>93.43582499999998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3.75</v>
      </c>
      <c r="H35" s="386"/>
      <c r="I35"/>
      <c r="J35" s="172"/>
      <c r="K35" s="336">
        <f>G35*$K$9+H35</f>
        <v>391.875</v>
      </c>
      <c r="L35" s="337">
        <f>K35*$E35</f>
        <v>411.92593749999997</v>
      </c>
      <c r="M35" s="820">
        <f>G35*$M$9+H35</f>
        <v>463.125</v>
      </c>
      <c r="N35" s="791">
        <f>M35*$E35</f>
        <v>486.82156249999997</v>
      </c>
      <c r="O35" s="336">
        <f>G35*$O$9+H35</f>
        <v>534.375</v>
      </c>
      <c r="P35" s="337">
        <f>O35*$E35</f>
        <v>561.71718749999991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0.42</v>
      </c>
      <c r="H36" s="387"/>
      <c r="I36" s="36"/>
      <c r="J36" s="36"/>
      <c r="K36" s="338">
        <f>G36*$K$9+H36</f>
        <v>43.89</v>
      </c>
      <c r="L36" s="333">
        <f>K36*$E36</f>
        <v>26.114549999999998</v>
      </c>
      <c r="M36" s="821">
        <f>G36*$M$9+H36</f>
        <v>51.87</v>
      </c>
      <c r="N36" s="792">
        <f>M36*$E36</f>
        <v>30.862649999999999</v>
      </c>
      <c r="O36" s="338">
        <f>G36*$O$9+H36</f>
        <v>59.849999999999994</v>
      </c>
      <c r="P36" s="333">
        <f>O36*$E36</f>
        <v>35.610749999999996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333</v>
      </c>
      <c r="E39" s="129"/>
      <c r="F39" s="129"/>
      <c r="G39" s="129"/>
      <c r="H39" s="426"/>
      <c r="I39" s="426">
        <f>H39*($H$37+100)/100</f>
        <v>0</v>
      </c>
      <c r="J39" s="118"/>
      <c r="K39" s="165">
        <v>150</v>
      </c>
      <c r="L39" s="337">
        <f>$I39*K39</f>
        <v>0</v>
      </c>
      <c r="M39" s="165">
        <v>150</v>
      </c>
      <c r="N39" s="791">
        <f>$I39*M39</f>
        <v>0</v>
      </c>
      <c r="O39" s="165">
        <v>150</v>
      </c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471.39797677989105</v>
      </c>
      <c r="M42" s="823"/>
      <c r="N42" s="786">
        <f>SUM(W45:W55)</f>
        <v>519.29070857870761</v>
      </c>
      <c r="O42" s="425"/>
      <c r="P42" s="325">
        <f>SUM(Z45:Z55)</f>
        <v>567.18344037752422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4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0.59</v>
      </c>
      <c r="J47" s="470">
        <f>IF($B47=0,0,VLOOKUP($B47,Arbeitsgänge!$B$27:$T$80,14))</f>
        <v>18.731923576</v>
      </c>
      <c r="K47" s="375">
        <v>2</v>
      </c>
      <c r="L47" s="337">
        <f t="shared" si="0"/>
        <v>37.463847152</v>
      </c>
      <c r="M47" s="375">
        <v>2</v>
      </c>
      <c r="N47" s="791">
        <f t="shared" si="1"/>
        <v>37.463847152</v>
      </c>
      <c r="O47" s="375">
        <v>2</v>
      </c>
      <c r="P47" s="337">
        <f t="shared" si="2"/>
        <v>37.463847152</v>
      </c>
      <c r="Q47" s="528"/>
      <c r="R47" s="1348">
        <f t="shared" si="3"/>
        <v>1.18</v>
      </c>
      <c r="S47" s="471" t="e">
        <f>K47*#REF!</f>
        <v>#REF!</v>
      </c>
      <c r="T47" s="258">
        <f t="shared" si="4"/>
        <v>37.463847152</v>
      </c>
      <c r="U47" s="1349">
        <f t="shared" si="5"/>
        <v>1.18</v>
      </c>
      <c r="V47" s="1350" t="e">
        <f>M47*#REF!</f>
        <v>#REF!</v>
      </c>
      <c r="W47" s="827">
        <f t="shared" si="6"/>
        <v>37.463847152</v>
      </c>
      <c r="X47" s="1351">
        <f t="shared" si="7"/>
        <v>1.18</v>
      </c>
      <c r="Y47" s="471" t="e">
        <f>O47*#REF!</f>
        <v>#REF!</v>
      </c>
      <c r="Z47" s="258">
        <f t="shared" si="8"/>
        <v>37.463847152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2</v>
      </c>
      <c r="L50" s="337">
        <f t="shared" si="0"/>
        <v>8.9458904751999988</v>
      </c>
      <c r="M50" s="375">
        <v>2</v>
      </c>
      <c r="N50" s="791">
        <f t="shared" si="1"/>
        <v>8.9458904751999988</v>
      </c>
      <c r="O50" s="375">
        <v>2</v>
      </c>
      <c r="P50" s="337">
        <f t="shared" si="2"/>
        <v>8.9458904751999988</v>
      </c>
      <c r="Q50" s="528"/>
      <c r="R50" s="1348">
        <f t="shared" si="3"/>
        <v>0.44</v>
      </c>
      <c r="S50" s="471" t="e">
        <f>K50*#REF!</f>
        <v>#REF!</v>
      </c>
      <c r="T50" s="258">
        <f t="shared" si="4"/>
        <v>8.9458904751999988</v>
      </c>
      <c r="U50" s="1349">
        <f t="shared" si="5"/>
        <v>0.44</v>
      </c>
      <c r="V50" s="1350" t="e">
        <f>M50*#REF!</f>
        <v>#REF!</v>
      </c>
      <c r="W50" s="827">
        <f t="shared" si="6"/>
        <v>8.9458904751999988</v>
      </c>
      <c r="X50" s="1351">
        <f t="shared" si="7"/>
        <v>0.44</v>
      </c>
      <c r="Y50" s="471" t="e">
        <f>O50*#REF!</f>
        <v>#REF!</v>
      </c>
      <c r="Z50" s="258">
        <f t="shared" si="8"/>
        <v>8.9458904751999988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45</v>
      </c>
      <c r="C51" s="104"/>
      <c r="D51" s="137"/>
      <c r="E51" s="8"/>
      <c r="F51" s="8"/>
      <c r="G51" s="731"/>
      <c r="H51" s="726" t="str">
        <f>IF($B51=0,0,VLOOKUP($B51,Arbeitsgänge!$B$27:$T$80,7))</f>
        <v>120 Kw</v>
      </c>
      <c r="I51" s="727">
        <f>IF($B51=0,0,VLOOKUP($B51,Arbeitsgänge!$B$27:$T$80,12))</f>
        <v>2.5</v>
      </c>
      <c r="J51" s="470">
        <f>IF($B51=0,0,VLOOKUP($B51,Arbeitsgänge!$B$27:$T$80,14))</f>
        <v>118.49907999999999</v>
      </c>
      <c r="K51" s="375">
        <f>L9/650</f>
        <v>1.2366863905325443</v>
      </c>
      <c r="L51" s="337">
        <f t="shared" si="0"/>
        <v>146.54619952662719</v>
      </c>
      <c r="M51" s="375">
        <f>N9/650</f>
        <v>1.4615384615384615</v>
      </c>
      <c r="N51" s="791">
        <f t="shared" si="1"/>
        <v>173.19096307692305</v>
      </c>
      <c r="O51" s="375">
        <f>P9/650</f>
        <v>1.6863905325443787</v>
      </c>
      <c r="P51" s="337">
        <f t="shared" si="2"/>
        <v>199.83572662721892</v>
      </c>
      <c r="Q51" s="528"/>
      <c r="R51" s="1348">
        <f t="shared" si="3"/>
        <v>3.0917159763313604</v>
      </c>
      <c r="S51" s="471" t="e">
        <f>K51*#REF!</f>
        <v>#REF!</v>
      </c>
      <c r="T51" s="258">
        <f t="shared" si="4"/>
        <v>146.54619952662719</v>
      </c>
      <c r="U51" s="1349">
        <f t="shared" si="5"/>
        <v>3.6538461538461537</v>
      </c>
      <c r="V51" s="1350" t="e">
        <f>M51*#REF!</f>
        <v>#REF!</v>
      </c>
      <c r="W51" s="827">
        <f t="shared" si="6"/>
        <v>173.19096307692305</v>
      </c>
      <c r="X51" s="1351">
        <f t="shared" si="7"/>
        <v>4.2159763313609471</v>
      </c>
      <c r="Y51" s="471" t="e">
        <f>O51*#REF!</f>
        <v>#REF!</v>
      </c>
      <c r="Z51" s="258">
        <f t="shared" si="8"/>
        <v>199.83572662721892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43</v>
      </c>
      <c r="C52" s="10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2.5</v>
      </c>
      <c r="J52" s="470">
        <f>IF($B52=0,0,VLOOKUP($B52,Arbeitsgänge!$B$27:$T$80,14))</f>
        <v>94.497542999999993</v>
      </c>
      <c r="K52" s="375">
        <f>L9/650</f>
        <v>1.2366863905325443</v>
      </c>
      <c r="L52" s="337">
        <f t="shared" si="0"/>
        <v>116.86382536686388</v>
      </c>
      <c r="M52" s="375">
        <f>N9/650</f>
        <v>1.4615384615384615</v>
      </c>
      <c r="N52" s="791">
        <f t="shared" si="1"/>
        <v>138.11179361538458</v>
      </c>
      <c r="O52" s="375">
        <f>P9/650</f>
        <v>1.6863905325443787</v>
      </c>
      <c r="P52" s="337">
        <f t="shared" si="2"/>
        <v>159.35976186390531</v>
      </c>
      <c r="Q52" s="528"/>
      <c r="R52" s="1348">
        <f t="shared" si="3"/>
        <v>3.0917159763313604</v>
      </c>
      <c r="S52" s="471" t="e">
        <f>K52*#REF!</f>
        <v>#REF!</v>
      </c>
      <c r="T52" s="258">
        <f t="shared" si="4"/>
        <v>116.86382536686388</v>
      </c>
      <c r="U52" s="1349">
        <f t="shared" si="5"/>
        <v>3.6538461538461537</v>
      </c>
      <c r="V52" s="1350" t="e">
        <f>M52*#REF!</f>
        <v>#REF!</v>
      </c>
      <c r="W52" s="827">
        <f t="shared" si="6"/>
        <v>138.11179361538458</v>
      </c>
      <c r="X52" s="1351">
        <f t="shared" si="7"/>
        <v>4.2159763313609471</v>
      </c>
      <c r="Y52" s="471" t="e">
        <f>O52*#REF!</f>
        <v>#REF!</v>
      </c>
      <c r="Z52" s="258">
        <f t="shared" si="8"/>
        <v>159.35976186390531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42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11.493431952662721</v>
      </c>
      <c r="L56" s="341"/>
      <c r="M56" s="797">
        <f>SUM($U$45:$U$55)</f>
        <v>12.617692307692307</v>
      </c>
      <c r="N56" s="798"/>
      <c r="O56" s="340">
        <f>SUM($X$45:$X$55)</f>
        <v>13.741952662721895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20.688177514792898</v>
      </c>
      <c r="L57" s="343"/>
      <c r="M57" s="799">
        <f>IF(M56+(M56*$G$57/100)&gt;M56+10,M56+10,M56+(M56*$G$57/100))</f>
        <v>22.617692307692309</v>
      </c>
      <c r="N57" s="800"/>
      <c r="O57" s="342">
        <f>IF(O56+(O56*$G$57/100)&gt;O56+10,O56+10,O56+(O56*$G$57/100))</f>
        <v>23.741952662721893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374.85</v>
      </c>
      <c r="M58" s="826"/>
      <c r="N58" s="786">
        <f>SUM(N60:N62)</f>
        <v>416.5</v>
      </c>
      <c r="O58" s="344"/>
      <c r="P58" s="325">
        <f>SUM(P60:P62)</f>
        <v>458.15000000000003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334</v>
      </c>
      <c r="E60" s="60"/>
      <c r="F60" s="60"/>
      <c r="G60" s="60"/>
      <c r="H60" s="3012">
        <v>350</v>
      </c>
      <c r="I60" s="3013">
        <f>H60*($H$58+100)/100</f>
        <v>416.5</v>
      </c>
      <c r="J60" s="400"/>
      <c r="K60" s="3014">
        <v>0.9</v>
      </c>
      <c r="L60" s="3015">
        <f>K60*I60</f>
        <v>374.85</v>
      </c>
      <c r="M60" s="3014">
        <v>1</v>
      </c>
      <c r="N60" s="3016">
        <f>M60*I60</f>
        <v>416.5</v>
      </c>
      <c r="O60" s="3014">
        <v>1.1000000000000001</v>
      </c>
      <c r="P60" s="3015">
        <f>O60*I60</f>
        <v>458.15000000000003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2303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0.13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40.817700000000002</v>
      </c>
      <c r="M65" s="1357"/>
      <c r="N65" s="786">
        <f>M66*$H66/100</f>
        <v>48.239100000000008</v>
      </c>
      <c r="O65" s="347"/>
      <c r="P65" s="325">
        <f>O66*$H66/100</f>
        <v>55.660499999999999</v>
      </c>
      <c r="Q65" s="529"/>
      <c r="R65" s="529"/>
      <c r="S65" s="529"/>
      <c r="T65" s="529"/>
      <c r="U65" s="529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3</v>
      </c>
      <c r="I66" s="74"/>
      <c r="J66" s="361" t="s">
        <v>266</v>
      </c>
      <c r="K66" s="3181">
        <f>K15*0.2</f>
        <v>1360.5900000000001</v>
      </c>
      <c r="L66" s="348"/>
      <c r="M66" s="3181">
        <f>M15*0.2</f>
        <v>1607.9700000000003</v>
      </c>
      <c r="N66" s="789"/>
      <c r="O66" s="3181">
        <f>O15*0.2</f>
        <v>1855.3500000000001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51181102362204722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5" r:id="rId4" name="Check Box 1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6" r:id="rId5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7" r:id="rId6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8" r:id="rId7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8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9" name="Check Box 6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10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2" r:id="rId11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12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13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5" r:id="rId14" name="Check Box 11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6" r:id="rId15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7" r:id="rId16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0</xdr:rowOff>
                  </from>
                  <to>
                    <xdr:col>15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8" r:id="rId17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0</xdr:rowOff>
                  </from>
                  <to>
                    <xdr:col>15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9" r:id="rId18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0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1" r:id="rId20" name="Drop Down 17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2" r:id="rId21" name="Drop Down 18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3" r:id="rId22" name="Drop Down 19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4" r:id="rId23" name="Drop Down 2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5" r:id="rId24" name="Drop Down 2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6" r:id="rId25" name="Drop Down 2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7" r:id="rId26" name="Drop Down 2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8" r:id="rId27" name="Drop Down 2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9" r:id="rId28" name="Drop Down 2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0" r:id="rId29" name="Drop Down 2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F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Z55" sqref="Z55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'21)Futterrüben-(a)'!J2</f>
        <v>2022</v>
      </c>
      <c r="K2" s="2504" t="s">
        <v>858</v>
      </c>
      <c r="L2" s="2502"/>
      <c r="M2" s="2505"/>
      <c r="N2" s="2529"/>
      <c r="O2" s="2530" t="str">
        <f>'21)Futterrüben-(a)'!M2</f>
        <v>Futterrüben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'21)Futterrüben-(a)'!H3</f>
        <v>Masserüben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'21)Futterrüben-(a)'!K5</f>
        <v>110</v>
      </c>
      <c r="N6" s="1735">
        <f>'21)Futterrüben-(a)'!M5</f>
        <v>130</v>
      </c>
      <c r="O6" s="1743">
        <f>'21)Futterrüben-(a)'!O5</f>
        <v>150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'21)Futterrüben-(a)'!K9</f>
        <v>104.5</v>
      </c>
      <c r="N7" s="1736">
        <f>'21)Futterrüben-(a)'!M9</f>
        <v>123.5</v>
      </c>
      <c r="O7" s="1744">
        <f>'21)Futterrüben-(a)'!O9</f>
        <v>142.5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'21)Futterrüben-(a)'!L9</f>
        <v>803.84615384615381</v>
      </c>
      <c r="N8" s="1737">
        <f>'21)Futterrüben-(a)'!N9</f>
        <v>950</v>
      </c>
      <c r="O8" s="1583">
        <f>'21)Futterrüben-(a)'!P9</f>
        <v>1096.1538461538462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'21)Futterrüben-(a)'!K11</f>
        <v>97.185000000000002</v>
      </c>
      <c r="N9" s="1562">
        <f>'21)Futterrüben-(a)'!M11</f>
        <v>114.855</v>
      </c>
      <c r="O9" s="1747">
        <f>'21)Futterrüben-(a)'!O11</f>
        <v>132.52500000000001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'21)Futterrüben-(a)'!L11</f>
        <v>647.9</v>
      </c>
      <c r="N10" s="1582">
        <f>'21)Futterrüben-(a)'!N11</f>
        <v>765.7</v>
      </c>
      <c r="O10" s="2014">
        <f>'21)Futterrüben-(a)'!P11</f>
        <v>883.50000000000011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'21)Futterrüben-(a)'!L12</f>
        <v>92.55714285714285</v>
      </c>
      <c r="N11" s="1818">
        <f>'21)Futterrüben-(a)'!N12</f>
        <v>109.38571428571429</v>
      </c>
      <c r="O11" s="1819">
        <f>'21)Futterrüben-(a)'!P12</f>
        <v>126.21428571428572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'21)Futterrüben-(a)'!K15</f>
        <v>6802.9500000000007</v>
      </c>
      <c r="N12" s="1738">
        <f>'21)Futterrüben-(a)'!M15</f>
        <v>8039.85</v>
      </c>
      <c r="O12" s="1745">
        <f>'21)Futterrüben-(a)'!O15</f>
        <v>9276.75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'21)Futterrüben-(a)'!K16</f>
        <v>11338.25</v>
      </c>
      <c r="N13" s="2077">
        <f>'21)Futterrüben-(a)'!M16</f>
        <v>13399.750000000002</v>
      </c>
      <c r="O13" s="2078">
        <f>'21)Futterrüben-(a)'!O16</f>
        <v>15461.250000000002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'21)Futterrüben-(a)'!L24</f>
        <v>270</v>
      </c>
      <c r="N15" s="3338">
        <f>'21)Futterrüben-(a)'!N24</f>
        <v>270</v>
      </c>
      <c r="O15" s="3341">
        <f>'21)Futterrüben-(a)'!P24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'21)Futterrüben-(a)'!L18</f>
        <v>0</v>
      </c>
      <c r="N16" s="1736">
        <f>'21)Futterrüben-(a)'!N18</f>
        <v>0</v>
      </c>
      <c r="O16" s="3343">
        <f>'21)Futterrüben-(a)'!P18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'21)Futterrüben-(a)'!L27</f>
        <v>428</v>
      </c>
      <c r="N19" s="2072">
        <f>'21)Futterrüben-(a)'!N27</f>
        <v>428</v>
      </c>
      <c r="O19" s="2073">
        <f>'21)Futterrüben-(a)'!P27</f>
        <v>428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'21)Futterrüben-(a)'!L31</f>
        <v>714.76352383333324</v>
      </c>
      <c r="N20" s="1567">
        <f>'21)Futterrüben-(a)'!N31</f>
        <v>844.72052816666655</v>
      </c>
      <c r="O20" s="1574">
        <f>'21)Futterrüben-(a)'!P31</f>
        <v>974.67753249999987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'21)Futterrüben-(a)'!L37</f>
        <v>0</v>
      </c>
      <c r="N21" s="1567">
        <f>'21)Futterrüben-(a)'!N37</f>
        <v>0</v>
      </c>
      <c r="O21" s="1574">
        <f>'21)Futterrüben-(a)'!P37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'21)Futterrüben-(a)'!L65</f>
        <v>40.817700000000002</v>
      </c>
      <c r="N22" s="1567">
        <f>'21)Futterrüben-(a)'!N65</f>
        <v>48.239100000000008</v>
      </c>
      <c r="O22" s="1574">
        <f>'21)Futterrüben-(a)'!P65</f>
        <v>55.660499999999999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'21)Futterrüben-(a)'!L67</f>
        <v>59.5</v>
      </c>
      <c r="N23" s="1567">
        <f>'21)Futterrüben-(a)'!N67</f>
        <v>59.5</v>
      </c>
      <c r="O23" s="1574">
        <f>'21)Futterrüben-(a)'!P67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'21)Futterrüben-(a)'!L42</f>
        <v>471.39797677989105</v>
      </c>
      <c r="N24" s="1567">
        <f>'21)Futterrüben-(a)'!N42</f>
        <v>519.29070857870761</v>
      </c>
      <c r="O24" s="1574">
        <f>'21)Futterrüben-(a)'!P42</f>
        <v>567.18344037752422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'21)Futterrüben-(a)'!L58</f>
        <v>374.85</v>
      </c>
      <c r="N25" s="1567">
        <f>'21)Futterrüben-(a)'!N58</f>
        <v>416.5</v>
      </c>
      <c r="O25" s="1574">
        <f>'21)Futterrüben-(a)'!P58</f>
        <v>458.15000000000003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'21)Futterrüben-(a)'!L63</f>
        <v>0</v>
      </c>
      <c r="N26" s="1980">
        <f>'21)Futterrüben-(a)'!N63</f>
        <v>0</v>
      </c>
      <c r="O26" s="1981">
        <f>'21)Futterrüben-(a)'!P63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2089.3292006132242</v>
      </c>
      <c r="N27" s="1775">
        <f>SUM(N19:N26)</f>
        <v>2316.2503367453742</v>
      </c>
      <c r="O27" s="2055">
        <f>SUM(O19:O26)</f>
        <v>2543.1714728775241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-2089.3292006132242</v>
      </c>
      <c r="N28" s="2060">
        <f>-N27</f>
        <v>-2316.2503367453742</v>
      </c>
      <c r="O28" s="2061">
        <f>-O27</f>
        <v>-2543.1714728775241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M27*'21)Futterrüben-(a)'!$L$70*'21)Futterrüben-(a)'!$P$70/12/100</f>
        <v>13.058307503832649</v>
      </c>
      <c r="N30" s="1980">
        <f>N27*'21)Futterrüben-(a)'!$L$70*'21)Futterrüben-(a)'!$P$70/12/100</f>
        <v>14.47656460465859</v>
      </c>
      <c r="O30" s="1981">
        <f>O27*'21)Futterrüben-(a)'!$L$70*'21)Futterrüben-(a)'!$P$70/12/100</f>
        <v>15.894821705484526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-1832.3875081170568</v>
      </c>
      <c r="N31" s="1769">
        <f>N28+N29-N30</f>
        <v>-2060.7269013500327</v>
      </c>
      <c r="O31" s="1776">
        <f>O28+O29-O30</f>
        <v>-2289.0662945830086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-0.26935190000177228</v>
      </c>
      <c r="N32" s="1561">
        <f>IF(N12=0,0,N31/N12)</f>
        <v>-0.25631409806775407</v>
      </c>
      <c r="O32" s="2047">
        <f>IF(O12=0,0,O31/O12)</f>
        <v>-0.24675304331614073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-0.16161114000106336</v>
      </c>
      <c r="N33" s="1576">
        <f>IF(N13=0,0,N31/N13)</f>
        <v>-0.15378845884065243</v>
      </c>
      <c r="O33" s="2052">
        <f>IF(O13=0,0,O31/O13)</f>
        <v>-0.14805182598968442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'21)Futterrüben-(a)'!K57</f>
        <v>20.688177514792898</v>
      </c>
      <c r="N35" s="2396">
        <f>'21)Futterrüben-(a)'!M57</f>
        <v>22.617692307692309</v>
      </c>
      <c r="O35" s="2398">
        <f>'21)Futterrüben-(a)'!O57</f>
        <v>23.741952662721893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'21)Futterrüben-(a)'!L10</f>
        <v>114.83516483516482</v>
      </c>
      <c r="N36" s="2431">
        <f>'21)Futterrüben-(a)'!N10</f>
        <v>135.71428571428569</v>
      </c>
      <c r="O36" s="2432">
        <f>'21)Futterrüben-(a)'!P10</f>
        <v>156.5934065934066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362.04310650887572</v>
      </c>
      <c r="N37" s="1567">
        <f>$J$37*N35</f>
        <v>395.80961538461543</v>
      </c>
      <c r="O37" s="1574">
        <f>$J$37*O35</f>
        <v>415.48417159763312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558.00320512820508</v>
      </c>
      <c r="N38" s="2433">
        <f>N36*$I$36</f>
        <v>659.45833333333326</v>
      </c>
      <c r="O38" s="2429">
        <f>O36*$I$36</f>
        <v>760.91346153846155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1902.7894556880067</v>
      </c>
      <c r="N43" s="1991">
        <f>SUM(N37:N42)</f>
        <v>1728.0110927688745</v>
      </c>
      <c r="O43" s="1994">
        <f>SUM(O37:O42)</f>
        <v>1849.1407771870204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4005.1769638050637</v>
      </c>
      <c r="N46" s="2041">
        <f>N27+N30+N43</f>
        <v>4058.7379941189074</v>
      </c>
      <c r="O46" s="2080">
        <f>O27+O30+O43</f>
        <v>4408.207071770029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-4005.1769638050637</v>
      </c>
      <c r="N47" s="2227">
        <f>N45-N46</f>
        <v>-4058.7379941189074</v>
      </c>
      <c r="O47" s="2228">
        <f>O45-O46</f>
        <v>-4408.207071770029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-3735.1769638050637</v>
      </c>
      <c r="N49" s="1991">
        <f>N47+N48</f>
        <v>-3788.7379941189074</v>
      </c>
      <c r="O49" s="1994">
        <f>O47+O48</f>
        <v>-4138.207071770029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3735.1769638050637</v>
      </c>
      <c r="N51" s="1771">
        <f>N46-N48</f>
        <v>3788.7379941189074</v>
      </c>
      <c r="O51" s="3358">
        <f>O46-O48</f>
        <v>4138.207071770029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5.7650516496451054</v>
      </c>
      <c r="N52" s="2335">
        <f>IF(N10=0,0,N$51/N10)</f>
        <v>4.948071038420931</v>
      </c>
      <c r="O52" s="2336">
        <f>IF(O10=0,0,O$51/O10)</f>
        <v>4.6838789720090874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38.433677664300703</v>
      </c>
      <c r="N53" s="2335">
        <f>IF(N9=0,0,N$51/N9)</f>
        <v>32.987140256139547</v>
      </c>
      <c r="O53" s="2336">
        <f>IF(O9=0,0,O$51/O9)</f>
        <v>31.225859813393917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40.355361547515741</v>
      </c>
      <c r="N54" s="2335">
        <f t="shared" si="3"/>
        <v>34.63649726894652</v>
      </c>
      <c r="O54" s="2336">
        <f t="shared" si="3"/>
        <v>32.787152804063609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0.5490525380614385</v>
      </c>
      <c r="N55" s="2219">
        <f t="shared" si="3"/>
        <v>0.47124486080199346</v>
      </c>
      <c r="O55" s="2220">
        <f t="shared" si="3"/>
        <v>0.44608371161991311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0.32943152283686317</v>
      </c>
      <c r="N56" s="2219">
        <f>IF(N13=0,0,N$51/N13)</f>
        <v>0.28274691648119604</v>
      </c>
      <c r="O56" s="2220">
        <f>IF(O13=0,0,O$51/O13)</f>
        <v>0.26765022697194785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3177.1737586768586</v>
      </c>
      <c r="N58" s="1769">
        <f>N51-N38</f>
        <v>3129.2796607855744</v>
      </c>
      <c r="O58" s="1776">
        <f>O51-O38</f>
        <v>3377.2936102315675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30.403576638056062</v>
      </c>
      <c r="N59" s="3416">
        <f>N58/N7</f>
        <v>25.338296848466189</v>
      </c>
      <c r="O59" s="3417">
        <f>O58/O7</f>
        <v>23.700306036712753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0.46702882700546944</v>
      </c>
      <c r="N60" s="2130">
        <f>IF(N12=0,0,N$58/N12)</f>
        <v>0.3892211497460244</v>
      </c>
      <c r="O60" s="2217">
        <f>IF(O12=0,0,O$58/O12)</f>
        <v>0.364060000563944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0.12973022972374151</v>
      </c>
      <c r="N61" s="2130">
        <f>N58/$N$12*10/$F$57</f>
        <v>0.10811698604056234</v>
      </c>
      <c r="O61" s="3422">
        <f>O58/$O$12*10/$F$57</f>
        <v>0.1011277779344289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0.28021729620328167</v>
      </c>
      <c r="N62" s="1874">
        <f>IF(N13=0,0,N$58/N13)</f>
        <v>0.23353268984761461</v>
      </c>
      <c r="O62" s="2032">
        <f>IF(O13=0,0,O$58/O13)</f>
        <v>0.21843600033836638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1256.1395313371659</v>
      </c>
      <c r="N64" s="1772">
        <f>SUM(N19:N23)+N30</f>
        <v>1394.9361927713251</v>
      </c>
      <c r="O64" s="1773">
        <f>SUM(O19:O23)+O30</f>
        <v>1533.7328542054843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0.18464629775864377</v>
      </c>
      <c r="N65" s="1874">
        <f>N64/N12</f>
        <v>0.17350276345595067</v>
      </c>
      <c r="O65" s="2032">
        <f>O64/O12</f>
        <v>0.16533083830064238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1731.1069591385092</v>
      </c>
      <c r="N66" s="2038">
        <f>N24+N25+N26+N39+N37</f>
        <v>1806.5234680142489</v>
      </c>
      <c r="O66" s="2039">
        <f>O24+O25+O26+O39+O37</f>
        <v>1915.7407560260833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0.25446416027436758</v>
      </c>
      <c r="N67" s="2166">
        <f>N66/N12</f>
        <v>0.2246961657262572</v>
      </c>
      <c r="O67" s="2187">
        <f>O66/O12</f>
        <v>0.20650990444132733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G3:K3"/>
    <mergeCell ref="B15:B17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61&amp;9
&amp;R&amp;12&amp;F
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7">
    <pageSetUpPr fitToPage="1"/>
  </sheetPr>
  <dimension ref="A1:CA73"/>
  <sheetViews>
    <sheetView showGridLines="0" showZeros="0" zoomScaleNormal="100" workbookViewId="0">
      <pane xSplit="10" ySplit="5" topLeftCell="K18" activePane="bottomRight" state="frozen"/>
      <selection activeCell="G1" sqref="G1:I1"/>
      <selection pane="topRight" activeCell="G1" sqref="G1:I1"/>
      <selection pane="bottomLeft" activeCell="G1" sqref="G1:I1"/>
      <selection pane="bottomRight" activeCell="H53" sqref="H53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5" width="7.5703125" style="7" customWidth="1"/>
    <col min="6" max="6" width="10.1406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5">
        <f>Deckbl!D27</f>
        <v>44635</v>
      </c>
      <c r="I2" s="2496" t="s">
        <v>1052</v>
      </c>
      <c r="J2" s="2493">
        <f>Ausglleist!AA3</f>
        <v>2022</v>
      </c>
      <c r="K2" s="2494" t="s">
        <v>858</v>
      </c>
      <c r="L2" s="1399"/>
      <c r="M2" s="4316" t="s">
        <v>126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2" t="s">
        <v>1452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25</v>
      </c>
      <c r="L5" s="417"/>
      <c r="M5" s="370">
        <v>32</v>
      </c>
      <c r="N5" s="2261"/>
      <c r="O5" s="370">
        <v>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/>
      <c r="M6" s="702">
        <v>5</v>
      </c>
      <c r="N6" s="706"/>
      <c r="O6" s="702">
        <v>5</v>
      </c>
      <c r="P6" s="706"/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12</v>
      </c>
      <c r="L7" s="706">
        <v>12</v>
      </c>
      <c r="M7" s="702">
        <v>12</v>
      </c>
      <c r="N7" s="706">
        <v>12</v>
      </c>
      <c r="O7" s="702">
        <v>12</v>
      </c>
      <c r="P7" s="706">
        <v>12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3.5</v>
      </c>
      <c r="L8" s="707">
        <v>3.5</v>
      </c>
      <c r="M8" s="703">
        <v>3.5</v>
      </c>
      <c r="N8" s="707">
        <v>3.5</v>
      </c>
      <c r="O8" s="703">
        <v>3.5</v>
      </c>
      <c r="P8" s="707">
        <v>3.5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23.75</v>
      </c>
      <c r="L9" s="721">
        <f>IF(K7=0,0,K9/K7*100)</f>
        <v>197.91666666666669</v>
      </c>
      <c r="M9" s="809">
        <f>M5*(100-M6)/100</f>
        <v>30.4</v>
      </c>
      <c r="N9" s="810">
        <f>IF(M7=0,0,M9/M7*100)</f>
        <v>253.33333333333331</v>
      </c>
      <c r="O9" s="720">
        <f>O5*(100-O6)/100</f>
        <v>38</v>
      </c>
      <c r="P9" s="721">
        <f>IF(O7=0,0,O9/O7*100)</f>
        <v>316.66666666666663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IF(L6=0,0,1/K8*L9)</f>
        <v>0</v>
      </c>
      <c r="M10" s="286"/>
      <c r="N10" s="811">
        <f>IF(N6=0,0,1/M8*N9)</f>
        <v>0</v>
      </c>
      <c r="O10" s="173"/>
      <c r="P10" s="722">
        <f>IF(N6=0,0,1/O8*P9)</f>
        <v>0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23.75</v>
      </c>
      <c r="L11" s="709">
        <f>IF(L7=0,0,K11/L7*100)</f>
        <v>197.91666666666669</v>
      </c>
      <c r="M11" s="812">
        <f>M9*(100-N6)/100</f>
        <v>30.4</v>
      </c>
      <c r="N11" s="813">
        <f>IF(N7=0,0,M11/N7*100)</f>
        <v>253.33333333333331</v>
      </c>
      <c r="O11" s="708">
        <f>O9*(100-P6)/100</f>
        <v>38</v>
      </c>
      <c r="P11" s="709">
        <f>IF(P7=0,0,O11/P7*100)</f>
        <v>316.66666666666663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IF(L6=0,0,1/L8*L11)</f>
        <v>0</v>
      </c>
      <c r="M12" s="801"/>
      <c r="N12" s="814">
        <f>IF(N6=0,0,1/N8*N11)</f>
        <v>0</v>
      </c>
      <c r="O12" s="487"/>
      <c r="P12" s="502">
        <f>IF(P6=0,0,1/P8*P11)</f>
        <v>0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6.3</v>
      </c>
      <c r="L13" s="418"/>
      <c r="M13" s="499">
        <v>6.3</v>
      </c>
      <c r="N13" s="784"/>
      <c r="O13" s="499">
        <v>6.3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10.5</v>
      </c>
      <c r="L14" s="418"/>
      <c r="M14" s="815">
        <f>M13/$G14</f>
        <v>10.5</v>
      </c>
      <c r="N14" s="784"/>
      <c r="O14" s="513">
        <f>O13/$G14</f>
        <v>10.5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1496.25</v>
      </c>
      <c r="L15" s="418"/>
      <c r="M15" s="816">
        <f>M$11*M13*10</f>
        <v>1915.1999999999998</v>
      </c>
      <c r="N15" s="784"/>
      <c r="O15" s="497">
        <f>O$11*O13*10</f>
        <v>2394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2493.75</v>
      </c>
      <c r="L16" s="417"/>
      <c r="M16" s="817">
        <f>M$11*M14*10</f>
        <v>3192</v>
      </c>
      <c r="N16" s="428"/>
      <c r="O16" s="498">
        <f>O$11*O14*10</f>
        <v>3990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4066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7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7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7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7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74.900000000000006</v>
      </c>
      <c r="M27" s="804"/>
      <c r="N27" s="786">
        <f>SUM(N29:N30)</f>
        <v>74.900000000000006</v>
      </c>
      <c r="O27" s="330"/>
      <c r="P27" s="325">
        <f>SUM(P29:P30)</f>
        <v>74.900000000000006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3.5</v>
      </c>
      <c r="I29" s="711">
        <f>H29*($H$27+100)/100</f>
        <v>3.7450000000000001</v>
      </c>
      <c r="J29" s="91"/>
      <c r="K29" s="440">
        <v>20</v>
      </c>
      <c r="L29" s="337">
        <f>$I29*K29</f>
        <v>74.900000000000006</v>
      </c>
      <c r="M29" s="440">
        <v>20</v>
      </c>
      <c r="N29" s="791">
        <f>$I29*M29</f>
        <v>74.900000000000006</v>
      </c>
      <c r="O29" s="440">
        <v>20</v>
      </c>
      <c r="P29" s="337">
        <f>$I29*O29</f>
        <v>74.900000000000006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145.43411458333333</v>
      </c>
      <c r="M31" s="819"/>
      <c r="N31" s="786">
        <f>SUM(N33:N36)-N17</f>
        <v>186.1556666666666</v>
      </c>
      <c r="O31" s="334"/>
      <c r="P31" s="325">
        <f>SUM(P33:P36)-P17</f>
        <v>232.6945833333333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1.75</v>
      </c>
      <c r="H33" s="386"/>
      <c r="I33"/>
      <c r="J33" s="172"/>
      <c r="K33" s="336">
        <f>G33*$K$9+H33</f>
        <v>41.5625</v>
      </c>
      <c r="L33" s="337">
        <f>K33*$E33</f>
        <v>71.386364583333332</v>
      </c>
      <c r="M33" s="820">
        <f>G33*$M$9+H33</f>
        <v>53.199999999999996</v>
      </c>
      <c r="N33" s="791">
        <f>M33*$E33</f>
        <v>91.37454666666666</v>
      </c>
      <c r="O33" s="336">
        <f>G33*$O$9+H33</f>
        <v>66.5</v>
      </c>
      <c r="P33" s="337">
        <f>O33*$E33</f>
        <v>114.21818333333333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0.55000000000000004</v>
      </c>
      <c r="H34" s="386"/>
      <c r="I34"/>
      <c r="J34" s="172"/>
      <c r="K34" s="336">
        <f>G34*$K$9+H34</f>
        <v>13.062500000000002</v>
      </c>
      <c r="L34" s="337">
        <f>K34*$E34</f>
        <v>14.767156249999999</v>
      </c>
      <c r="M34" s="820">
        <f>G34*$M$9+H34</f>
        <v>16.72</v>
      </c>
      <c r="N34" s="791">
        <f>M34*$E34</f>
        <v>18.901959999999995</v>
      </c>
      <c r="O34" s="336">
        <f>G34*$O$9+H34</f>
        <v>20.900000000000002</v>
      </c>
      <c r="P34" s="337">
        <f>O34*$E34</f>
        <v>23.62745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2.25</v>
      </c>
      <c r="H35" s="386"/>
      <c r="I35"/>
      <c r="J35" s="172"/>
      <c r="K35" s="336">
        <f>G35*$K$9+H35</f>
        <v>53.4375</v>
      </c>
      <c r="L35" s="337">
        <f>K35*$E35</f>
        <v>56.171718749999997</v>
      </c>
      <c r="M35" s="820">
        <f>G35*$M$9+H35</f>
        <v>68.399999999999991</v>
      </c>
      <c r="N35" s="791">
        <f>M35*$E35</f>
        <v>71.899799999999985</v>
      </c>
      <c r="O35" s="336">
        <f>G35*$O$9+H35</f>
        <v>85.5</v>
      </c>
      <c r="P35" s="337">
        <f>O35*$E35</f>
        <v>89.874749999999992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0.22</v>
      </c>
      <c r="H36" s="387"/>
      <c r="I36" s="36"/>
      <c r="J36" s="36"/>
      <c r="K36" s="338">
        <f>G36*$K$9+H36</f>
        <v>5.2249999999999996</v>
      </c>
      <c r="L36" s="333">
        <f>K36*$E36</f>
        <v>3.1088749999999998</v>
      </c>
      <c r="M36" s="821">
        <f>G36*$M$9+H36</f>
        <v>6.6879999999999997</v>
      </c>
      <c r="N36" s="792">
        <f>M36*$E36</f>
        <v>3.9793599999999998</v>
      </c>
      <c r="O36" s="338">
        <f>G36*$O$9+H36</f>
        <v>8.36</v>
      </c>
      <c r="P36" s="333">
        <f>O36*$E36</f>
        <v>4.9741999999999997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185.33812066000002</v>
      </c>
      <c r="M42" s="823"/>
      <c r="N42" s="786">
        <f>SUM(W45:W55)</f>
        <v>215.02314876</v>
      </c>
      <c r="O42" s="425"/>
      <c r="P42" s="325">
        <f>SUM(Z45:Z55)</f>
        <v>248.94889515999998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8</v>
      </c>
      <c r="C45" s="104"/>
      <c r="D45" s="137"/>
      <c r="E45" s="8"/>
      <c r="F45" s="8"/>
      <c r="G45" s="731"/>
      <c r="H45" s="726" t="str">
        <f>IF($B45=0,0,VLOOKUP($B45,Arbeitsgänge!$B$27:$T$80,7))</f>
        <v>120 Kw</v>
      </c>
      <c r="I45" s="727">
        <f>IF($B45=0,0,VLOOKUP($B45,Arbeitsgänge!$B$27:$T$80,12))</f>
        <v>1.17</v>
      </c>
      <c r="J45" s="470">
        <f>IF($B45=0,0,VLOOKUP($B45,Arbeitsgänge!$B$27:$T$80,14))</f>
        <v>79.320163159999993</v>
      </c>
      <c r="K45" s="374">
        <v>1</v>
      </c>
      <c r="L45" s="337">
        <f t="shared" ref="L45:L55" si="0">K45*$J45</f>
        <v>79.320163159999993</v>
      </c>
      <c r="M45" s="374">
        <v>1</v>
      </c>
      <c r="N45" s="791">
        <f t="shared" ref="N45:N55" si="1">M45*$J45</f>
        <v>79.320163159999993</v>
      </c>
      <c r="O45" s="374">
        <v>1</v>
      </c>
      <c r="P45" s="337">
        <f t="shared" ref="P45:P55" si="2">O45*$J45</f>
        <v>79.320163159999993</v>
      </c>
      <c r="Q45" s="528"/>
      <c r="R45" s="1344">
        <f t="shared" ref="R45:R55" si="3">$I45*K45</f>
        <v>1.17</v>
      </c>
      <c r="S45" s="535" t="e">
        <f>K45*#REF!</f>
        <v>#REF!</v>
      </c>
      <c r="T45" s="258">
        <f t="shared" ref="T45:T55" si="4">K45*$J45</f>
        <v>79.320163159999993</v>
      </c>
      <c r="U45" s="1345">
        <f t="shared" ref="U45:U55" si="5">$I45*M45</f>
        <v>1.17</v>
      </c>
      <c r="V45" s="1346" t="e">
        <f>M45*#REF!</f>
        <v>#REF!</v>
      </c>
      <c r="W45" s="827">
        <f t="shared" ref="W45:W55" si="6">M45*$J45</f>
        <v>79.320163159999993</v>
      </c>
      <c r="X45" s="1347">
        <f t="shared" ref="X45:X55" si="7">$I45*O45</f>
        <v>1.17</v>
      </c>
      <c r="Y45" s="535" t="e">
        <f>O45*#REF!</f>
        <v>#REF!</v>
      </c>
      <c r="Z45" s="258">
        <f t="shared" ref="Z45:Z55" si="8">O45*$J45</f>
        <v>79.320163159999993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34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1.3</v>
      </c>
      <c r="J46" s="470">
        <f>IF($B46=0,0,VLOOKUP($B46,Arbeitsgänge!$B$27:$T$80,14))</f>
        <v>64.280361600000006</v>
      </c>
      <c r="K46" s="375">
        <f>L9/120</f>
        <v>1.6493055555555558</v>
      </c>
      <c r="L46" s="337">
        <f t="shared" si="0"/>
        <v>106.01795750000002</v>
      </c>
      <c r="M46" s="375">
        <f>N9/120</f>
        <v>2.1111111111111112</v>
      </c>
      <c r="N46" s="791">
        <f t="shared" si="1"/>
        <v>135.70298560000001</v>
      </c>
      <c r="O46" s="375">
        <f>P9/120</f>
        <v>2.6388888888888884</v>
      </c>
      <c r="P46" s="337">
        <f t="shared" si="2"/>
        <v>169.62873199999999</v>
      </c>
      <c r="Q46" s="528"/>
      <c r="R46" s="1348">
        <f t="shared" si="3"/>
        <v>2.1440972222222228</v>
      </c>
      <c r="S46" s="471" t="e">
        <f>K46*#REF!</f>
        <v>#REF!</v>
      </c>
      <c r="T46" s="258">
        <f t="shared" si="4"/>
        <v>106.01795750000002</v>
      </c>
      <c r="U46" s="1349">
        <f t="shared" si="5"/>
        <v>2.7444444444444445</v>
      </c>
      <c r="V46" s="1350" t="e">
        <f>M46*#REF!</f>
        <v>#REF!</v>
      </c>
      <c r="W46" s="827">
        <f t="shared" si="6"/>
        <v>135.70298560000001</v>
      </c>
      <c r="X46" s="1351">
        <f t="shared" si="7"/>
        <v>3.4305555555555549</v>
      </c>
      <c r="Y46" s="471" t="e">
        <f>O46*#REF!</f>
        <v>#REF!</v>
      </c>
      <c r="Z46" s="258">
        <f t="shared" si="8"/>
        <v>169.62873199999999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46</v>
      </c>
      <c r="C47" s="104"/>
      <c r="D47" s="137"/>
      <c r="E47" s="8"/>
      <c r="F47" s="8"/>
      <c r="G47" s="731"/>
      <c r="H47" s="726">
        <f>IF($B47=0,0,VLOOKUP($B47,Arbeitsgänge!$B$27:$T$80,7))</f>
        <v>0</v>
      </c>
      <c r="I47" s="727">
        <f>IF($B47=0,0,VLOOKUP($B47,Arbeitsgänge!$B$27:$T$80,12))</f>
        <v>0</v>
      </c>
      <c r="J47" s="470">
        <f>IF($B47=0,0,VLOOKUP($B47,Arbeitsgänge!$B$27:$T$80,14))</f>
        <v>0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52</v>
      </c>
      <c r="C48" s="104"/>
      <c r="D48" s="137"/>
      <c r="E48" s="8"/>
      <c r="F48" s="8"/>
      <c r="G48" s="731"/>
      <c r="H48" s="726">
        <f>IF($B48=0,0,VLOOKUP($B48,Arbeitsgänge!$B$27:$T$80,7))</f>
        <v>0</v>
      </c>
      <c r="I48" s="727">
        <f>IF($B48=0,0,VLOOKUP($B48,Arbeitsgänge!$B$27:$T$80,12))</f>
        <v>0</v>
      </c>
      <c r="J48" s="470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52</v>
      </c>
      <c r="C49" s="104"/>
      <c r="D49" s="137"/>
      <c r="E49" s="8"/>
      <c r="F49" s="8"/>
      <c r="G49" s="731"/>
      <c r="H49" s="726">
        <f>IF($B49=0,0,VLOOKUP($B49,Arbeitsgänge!$B$27:$T$80,7))</f>
        <v>0</v>
      </c>
      <c r="I49" s="727">
        <f>IF($B49=0,0,VLOOKUP($B49,Arbeitsgänge!$B$27:$T$80,12))</f>
        <v>0</v>
      </c>
      <c r="J49" s="470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52</v>
      </c>
      <c r="C50" s="10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52</v>
      </c>
      <c r="C51" s="10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3.3140972222222227</v>
      </c>
      <c r="L56" s="341"/>
      <c r="M56" s="797">
        <f>SUM($U$45:$U$55)</f>
        <v>3.9144444444444444</v>
      </c>
      <c r="N56" s="798"/>
      <c r="O56" s="340">
        <f>SUM($X$45:$X$55)</f>
        <v>4.6005555555555553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5.9653750000000008</v>
      </c>
      <c r="L57" s="343"/>
      <c r="M57" s="799">
        <f>IF(M56+(M56*$G$57/100)&gt;M56+10,M56+10,M56+(M56*$G$57/100))</f>
        <v>7.0460000000000003</v>
      </c>
      <c r="N57" s="800"/>
      <c r="O57" s="342">
        <f>IF(O56+(O56*$G$57/100)&gt;O56+10,O56+10,O56+(O56*$G$57/100))</f>
        <v>8.2809999999999988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0</v>
      </c>
      <c r="M58" s="826"/>
      <c r="N58" s="786">
        <f>SUM(N60:N62)</f>
        <v>0</v>
      </c>
      <c r="O58" s="344"/>
      <c r="P58" s="325">
        <f>SUM(P60:P62)</f>
        <v>0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/>
      <c r="E60" s="60"/>
      <c r="F60" s="60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2303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44"/>
      <c r="X62" s="528" t="s">
        <v>1149</v>
      </c>
      <c r="Y62" s="2597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0.12</v>
      </c>
      <c r="W63" s="79"/>
      <c r="X63" s="79" t="s">
        <v>356</v>
      </c>
      <c r="Y63" s="2602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832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79"/>
      <c r="X64" s="2753">
        <v>2.2400000000000002</v>
      </c>
      <c r="Y64" s="3129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529"/>
      <c r="T65" s="529"/>
      <c r="U65" s="529"/>
      <c r="V65" s="3008">
        <v>0.75</v>
      </c>
      <c r="W65" s="2598"/>
      <c r="X65" s="3120" t="s">
        <v>600</v>
      </c>
      <c r="Y65" s="259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81"/>
      <c r="L66" s="348"/>
      <c r="M66" s="381"/>
      <c r="N66" s="789"/>
      <c r="O66" s="381"/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Drop Down 16">
              <controlPr defaultSize="0" autoLine="0" autoPict="0">
                <anchor moveWithCells="1">
                  <from>
                    <xdr:col>2</xdr:col>
                    <xdr:colOff>28575</xdr:colOff>
                    <xdr:row>44</xdr:row>
                    <xdr:rowOff>9525</xdr:rowOff>
                  </from>
                  <to>
                    <xdr:col>7</xdr:col>
                    <xdr:colOff>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Drop Down 17">
              <controlPr defaultSize="0" autoLine="0" autoPict="0">
                <anchor moveWithCells="1">
                  <from>
                    <xdr:col>2</xdr:col>
                    <xdr:colOff>28575</xdr:colOff>
                    <xdr:row>45</xdr:row>
                    <xdr:rowOff>9525</xdr:rowOff>
                  </from>
                  <to>
                    <xdr:col>7</xdr:col>
                    <xdr:colOff>0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Drop Down 18">
              <controlPr defaultSize="0" autoLine="0" autoPict="0">
                <anchor moveWithCells="1">
                  <from>
                    <xdr:col>2</xdr:col>
                    <xdr:colOff>28575</xdr:colOff>
                    <xdr:row>45</xdr:row>
                    <xdr:rowOff>180975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Drop Down 19">
              <controlPr defaultSize="0" autoLine="0" autoPict="0">
                <anchor moveWithCells="1">
                  <from>
                    <xdr:col>2</xdr:col>
                    <xdr:colOff>28575</xdr:colOff>
                    <xdr:row>46</xdr:row>
                    <xdr:rowOff>171450</xdr:rowOff>
                  </from>
                  <to>
                    <xdr:col>7</xdr:col>
                    <xdr:colOff>0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23" name="Drop Down 20">
              <controlPr defaultSize="0" autoLine="0" autoPict="0">
                <anchor moveWithCells="1">
                  <from>
                    <xdr:col>2</xdr:col>
                    <xdr:colOff>28575</xdr:colOff>
                    <xdr:row>47</xdr:row>
                    <xdr:rowOff>161925</xdr:rowOff>
                  </from>
                  <to>
                    <xdr:col>7</xdr:col>
                    <xdr:colOff>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24" name="Drop Down 21">
              <controlPr defaultSize="0" autoLine="0" autoPict="0">
                <anchor moveWithCells="1">
                  <from>
                    <xdr:col>2</xdr:col>
                    <xdr:colOff>28575</xdr:colOff>
                    <xdr:row>48</xdr:row>
                    <xdr:rowOff>142875</xdr:rowOff>
                  </from>
                  <to>
                    <xdr:col>7</xdr:col>
                    <xdr:colOff>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25" name="Drop Down 22">
              <controlPr defaultSize="0" autoLine="0" autoPict="0">
                <anchor moveWithCells="1">
                  <from>
                    <xdr:col>2</xdr:col>
                    <xdr:colOff>28575</xdr:colOff>
                    <xdr:row>49</xdr:row>
                    <xdr:rowOff>142875</xdr:rowOff>
                  </from>
                  <to>
                    <xdr:col>7</xdr:col>
                    <xdr:colOff>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26" name="Drop Down 23">
              <controlPr defaultSize="0" autoLine="0" autoPict="0">
                <anchor moveWithCells="1">
                  <from>
                    <xdr:col>2</xdr:col>
                    <xdr:colOff>28575</xdr:colOff>
                    <xdr:row>50</xdr:row>
                    <xdr:rowOff>142875</xdr:rowOff>
                  </from>
                  <to>
                    <xdr:col>7</xdr:col>
                    <xdr:colOff>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0" r:id="rId27" name="Drop Down 24">
              <controlPr defaultSize="0" autoLine="0" autoPict="0">
                <anchor moveWithCells="1">
                  <from>
                    <xdr:col>2</xdr:col>
                    <xdr:colOff>28575</xdr:colOff>
                    <xdr:row>51</xdr:row>
                    <xdr:rowOff>142875</xdr:rowOff>
                  </from>
                  <to>
                    <xdr:col>7</xdr:col>
                    <xdr:colOff>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28" name="Drop Down 25">
              <controlPr defaultSize="0" autoLine="0" autoPict="0">
                <anchor moveWithCells="1">
                  <from>
                    <xdr:col>2</xdr:col>
                    <xdr:colOff>28575</xdr:colOff>
                    <xdr:row>52</xdr:row>
                    <xdr:rowOff>142875</xdr:rowOff>
                  </from>
                  <to>
                    <xdr:col>7</xdr:col>
                    <xdr:colOff>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29" name="Drop Down 26">
              <controlPr defaultSize="0" autoLine="0" autoPict="0">
                <anchor moveWithCells="1">
                  <from>
                    <xdr:col>2</xdr:col>
                    <xdr:colOff>28575</xdr:colOff>
                    <xdr:row>53</xdr:row>
                    <xdr:rowOff>142875</xdr:rowOff>
                  </from>
                  <to>
                    <xdr:col>7</xdr:col>
                    <xdr:colOff>0</xdr:colOff>
                    <xdr:row>54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00B0F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'22)ZWF-Raps-(a)'!J2</f>
        <v>2022</v>
      </c>
      <c r="K2" s="2504" t="s">
        <v>858</v>
      </c>
      <c r="L2" s="2502"/>
      <c r="M2" s="2505"/>
      <c r="N2" s="2529"/>
      <c r="O2" s="2530" t="str">
        <f>'22)ZWF-Raps-(a)'!M2</f>
        <v xml:space="preserve">ZW.-Frucht Raps grün 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'22)ZWF-Raps-(a)'!H3</f>
        <v>Futternutzung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'22)ZWF-Raps-(a)'!K5</f>
        <v>25</v>
      </c>
      <c r="N6" s="1735">
        <f>'22)ZWF-Raps-(a)'!M5</f>
        <v>32</v>
      </c>
      <c r="O6" s="1743">
        <f>'22)ZWF-Raps-(a)'!O5</f>
        <v>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'22)ZWF-Raps-(a)'!K9</f>
        <v>23.75</v>
      </c>
      <c r="N7" s="1736">
        <f>'22)ZWF-Raps-(a)'!M9</f>
        <v>30.4</v>
      </c>
      <c r="O7" s="1744">
        <f>'22)ZWF-Raps-(a)'!O9</f>
        <v>38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'22)ZWF-Raps-(a)'!L9</f>
        <v>197.91666666666669</v>
      </c>
      <c r="N8" s="1737">
        <f>'22)ZWF-Raps-(a)'!N9</f>
        <v>253.33333333333331</v>
      </c>
      <c r="O8" s="1583">
        <f>'22)ZWF-Raps-(a)'!P9</f>
        <v>316.66666666666663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'22)ZWF-Raps-(a)'!K11</f>
        <v>23.75</v>
      </c>
      <c r="N9" s="1562">
        <f>'22)ZWF-Raps-(a)'!M11</f>
        <v>30.4</v>
      </c>
      <c r="O9" s="1747">
        <f>'22)ZWF-Raps-(a)'!O11</f>
        <v>38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'22)ZWF-Raps-(a)'!L11</f>
        <v>197.91666666666669</v>
      </c>
      <c r="N10" s="1582">
        <f>'22)ZWF-Raps-(a)'!N11</f>
        <v>253.33333333333331</v>
      </c>
      <c r="O10" s="2014">
        <f>'22)ZWF-Raps-(a)'!P11</f>
        <v>316.66666666666663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'22)ZWF-Raps-(a)'!L12</f>
        <v>0</v>
      </c>
      <c r="N11" s="1818">
        <f>'22)ZWF-Raps-(a)'!N12</f>
        <v>0</v>
      </c>
      <c r="O11" s="1819">
        <f>'22)ZWF-Raps-(a)'!P12</f>
        <v>0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'22)ZWF-Raps-(a)'!K15</f>
        <v>1496.25</v>
      </c>
      <c r="N12" s="1738">
        <f>'22)ZWF-Raps-(a)'!M15</f>
        <v>1915.1999999999998</v>
      </c>
      <c r="O12" s="1745">
        <f>'22)ZWF-Raps-(a)'!O15</f>
        <v>2394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'22)ZWF-Raps-(a)'!K16</f>
        <v>2493.75</v>
      </c>
      <c r="N13" s="2077">
        <f>'22)ZWF-Raps-(a)'!M16</f>
        <v>3192</v>
      </c>
      <c r="O13" s="2078">
        <f>'22)ZWF-Raps-(a)'!O16</f>
        <v>3990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'22)ZWF-Raps-(a)'!L24</f>
        <v>270</v>
      </c>
      <c r="N15" s="3338">
        <f>'22)ZWF-Raps-(a)'!N24</f>
        <v>270</v>
      </c>
      <c r="O15" s="3341">
        <f>'22)ZWF-Raps-(a)'!P24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'22)ZWF-Raps-(a)'!L18</f>
        <v>0</v>
      </c>
      <c r="N16" s="1736">
        <f>'22)ZWF-Raps-(a)'!N18</f>
        <v>0</v>
      </c>
      <c r="O16" s="3343">
        <f>'22)ZWF-Raps-(a)'!P18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'22)ZWF-Raps-(a)'!L27</f>
        <v>74.900000000000006</v>
      </c>
      <c r="N19" s="2072">
        <f>'22)ZWF-Raps-(a)'!N27</f>
        <v>74.900000000000006</v>
      </c>
      <c r="O19" s="2073">
        <f>'22)ZWF-Raps-(a)'!P27</f>
        <v>74.900000000000006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'22)ZWF-Raps-(a)'!L31</f>
        <v>145.43411458333333</v>
      </c>
      <c r="N20" s="1567">
        <f>'22)ZWF-Raps-(a)'!N31</f>
        <v>186.1556666666666</v>
      </c>
      <c r="O20" s="1574">
        <f>'22)ZWF-Raps-(a)'!P31</f>
        <v>232.6945833333333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'22)ZWF-Raps-(a)'!L37</f>
        <v>0</v>
      </c>
      <c r="N21" s="1567">
        <f>'22)ZWF-Raps-(a)'!N37</f>
        <v>0</v>
      </c>
      <c r="O21" s="1574">
        <f>'22)ZWF-Raps-(a)'!P37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'22)ZWF-Raps-(a)'!L65</f>
        <v>0</v>
      </c>
      <c r="N22" s="1567">
        <f>'22)ZWF-Raps-(a)'!N65</f>
        <v>0</v>
      </c>
      <c r="O22" s="1574">
        <f>'22)ZWF-Raps-(a)'!P65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'22)ZWF-Raps-(a)'!L67</f>
        <v>0</v>
      </c>
      <c r="N23" s="1567">
        <f>'22)ZWF-Raps-(a)'!N67</f>
        <v>0</v>
      </c>
      <c r="O23" s="1574">
        <f>'22)ZWF-Raps-(a)'!P67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'22)ZWF-Raps-(a)'!L42</f>
        <v>185.33812066000002</v>
      </c>
      <c r="N24" s="1567">
        <f>'22)ZWF-Raps-(a)'!N42</f>
        <v>215.02314876</v>
      </c>
      <c r="O24" s="1574">
        <f>'22)ZWF-Raps-(a)'!P42</f>
        <v>248.94889515999998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'22)ZWF-Raps-(a)'!L58</f>
        <v>0</v>
      </c>
      <c r="N25" s="1567">
        <f>'22)ZWF-Raps-(a)'!N58</f>
        <v>0</v>
      </c>
      <c r="O25" s="1574">
        <f>'22)ZWF-Raps-(a)'!P58</f>
        <v>0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'22)ZWF-Raps-(a)'!L63</f>
        <v>0</v>
      </c>
      <c r="N26" s="1980">
        <f>'22)ZWF-Raps-(a)'!N63</f>
        <v>0</v>
      </c>
      <c r="O26" s="1981">
        <f>'22)ZWF-Raps-(a)'!P63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405.67223524333338</v>
      </c>
      <c r="N27" s="1775">
        <f>SUM(N19:N26)</f>
        <v>476.07881542666667</v>
      </c>
      <c r="O27" s="2055">
        <f>SUM(O19:O26)</f>
        <v>556.54347849333328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-405.67223524333338</v>
      </c>
      <c r="N28" s="2060">
        <f>-N27</f>
        <v>-476.07881542666667</v>
      </c>
      <c r="O28" s="2061">
        <f>-O27</f>
        <v>-556.54347849333328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M27*'22)ZWF-Raps-(a)'!$L$70*'22)ZWF-Raps-(a)'!$P$70/12/100</f>
        <v>2.5354514702708335</v>
      </c>
      <c r="N30" s="1980">
        <f>N27*'22)ZWF-Raps-(a)'!$L$70*'22)ZWF-Raps-(a)'!$P$70/12/100</f>
        <v>2.9754925964166663</v>
      </c>
      <c r="O30" s="1981">
        <f>O27*'22)ZWF-Raps-(a)'!$L$70*'22)ZWF-Raps-(a)'!$P$70/12/100</f>
        <v>3.4783967405833329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-138.2076867136042</v>
      </c>
      <c r="N31" s="1769">
        <f>N28+N29-N30</f>
        <v>-209.05430802308334</v>
      </c>
      <c r="O31" s="1776">
        <f>O28+O29-O30</f>
        <v>-290.0218752339166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-9.2369381262225034E-2</v>
      </c>
      <c r="N32" s="1561">
        <f>IF(N12=0,0,N31/N12)</f>
        <v>-0.1091553404464721</v>
      </c>
      <c r="O32" s="2047">
        <f>IF(O12=0,0,O31/O12)</f>
        <v>-0.12114531129236282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-5.5421628757335022E-2</v>
      </c>
      <c r="N33" s="1576">
        <f>IF(N13=0,0,N31/N13)</f>
        <v>-6.5493204267883257E-2</v>
      </c>
      <c r="O33" s="2052">
        <f>IF(O13=0,0,O31/O13)</f>
        <v>-7.2687186775417689E-2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'22)ZWF-Raps-(a)'!K57</f>
        <v>5.9653750000000008</v>
      </c>
      <c r="N35" s="2396">
        <f>'22)ZWF-Raps-(a)'!M57</f>
        <v>7.0460000000000003</v>
      </c>
      <c r="O35" s="2398">
        <f>'22)ZWF-Raps-(a)'!O57</f>
        <v>8.2809999999999988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'22)ZWF-Raps-(a)'!L10</f>
        <v>0</v>
      </c>
      <c r="N36" s="2431">
        <f>'22)ZWF-Raps-(a)'!N10</f>
        <v>0</v>
      </c>
      <c r="O36" s="2432">
        <f>'22)ZWF-Raps-(a)'!P10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104.39406250000002</v>
      </c>
      <c r="N37" s="1567">
        <f>$J$37*N35</f>
        <v>123.30500000000001</v>
      </c>
      <c r="O37" s="1574">
        <f>$J$37*O35</f>
        <v>144.91749999999999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/>
      <c r="N39" s="1567"/>
      <c r="O39" s="1574"/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/>
      <c r="N40" s="1567"/>
      <c r="O40" s="1574"/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/>
      <c r="N41" s="1567"/>
      <c r="O41" s="1574"/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1143</v>
      </c>
      <c r="F42" s="147"/>
      <c r="G42" s="147"/>
      <c r="H42" s="147"/>
      <c r="I42" s="147"/>
      <c r="J42" s="147"/>
      <c r="K42" s="147"/>
      <c r="L42" s="1594" t="s">
        <v>266</v>
      </c>
      <c r="M42" s="1979"/>
      <c r="N42" s="1980"/>
      <c r="O42" s="1981"/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104.39406250000002</v>
      </c>
      <c r="N43" s="1991">
        <f>SUM(N37:N42)</f>
        <v>123.30500000000001</v>
      </c>
      <c r="O43" s="1994">
        <f>SUM(O37:O42)</f>
        <v>144.91749999999999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512.60174921360431</v>
      </c>
      <c r="N46" s="2041">
        <f>N27+N30+N43</f>
        <v>602.35930802308326</v>
      </c>
      <c r="O46" s="2080">
        <f>O27+O30+O43</f>
        <v>704.93937523391662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-512.60174921360431</v>
      </c>
      <c r="N47" s="2227">
        <f>N45-N46</f>
        <v>-602.35930802308326</v>
      </c>
      <c r="O47" s="2228">
        <f>O45-O46</f>
        <v>-704.93937523391662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-242.60174921360431</v>
      </c>
      <c r="N49" s="1991">
        <f>N47+N48</f>
        <v>-332.35930802308326</v>
      </c>
      <c r="O49" s="1994">
        <f>O47+O48</f>
        <v>-434.93937523391662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242.60174921360431</v>
      </c>
      <c r="N51" s="1771">
        <f>N46-N48</f>
        <v>332.35930802308326</v>
      </c>
      <c r="O51" s="3358">
        <f>O46-O48</f>
        <v>434.93937523391662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1.2257772591845268</v>
      </c>
      <c r="N52" s="2335">
        <f>IF(N10=0,0,N$51/N10)</f>
        <v>1.3119446369332235</v>
      </c>
      <c r="O52" s="2336">
        <f>IF(O10=0,0,O$51/O10)</f>
        <v>1.373492763896579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10.214810493204391</v>
      </c>
      <c r="N53" s="2335">
        <f>IF(N9=0,0,N$51/N9)</f>
        <v>10.932871974443529</v>
      </c>
      <c r="O53" s="2336">
        <f>IF(O9=0,0,O$51/O9)</f>
        <v>11.445773032471489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0</v>
      </c>
      <c r="N54" s="2335">
        <f t="shared" si="3"/>
        <v>0</v>
      </c>
      <c r="O54" s="2336">
        <f t="shared" si="3"/>
        <v>0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0.16213984909848242</v>
      </c>
      <c r="N55" s="2219">
        <f t="shared" si="3"/>
        <v>0.17353765038799251</v>
      </c>
      <c r="O55" s="2220">
        <f t="shared" si="3"/>
        <v>0.181678937023357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9.7283909459089449E-2</v>
      </c>
      <c r="N56" s="2219">
        <f>IF(N13=0,0,N$51/N13)</f>
        <v>0.10412259023279551</v>
      </c>
      <c r="O56" s="2220">
        <f>IF(O13=0,0,O$51/O13)</f>
        <v>0.10900736221401419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242.60174921360431</v>
      </c>
      <c r="N58" s="1769">
        <f>N51-N38</f>
        <v>332.35930802308326</v>
      </c>
      <c r="O58" s="1776">
        <f>O51-O38</f>
        <v>434.93937523391662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10.214810493204391</v>
      </c>
      <c r="N59" s="3416">
        <f>N58/N7</f>
        <v>10.932871974443529</v>
      </c>
      <c r="O59" s="3417">
        <f>O58/O7</f>
        <v>11.445773032471489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0.16213984909848242</v>
      </c>
      <c r="N60" s="2130">
        <f>IF(N12=0,0,N$58/N12)</f>
        <v>0.17353765038799251</v>
      </c>
      <c r="O60" s="2217">
        <f>IF(O12=0,0,O$58/O12)</f>
        <v>0.181678937023357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4.5038846971800675E-2</v>
      </c>
      <c r="N61" s="2130">
        <f>N58/$N$12*10/$F$57</f>
        <v>4.8204902885553479E-2</v>
      </c>
      <c r="O61" s="3422">
        <f>O58/$O$12*10/$F$57</f>
        <v>5.0466371395376942E-2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9.7283909459089449E-2</v>
      </c>
      <c r="N62" s="1874">
        <f>IF(N13=0,0,N$58/N13)</f>
        <v>0.10412259023279551</v>
      </c>
      <c r="O62" s="2032">
        <f>IF(O13=0,0,O$58/O13)</f>
        <v>0.10900736221401419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222.86956605360416</v>
      </c>
      <c r="N64" s="1772">
        <f>SUM(N19:N23)+N30</f>
        <v>264.03115926308328</v>
      </c>
      <c r="O64" s="1773">
        <f>SUM(O19:O23)+O30</f>
        <v>311.0729800739166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0.14895209092972708</v>
      </c>
      <c r="N65" s="1874">
        <f>N64/N12</f>
        <v>0.13786088098531918</v>
      </c>
      <c r="O65" s="2032">
        <f>O64/O12</f>
        <v>0.12993858816788495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319.41721126000004</v>
      </c>
      <c r="N66" s="2038">
        <f>N24+N25+N26+N39+N37</f>
        <v>338.32814875999998</v>
      </c>
      <c r="O66" s="2039">
        <f>O24+O25+O26+O39+O37</f>
        <v>393.86639515999997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0.21347850376608191</v>
      </c>
      <c r="N67" s="2166">
        <f>N66/N12</f>
        <v>0.1766542130116959</v>
      </c>
      <c r="O67" s="2187">
        <f>O66/O12</f>
        <v>0.16452230374269006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51:B67"/>
    <mergeCell ref="D19:D23"/>
    <mergeCell ref="B45:B49"/>
    <mergeCell ref="B35:B43"/>
    <mergeCell ref="B2:B4"/>
    <mergeCell ref="B19:B27"/>
    <mergeCell ref="B6:B13"/>
    <mergeCell ref="B15:B17"/>
    <mergeCell ref="B28:B3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63&amp;9
&amp;R&amp;12&amp;F
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6">
    <pageSetUpPr fitToPage="1"/>
  </sheetPr>
  <dimension ref="B1:X29"/>
  <sheetViews>
    <sheetView zoomScale="50" zoomScaleNormal="50" zoomScaleSheetLayoutView="50" workbookViewId="0">
      <selection activeCell="L27" sqref="L27"/>
    </sheetView>
  </sheetViews>
  <sheetFormatPr baseColWidth="10" defaultRowHeight="12.75" x14ac:dyDescent="0.2"/>
  <cols>
    <col min="1" max="1" width="2.85546875" customWidth="1"/>
    <col min="2" max="2" width="62.7109375" customWidth="1"/>
    <col min="3" max="8" width="10.85546875" customWidth="1"/>
    <col min="9" max="9" width="10.85546875" hidden="1" customWidth="1"/>
    <col min="10" max="18" width="10.85546875" customWidth="1"/>
    <col min="19" max="19" width="0" hidden="1" customWidth="1"/>
    <col min="20" max="20" width="12.5703125" customWidth="1"/>
  </cols>
  <sheetData>
    <row r="1" spans="2:24" s="3721" customFormat="1" ht="60.75" customHeight="1" x14ac:dyDescent="0.2">
      <c r="B1" s="3724"/>
      <c r="W1" s="3761"/>
      <c r="X1" s="3761"/>
    </row>
    <row r="2" spans="2:24" ht="36.75" customHeight="1" x14ac:dyDescent="0.2"/>
    <row r="3" spans="2:24" ht="36.75" customHeight="1" x14ac:dyDescent="0.2"/>
    <row r="4" spans="2:24" ht="36.75" customHeight="1" x14ac:dyDescent="0.2"/>
    <row r="5" spans="2:24" ht="36.75" customHeight="1" x14ac:dyDescent="0.2"/>
    <row r="6" spans="2:24" ht="36.75" customHeight="1" x14ac:dyDescent="0.2"/>
    <row r="7" spans="2:24" ht="36.75" customHeight="1" x14ac:dyDescent="0.2"/>
    <row r="8" spans="2:24" ht="36.75" customHeight="1" x14ac:dyDescent="0.2"/>
    <row r="9" spans="2:24" ht="36.75" customHeight="1" x14ac:dyDescent="0.2"/>
    <row r="10" spans="2:24" ht="36.75" customHeight="1" x14ac:dyDescent="0.2"/>
    <row r="11" spans="2:24" ht="36.75" customHeight="1" x14ac:dyDescent="0.2"/>
    <row r="12" spans="2:24" ht="36.75" customHeight="1" x14ac:dyDescent="0.2"/>
    <row r="13" spans="2:24" ht="36.75" customHeight="1" x14ac:dyDescent="0.2"/>
    <row r="14" spans="2:24" ht="36.75" customHeight="1" x14ac:dyDescent="0.2"/>
    <row r="15" spans="2:24" ht="36.75" customHeight="1" x14ac:dyDescent="0.2"/>
    <row r="16" spans="2:24" ht="36.75" customHeight="1" x14ac:dyDescent="0.2"/>
    <row r="17" spans="2:19" ht="36.75" customHeight="1" x14ac:dyDescent="0.2"/>
    <row r="18" spans="2:19" ht="36.75" customHeight="1" x14ac:dyDescent="0.2"/>
    <row r="19" spans="2:19" ht="36.75" customHeight="1" x14ac:dyDescent="0.2"/>
    <row r="20" spans="2:19" ht="36.75" customHeight="1" x14ac:dyDescent="0.2"/>
    <row r="21" spans="2:19" ht="36.75" customHeight="1" x14ac:dyDescent="0.2"/>
    <row r="22" spans="2:19" ht="36.75" customHeight="1" x14ac:dyDescent="0.2"/>
    <row r="23" spans="2:19" ht="36.75" customHeight="1" x14ac:dyDescent="0.2"/>
    <row r="24" spans="2:19" ht="36.75" customHeight="1" x14ac:dyDescent="0.2"/>
    <row r="25" spans="2:19" ht="41.25" customHeight="1" x14ac:dyDescent="0.2">
      <c r="S25" s="1908">
        <v>13.5</v>
      </c>
    </row>
    <row r="27" spans="2:19" s="3487" customFormat="1" ht="21.75" customHeight="1" x14ac:dyDescent="0.25">
      <c r="C27" s="3493" t="str">
        <f>'Übersicht wichtige Verfahren'!AV3</f>
        <v>Silomais Biogas ex Silo</v>
      </c>
      <c r="D27" s="3493" t="str">
        <f>'Übersicht wichtige Verfahren'!BB3</f>
        <v>GPS Tritic. Biogas ex Silo</v>
      </c>
      <c r="E27" s="3493" t="str">
        <f>'Übersicht wichtige Verfahren'!BH3</f>
        <v>Kleegrassilage Biogas ex Silo</v>
      </c>
      <c r="F27" s="3493" t="str">
        <f>'Übersicht wichtige Verfahren'!BL3</f>
        <v>Grassil. Biogas ex Silo</v>
      </c>
      <c r="G27" s="3493" t="str">
        <f>'Übersicht wichtige Verfahren'!BM3</f>
        <v>Grünroggensil. Vorfrucht Biogas ex Silo</v>
      </c>
      <c r="H27" s="3493" t="str">
        <f>'Übersicht wichtige Verfahren'!BP3</f>
        <v>Grünroggen ZWF + Silomais HF Biogas ex Silo</v>
      </c>
      <c r="I27" s="3493" t="str">
        <f>'Übersicht wichtige Verfahren'!CB3</f>
        <v>GPS+Sudangras ex Silo</v>
      </c>
      <c r="J27" s="3493" t="str">
        <f>'Übersicht wichtige Verfahren'!CE3</f>
        <v>Zuckerhirse Hauptfrucht ex Silo</v>
      </c>
      <c r="K27" s="3493" t="str">
        <f>'Übersicht wichtige Verfahren'!CH3</f>
        <v>Durchw. Silphie ex Silo</v>
      </c>
      <c r="L27" s="3493"/>
      <c r="M27" s="3493"/>
      <c r="N27" s="3493"/>
    </row>
    <row r="28" spans="2:19" s="3487" customFormat="1" ht="44.45" customHeight="1" x14ac:dyDescent="0.25">
      <c r="B28" s="3487" t="s">
        <v>565</v>
      </c>
      <c r="C28" s="3493">
        <f>'Übersicht wichtige Verfahren'!AW49</f>
        <v>0.59707093777009557</v>
      </c>
      <c r="D28" s="3493">
        <f>'Übersicht wichtige Verfahren'!BC49</f>
        <v>0.65371105563243137</v>
      </c>
      <c r="E28" s="3493">
        <f>'Übersicht wichtige Verfahren'!BI49</f>
        <v>0.76332629797986884</v>
      </c>
      <c r="F28" s="3493">
        <f>'Übersicht wichtige Verfahren'!BL49</f>
        <v>0.71732005354156259</v>
      </c>
      <c r="G28" s="3493">
        <f>'Übersicht wichtige Verfahren'!BN49</f>
        <v>0.48125348723930644</v>
      </c>
      <c r="H28" s="3493">
        <f>'Übersicht wichtige Verfahren'!BQ49</f>
        <v>0.59916186104614377</v>
      </c>
      <c r="I28" s="3493">
        <f>'Übersicht wichtige Verfahren'!CC49</f>
        <v>0.58282904051160023</v>
      </c>
      <c r="J28" s="3493">
        <f>'Übersicht wichtige Verfahren'!CF49</f>
        <v>0.7093859881692326</v>
      </c>
      <c r="K28" s="3493">
        <f>'Übersicht wichtige Verfahren'!CI49</f>
        <v>0.73154526572134904</v>
      </c>
      <c r="L28" s="3493"/>
      <c r="M28" s="3493"/>
      <c r="N28" s="3493"/>
    </row>
    <row r="29" spans="2:19" ht="19.5" hidden="1" customHeight="1" x14ac:dyDescent="0.2">
      <c r="B29" t="s">
        <v>60</v>
      </c>
      <c r="C29" s="1424">
        <f>'Übersicht wichtige Verfahren'!F55</f>
        <v>0.33676891480745774</v>
      </c>
      <c r="D29" s="1424">
        <f>'Übersicht wichtige Verfahren'!K55</f>
        <v>0.43610235668400488</v>
      </c>
      <c r="E29" s="1424">
        <f>'Übersicht wichtige Verfahren'!J55</f>
        <v>0.40135941060733799</v>
      </c>
      <c r="F29" s="1424"/>
      <c r="G29" s="1424">
        <f>'Übersicht wichtige Verfahren'!S55</f>
        <v>0.34926243133055968</v>
      </c>
      <c r="H29" s="1424">
        <f>'Übersicht wichtige Verfahren'!P55</f>
        <v>0.46050845084006853</v>
      </c>
      <c r="I29" s="1424">
        <f>'Übersicht wichtige Verfahren'!Q55</f>
        <v>0.59023565033013148</v>
      </c>
      <c r="J29" s="1424">
        <f>'Übersicht wichtige Verfahren'!U55</f>
        <v>0.35041932858309938</v>
      </c>
      <c r="K29" s="1424">
        <f>'Übersicht wichtige Verfahren'!AA55</f>
        <v>0.3892211497460244</v>
      </c>
      <c r="L29" s="1424" t="e">
        <f>'Übersicht wichtige Verfahren'!#REF!</f>
        <v>#REF!</v>
      </c>
      <c r="M29" s="1424">
        <f>'Übersicht wichtige Verfahren'!X55</f>
        <v>0.28643093347430548</v>
      </c>
      <c r="N29" s="1424">
        <f>'Übersicht wichtige Verfahren'!AH55</f>
        <v>0.33106630406059373</v>
      </c>
    </row>
  </sheetData>
  <sheetProtection sheet="1" objects="1" scenarios="1"/>
  <phoneticPr fontId="0" type="noConversion"/>
  <printOptions horizontalCentered="1" verticalCentered="1"/>
  <pageMargins left="0.39370078740157483" right="0.23" top="0.59055118110236227" bottom="0.68" header="0.51181102362204722" footer="0.51181102362204722"/>
  <pageSetup paperSize="9" scale="52" orientation="landscape" r:id="rId1"/>
  <headerFooter alignWithMargins="0">
    <oddFooter>&amp;L&amp;14LEL Schwäbisch Gmünd, Abtlg. II
LAZBW Aulendorf&amp;C&amp;14 11b&amp;R&amp;14&amp;F   &amp;A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9">
    <pageSetUpPr fitToPage="1"/>
  </sheetPr>
  <dimension ref="A1:CA73"/>
  <sheetViews>
    <sheetView showGridLines="0" showZeros="0" zoomScaleNormal="100" workbookViewId="0">
      <pane xSplit="10" ySplit="5" topLeftCell="K46" activePane="bottomRight" state="frozen"/>
      <selection activeCell="G1" sqref="G1:I1"/>
      <selection pane="topRight" activeCell="G1" sqref="G1:I1"/>
      <selection pane="bottomLeft" activeCell="G1" sqref="G1:I1"/>
      <selection pane="bottomRight" activeCell="Q48" sqref="Q48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1172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18" t="s">
        <v>894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105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40</v>
      </c>
      <c r="L7" s="706">
        <v>40</v>
      </c>
      <c r="M7" s="702">
        <v>40</v>
      </c>
      <c r="N7" s="706">
        <v>40</v>
      </c>
      <c r="O7" s="702">
        <v>40</v>
      </c>
      <c r="P7" s="706">
        <v>40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213.75000000000003</v>
      </c>
      <c r="M9" s="809">
        <f>M5*(100-M6)/100</f>
        <v>99.75</v>
      </c>
      <c r="N9" s="810">
        <f>IF(M7=0,0,M9/M7*100)</f>
        <v>249.375</v>
      </c>
      <c r="O9" s="720">
        <f>O5*(100-O6)/100</f>
        <v>114</v>
      </c>
      <c r="P9" s="721">
        <f>IF(O7=0,0,O9/O7*100)</f>
        <v>285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32.884615384615394</v>
      </c>
      <c r="M10" s="286"/>
      <c r="N10" s="811">
        <f>IF(M8=0,0,1/M8*N9)</f>
        <v>38.36538461538462</v>
      </c>
      <c r="O10" s="173"/>
      <c r="P10" s="722">
        <f>IF(O8=0,0,1/O8*P9)</f>
        <v>43.846153846153847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83.79</v>
      </c>
      <c r="L11" s="709">
        <f>IF(L7=0,0,K11/L7*100)</f>
        <v>209.47500000000002</v>
      </c>
      <c r="M11" s="812">
        <f>M9*(100-N6)/100</f>
        <v>97.754999999999995</v>
      </c>
      <c r="N11" s="813">
        <f>IF(N7=0,0,M11/N7*100)</f>
        <v>244.38749999999999</v>
      </c>
      <c r="O11" s="708">
        <f>O9*(100-P6)/100</f>
        <v>111.72</v>
      </c>
      <c r="P11" s="709">
        <f>IF(P7=0,0,O11/P7*100)</f>
        <v>279.3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32.226923076923079</v>
      </c>
      <c r="M12" s="801"/>
      <c r="N12" s="814">
        <f>IF(N8=0,0,1/N8*N11)</f>
        <v>37.598076923076924</v>
      </c>
      <c r="O12" s="487"/>
      <c r="P12" s="502">
        <f>IF(P8=0,0,1/P8*P11)</f>
        <v>42.969230769230776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5.8</v>
      </c>
      <c r="L13" s="418"/>
      <c r="M13" s="499">
        <v>5.9</v>
      </c>
      <c r="N13" s="784"/>
      <c r="O13" s="499">
        <v>5.9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9.6666666666666661</v>
      </c>
      <c r="L14" s="418"/>
      <c r="M14" s="815">
        <f>M13/$G14</f>
        <v>9.8333333333333339</v>
      </c>
      <c r="N14" s="784"/>
      <c r="O14" s="513">
        <f>O13/$G14</f>
        <v>9.8333333333333339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4859.8200000000006</v>
      </c>
      <c r="L15" s="418"/>
      <c r="M15" s="816">
        <f>M$11*M13*10</f>
        <v>5767.5450000000001</v>
      </c>
      <c r="N15" s="784"/>
      <c r="O15" s="497">
        <f>O$11*O13*10</f>
        <v>6591.4800000000005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8099.7000000000007</v>
      </c>
      <c r="L16" s="417"/>
      <c r="M16" s="817">
        <f>M$11*M14*10</f>
        <v>9612.5750000000007</v>
      </c>
      <c r="N16" s="428"/>
      <c r="O16" s="498">
        <f>O$11*O14*10</f>
        <v>10985.800000000001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7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7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7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7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113.634</v>
      </c>
      <c r="M27" s="804"/>
      <c r="N27" s="786">
        <f>SUM(N29:N30)</f>
        <v>113.634</v>
      </c>
      <c r="O27" s="330"/>
      <c r="P27" s="325">
        <f>SUM(P29:P30)</f>
        <v>113.634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59</v>
      </c>
      <c r="I29" s="711">
        <f>H29*($H$27+100)/100</f>
        <v>63.13</v>
      </c>
      <c r="J29" s="91"/>
      <c r="K29" s="440">
        <v>1.8</v>
      </c>
      <c r="L29" s="337">
        <f>$I29*K29</f>
        <v>113.634</v>
      </c>
      <c r="M29" s="440">
        <v>1.8</v>
      </c>
      <c r="N29" s="791">
        <f>$I29*M29</f>
        <v>113.634</v>
      </c>
      <c r="O29" s="440">
        <v>1.8</v>
      </c>
      <c r="P29" s="337">
        <f>$I29*O29</f>
        <v>113.634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373.47197999999997</v>
      </c>
      <c r="M31" s="819"/>
      <c r="N31" s="786">
        <f>SUM(N33:N36)-N17</f>
        <v>435.71730999999994</v>
      </c>
      <c r="O31" s="334"/>
      <c r="P31" s="325">
        <f>SUM(P33:P36)-P17</f>
        <v>497.96263999999991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/>
      <c r="I33"/>
      <c r="J33" s="172"/>
      <c r="K33" s="336">
        <f>G33*$K$9+H33</f>
        <v>119.69999999999999</v>
      </c>
      <c r="L33" s="337">
        <f>K33*$E33</f>
        <v>205.59272999999999</v>
      </c>
      <c r="M33" s="820">
        <f>G33*$M$9+H33</f>
        <v>139.64999999999998</v>
      </c>
      <c r="N33" s="791">
        <f>M33*$E33</f>
        <v>239.85818499999996</v>
      </c>
      <c r="O33" s="336">
        <f>G33*$O$9+H33</f>
        <v>159.6</v>
      </c>
      <c r="P33" s="337">
        <f>O33*$E33</f>
        <v>274.12363999999997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0.56999999999999995</v>
      </c>
      <c r="H34" s="386"/>
      <c r="I34"/>
      <c r="J34" s="172"/>
      <c r="K34" s="336">
        <f>G34*$K$9+H34</f>
        <v>48.734999999999992</v>
      </c>
      <c r="L34" s="337">
        <f>K34*$E34</f>
        <v>55.094917499999987</v>
      </c>
      <c r="M34" s="820">
        <f>G34*$M$9+H34</f>
        <v>56.857499999999995</v>
      </c>
      <c r="N34" s="791">
        <f>M34*$E34</f>
        <v>64.277403749999991</v>
      </c>
      <c r="O34" s="336">
        <f>G34*$O$9+H34</f>
        <v>64.97999999999999</v>
      </c>
      <c r="P34" s="337">
        <f>O34*$E34</f>
        <v>73.459889999999973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1.17</v>
      </c>
      <c r="H35" s="386"/>
      <c r="I35"/>
      <c r="J35" s="172"/>
      <c r="K35" s="336">
        <f>G35*$K$9+H35</f>
        <v>100.035</v>
      </c>
      <c r="L35" s="337">
        <f>K35*$E35</f>
        <v>105.15345749999999</v>
      </c>
      <c r="M35" s="820">
        <f>G35*$M$9+H35</f>
        <v>116.7075</v>
      </c>
      <c r="N35" s="791">
        <f>M35*$E35</f>
        <v>122.67903374999999</v>
      </c>
      <c r="O35" s="336">
        <f>G35*$O$9+H35</f>
        <v>133.38</v>
      </c>
      <c r="P35" s="337">
        <f>O35*$E35</f>
        <v>140.20460999999997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12.824999999999999</v>
      </c>
      <c r="L36" s="333">
        <f>K36*$E36</f>
        <v>7.6308749999999996</v>
      </c>
      <c r="M36" s="821">
        <f>G36*$M$9+H36</f>
        <v>14.962499999999999</v>
      </c>
      <c r="N36" s="792">
        <f>M36*$E36</f>
        <v>8.902687499999999</v>
      </c>
      <c r="O36" s="338">
        <f>G36*$O$9+H36</f>
        <v>17.099999999999998</v>
      </c>
      <c r="P36" s="333">
        <f>O36*$E36</f>
        <v>10.174499999999998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291.384027016799</v>
      </c>
      <c r="M42" s="823"/>
      <c r="N42" s="786">
        <f>SUM(W45:W55)</f>
        <v>306.78078199186547</v>
      </c>
      <c r="O42" s="425"/>
      <c r="P42" s="325">
        <f>SUM(Z45:Z55)</f>
        <v>322.17753696693194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3</v>
      </c>
      <c r="L48" s="337">
        <f t="shared" si="0"/>
        <v>16.351534222799998</v>
      </c>
      <c r="M48" s="375">
        <v>3</v>
      </c>
      <c r="N48" s="791">
        <f t="shared" si="1"/>
        <v>16.351534222799998</v>
      </c>
      <c r="O48" s="375">
        <v>3</v>
      </c>
      <c r="P48" s="337">
        <f t="shared" si="2"/>
        <v>16.351534222799998</v>
      </c>
      <c r="Q48" s="528"/>
      <c r="R48" s="1348">
        <f t="shared" si="3"/>
        <v>1.1099999999999999</v>
      </c>
      <c r="S48" s="471" t="e">
        <f>K48*#REF!</f>
        <v>#REF!</v>
      </c>
      <c r="T48" s="258">
        <f t="shared" si="4"/>
        <v>16.351534222799998</v>
      </c>
      <c r="U48" s="1349">
        <f t="shared" si="5"/>
        <v>1.1099999999999999</v>
      </c>
      <c r="V48" s="1350" t="e">
        <f>M48*#REF!</f>
        <v>#REF!</v>
      </c>
      <c r="W48" s="827">
        <f t="shared" si="6"/>
        <v>16.351534222799998</v>
      </c>
      <c r="X48" s="1351">
        <f t="shared" si="7"/>
        <v>1.1099999999999999</v>
      </c>
      <c r="Y48" s="471" t="e">
        <f>O48*#REF!</f>
        <v>#REF!</v>
      </c>
      <c r="Z48" s="258">
        <f t="shared" si="8"/>
        <v>16.351534222799998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0.42750000000000005</v>
      </c>
      <c r="L50" s="337">
        <f t="shared" si="0"/>
        <v>68.746781511576017</v>
      </c>
      <c r="M50" s="375">
        <f>N9/500</f>
        <v>0.49875000000000003</v>
      </c>
      <c r="N50" s="791">
        <f t="shared" si="1"/>
        <v>80.204578430172006</v>
      </c>
      <c r="O50" s="375">
        <f>P9/500</f>
        <v>0.56999999999999995</v>
      </c>
      <c r="P50" s="337">
        <f t="shared" si="2"/>
        <v>91.662375348767995</v>
      </c>
      <c r="Q50" s="528"/>
      <c r="R50" s="1348">
        <f t="shared" si="3"/>
        <v>3.3687000000000005</v>
      </c>
      <c r="S50" s="471" t="e">
        <f>K50*#REF!</f>
        <v>#REF!</v>
      </c>
      <c r="T50" s="258">
        <f t="shared" si="4"/>
        <v>68.746781511576017</v>
      </c>
      <c r="U50" s="1349">
        <f t="shared" si="5"/>
        <v>3.9301500000000003</v>
      </c>
      <c r="V50" s="1350" t="e">
        <f>M50*#REF!</f>
        <v>#REF!</v>
      </c>
      <c r="W50" s="827">
        <f t="shared" si="6"/>
        <v>80.204578430172006</v>
      </c>
      <c r="X50" s="1351">
        <f t="shared" si="7"/>
        <v>4.4915999999999991</v>
      </c>
      <c r="Y50" s="471" t="e">
        <f>O50*#REF!</f>
        <v>#REF!</v>
      </c>
      <c r="Z50" s="258">
        <f t="shared" si="8"/>
        <v>91.662375348767995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0.42750000000000005</v>
      </c>
      <c r="L51" s="337">
        <f t="shared" si="0"/>
        <v>23.633748338822997</v>
      </c>
      <c r="M51" s="375">
        <f>N9/500</f>
        <v>0.49875000000000003</v>
      </c>
      <c r="N51" s="791">
        <f t="shared" si="1"/>
        <v>27.572706395293494</v>
      </c>
      <c r="O51" s="375">
        <f>P9/500</f>
        <v>0.56999999999999995</v>
      </c>
      <c r="P51" s="337">
        <f t="shared" si="2"/>
        <v>31.511664451763991</v>
      </c>
      <c r="Q51" s="528"/>
      <c r="R51" s="1348">
        <f t="shared" si="3"/>
        <v>0.91057500000000002</v>
      </c>
      <c r="S51" s="471" t="e">
        <f>K51*#REF!</f>
        <v>#REF!</v>
      </c>
      <c r="T51" s="258">
        <f t="shared" si="4"/>
        <v>23.633748338822997</v>
      </c>
      <c r="U51" s="1349">
        <f t="shared" si="5"/>
        <v>1.0623374999999999</v>
      </c>
      <c r="V51" s="1350" t="e">
        <f>M51*#REF!</f>
        <v>#REF!</v>
      </c>
      <c r="W51" s="827">
        <f t="shared" si="6"/>
        <v>27.572706395293494</v>
      </c>
      <c r="X51" s="1351">
        <f t="shared" si="7"/>
        <v>1.2140999999999997</v>
      </c>
      <c r="Y51" s="471" t="e">
        <f>O51*#REF!</f>
        <v>#REF!</v>
      </c>
      <c r="Z51" s="258">
        <f t="shared" si="8"/>
        <v>31.511664451763991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0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9.0692749999999993</v>
      </c>
      <c r="L56" s="341"/>
      <c r="M56" s="797">
        <f>SUM($U$45:$U$55)</f>
        <v>9.7824875000000002</v>
      </c>
      <c r="N56" s="798"/>
      <c r="O56" s="340">
        <f>SUM($X$45:$X$55)</f>
        <v>10.495699999999999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16.324694999999998</v>
      </c>
      <c r="L57" s="343"/>
      <c r="M57" s="799">
        <f>IF(M56+(M56*$G$57/100)&gt;M56+10,M56+10,M56+(M56*$G$57/100))</f>
        <v>17.608477499999999</v>
      </c>
      <c r="N57" s="800"/>
      <c r="O57" s="342">
        <f>IF(O56+(O56*$G$57/100)&gt;O56+10,O56+10,O56+(O56*$G$57/100))</f>
        <v>18.89226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166.005</v>
      </c>
      <c r="M58" s="826"/>
      <c r="N58" s="786">
        <f>SUM(N60:N62)</f>
        <v>184.45</v>
      </c>
      <c r="O58" s="344"/>
      <c r="P58" s="325">
        <f>SUM(P60:P62)</f>
        <v>202.89500000000001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155</v>
      </c>
      <c r="I60" s="3013">
        <f>H60*($H$58+100)/100</f>
        <v>184.45</v>
      </c>
      <c r="J60" s="400"/>
      <c r="K60" s="3014">
        <v>0.9</v>
      </c>
      <c r="L60" s="3015">
        <f>K60*I60</f>
        <v>166.005</v>
      </c>
      <c r="M60" s="3014">
        <v>1</v>
      </c>
      <c r="N60" s="3016">
        <f>M60*I60</f>
        <v>184.45</v>
      </c>
      <c r="O60" s="3014">
        <v>1.1000000000000001</v>
      </c>
      <c r="P60" s="3015">
        <f>O60*I60</f>
        <v>202.89500000000001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2303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44"/>
      <c r="X62" s="528" t="s">
        <v>1149</v>
      </c>
      <c r="Y62" s="2597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0.4</v>
      </c>
      <c r="W63" s="79"/>
      <c r="X63" s="79" t="s">
        <v>356</v>
      </c>
      <c r="Y63" s="2602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79"/>
      <c r="X64" s="2753">
        <v>2.2400000000000002</v>
      </c>
      <c r="Y64" s="3129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10.691604000000002</v>
      </c>
      <c r="M65" s="1357"/>
      <c r="N65" s="786">
        <f>M66*$H66/100</f>
        <v>12.688599000000002</v>
      </c>
      <c r="O65" s="347"/>
      <c r="P65" s="325">
        <f>O66*$H66/100</f>
        <v>14.501256000000005</v>
      </c>
      <c r="Q65" s="529"/>
      <c r="R65" s="529"/>
      <c r="S65" s="529"/>
      <c r="T65" s="529"/>
      <c r="U65" s="529"/>
      <c r="V65" s="3008">
        <v>0.75</v>
      </c>
      <c r="W65" s="2598"/>
      <c r="X65" s="3120" t="s">
        <v>600</v>
      </c>
      <c r="Y65" s="259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1.1000000000000001</v>
      </c>
      <c r="I66" s="74"/>
      <c r="J66" s="361" t="s">
        <v>266</v>
      </c>
      <c r="K66" s="381">
        <f>K15*0.2</f>
        <v>971.96400000000017</v>
      </c>
      <c r="L66" s="348"/>
      <c r="M66" s="381">
        <f>M15*0.2</f>
        <v>1153.509</v>
      </c>
      <c r="N66" s="789"/>
      <c r="O66" s="381">
        <f>O15*0.2</f>
        <v>1318.2960000000003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tabColor rgb="FF00B0F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8554687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'23)GPS-(a)'!J2</f>
        <v>2022</v>
      </c>
      <c r="K2" s="2504" t="s">
        <v>858</v>
      </c>
      <c r="L2" s="2502"/>
      <c r="M2" s="2505"/>
      <c r="N2" s="2529"/>
      <c r="O2" s="2530" t="str">
        <f>'23)GPS-(a)'!M2</f>
        <v>GPS Winterweizen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'23)GPS-(a)'!H3</f>
        <v>Ganzpflanzensilage Weizen, Ernte LU Häcksler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'23)GPS-(a)'!K5</f>
        <v>90</v>
      </c>
      <c r="N6" s="1735">
        <f>'23)GPS-(a)'!M5</f>
        <v>105</v>
      </c>
      <c r="O6" s="1743">
        <f>'23)GPS-(a)'!O5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'23)GPS-(a)'!K9</f>
        <v>85.5</v>
      </c>
      <c r="N7" s="1736">
        <f>'23)GPS-(a)'!M9</f>
        <v>99.75</v>
      </c>
      <c r="O7" s="1744">
        <f>'23)GPS-(a)'!O9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'23)GPS-(a)'!L9</f>
        <v>213.75000000000003</v>
      </c>
      <c r="N8" s="1737">
        <f>'23)GPS-(a)'!N9</f>
        <v>249.375</v>
      </c>
      <c r="O8" s="1583">
        <f>'23)GPS-(a)'!P9</f>
        <v>285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'23)GPS-(a)'!K11</f>
        <v>83.79</v>
      </c>
      <c r="N9" s="1562">
        <f>'23)GPS-(a)'!M11</f>
        <v>97.754999999999995</v>
      </c>
      <c r="O9" s="1747">
        <f>'23)GPS-(a)'!O11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'23)GPS-(a)'!L11</f>
        <v>209.47500000000002</v>
      </c>
      <c r="N10" s="1582">
        <f>'23)GPS-(a)'!N11</f>
        <v>244.38749999999999</v>
      </c>
      <c r="O10" s="2014">
        <f>'23)GPS-(a)'!P11</f>
        <v>279.3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'23)GPS-(a)'!L12</f>
        <v>32.226923076923079</v>
      </c>
      <c r="N11" s="1818">
        <f>'23)GPS-(a)'!N12</f>
        <v>37.598076923076924</v>
      </c>
      <c r="O11" s="1819">
        <f>'23)GPS-(a)'!P12</f>
        <v>42.969230769230776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'23)GPS-(a)'!K15</f>
        <v>4859.8200000000006</v>
      </c>
      <c r="N12" s="1738">
        <f>'23)GPS-(a)'!M15</f>
        <v>5767.5450000000001</v>
      </c>
      <c r="O12" s="1745">
        <f>'23)GPS-(a)'!O15</f>
        <v>6591.4800000000005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'23)GPS-(a)'!K16</f>
        <v>8099.7000000000007</v>
      </c>
      <c r="N13" s="2077">
        <f>'23)GPS-(a)'!M16</f>
        <v>9612.5750000000007</v>
      </c>
      <c r="O13" s="2078">
        <f>'23)GPS-(a)'!O16</f>
        <v>10985.800000000001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'23)GPS-(a)'!L24</f>
        <v>270</v>
      </c>
      <c r="N15" s="3338">
        <f>'23)GPS-(a)'!N24</f>
        <v>270</v>
      </c>
      <c r="O15" s="3341">
        <f>'23)GPS-(a)'!P24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'23)GPS-(a)'!L18</f>
        <v>0</v>
      </c>
      <c r="N16" s="1736">
        <f>'23)GPS-(a)'!N18</f>
        <v>0</v>
      </c>
      <c r="O16" s="3343">
        <f>'23)GPS-(a)'!P18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'23)GPS-(a)'!L27</f>
        <v>113.634</v>
      </c>
      <c r="N19" s="2072">
        <f>'23)GPS-(a)'!N27</f>
        <v>113.634</v>
      </c>
      <c r="O19" s="2073">
        <f>'23)GPS-(a)'!P27</f>
        <v>113.634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'23)GPS-(a)'!L31</f>
        <v>373.47197999999997</v>
      </c>
      <c r="N20" s="1567">
        <f>'23)GPS-(a)'!N31</f>
        <v>435.71730999999994</v>
      </c>
      <c r="O20" s="1574">
        <f>'23)GPS-(a)'!P31</f>
        <v>497.96263999999991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'23)GPS-(a)'!L37</f>
        <v>45.517500000000005</v>
      </c>
      <c r="N21" s="1567">
        <f>'23)GPS-(a)'!N37</f>
        <v>91.035000000000011</v>
      </c>
      <c r="O21" s="1574">
        <f>'23)GPS-(a)'!P37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'23)GPS-(a)'!L65</f>
        <v>10.691604000000002</v>
      </c>
      <c r="N22" s="1567">
        <f>'23)GPS-(a)'!N65</f>
        <v>12.688599000000002</v>
      </c>
      <c r="O22" s="1574">
        <f>'23)GPS-(a)'!P65</f>
        <v>14.501256000000005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'23)GPS-(a)'!L67</f>
        <v>59.5</v>
      </c>
      <c r="N23" s="1567">
        <f>'23)GPS-(a)'!N67</f>
        <v>59.5</v>
      </c>
      <c r="O23" s="1574">
        <f>'23)GPS-(a)'!P67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'23)GPS-(a)'!L42</f>
        <v>291.384027016799</v>
      </c>
      <c r="N24" s="1567">
        <f>'23)GPS-(a)'!N42</f>
        <v>306.78078199186547</v>
      </c>
      <c r="O24" s="1574">
        <f>'23)GPS-(a)'!P42</f>
        <v>322.17753696693194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'23)GPS-(a)'!L58</f>
        <v>166.005</v>
      </c>
      <c r="N25" s="1567">
        <f>'23)GPS-(a)'!N58</f>
        <v>184.45</v>
      </c>
      <c r="O25" s="1574">
        <f>'23)GPS-(a)'!P58</f>
        <v>202.89500000000001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'23)GPS-(a)'!L63</f>
        <v>0</v>
      </c>
      <c r="N26" s="1980">
        <f>'23)GPS-(a)'!N63</f>
        <v>0</v>
      </c>
      <c r="O26" s="1981">
        <f>'23)GPS-(a)'!P63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1060.2041110167988</v>
      </c>
      <c r="N27" s="1775">
        <f>SUM(N19:N26)</f>
        <v>1203.8056909918653</v>
      </c>
      <c r="O27" s="2055">
        <f>SUM(O19:O26)</f>
        <v>1311.8204329669318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-1060.2041110167988</v>
      </c>
      <c r="N28" s="2060">
        <f>-N27</f>
        <v>-1203.8056909918653</v>
      </c>
      <c r="O28" s="2061">
        <f>-O27</f>
        <v>-1311.8204329669318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M27*'23)GPS-(a)'!$L$70*'23)GPS-(a)'!$P$70/12/100</f>
        <v>6.6262756938549918</v>
      </c>
      <c r="N30" s="1980">
        <f>N27*'23)GPS-(a)'!$L$70*'23)GPS-(a)'!$P$70/12/100</f>
        <v>7.523785568699159</v>
      </c>
      <c r="O30" s="1981">
        <f>O27*'23)GPS-(a)'!$L$70*'23)GPS-(a)'!$P$70/12/100</f>
        <v>8.1988777060433229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'23)GPS-(a)'!Q18+'23)GPS-(a)'!Q24</f>
        <v>0</v>
      </c>
      <c r="AA30" s="3309">
        <f>'23)GPS-(a)'!R18+'23)GPS-(a)'!R24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-796.83038671065378</v>
      </c>
      <c r="N31" s="1769">
        <f>N28+N29-N30</f>
        <v>-941.32947656056444</v>
      </c>
      <c r="O31" s="1776">
        <f>O28+O29-O30</f>
        <v>-1050.0193106729751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-0.16396294239512033</v>
      </c>
      <c r="N32" s="1561">
        <f>IF(N12=0,0,N31/N12)</f>
        <v>-0.16321146632762543</v>
      </c>
      <c r="O32" s="2047">
        <f>IF(O12=0,0,O31/O12)</f>
        <v>-0.15929947609231537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-9.8377765437072204E-2</v>
      </c>
      <c r="N33" s="1576">
        <f>IF(N13=0,0,N31/N13)</f>
        <v>-9.7926879796575259E-2</v>
      </c>
      <c r="O33" s="2052">
        <f>IF(O13=0,0,O31/O13)</f>
        <v>-9.5579685655389227E-2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'23)GPS-(a)'!K57</f>
        <v>16.324694999999998</v>
      </c>
      <c r="N35" s="2396">
        <f>'23)GPS-(a)'!M57</f>
        <v>17.608477499999999</v>
      </c>
      <c r="O35" s="2398">
        <f>'23)GPS-(a)'!O57</f>
        <v>18.89226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'23)GPS-(a)'!L10</f>
        <v>32.884615384615394</v>
      </c>
      <c r="N36" s="2431">
        <f>'23)GPS-(a)'!N10</f>
        <v>38.36538461538462</v>
      </c>
      <c r="O36" s="2432">
        <f>'23)GPS-(a)'!P10</f>
        <v>43.846153846153847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285.68216249999995</v>
      </c>
      <c r="N37" s="1567">
        <f>$J$37*N35</f>
        <v>308.14835625000001</v>
      </c>
      <c r="O37" s="1574">
        <f>$J$37*O35</f>
        <v>330.61455000000001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159.79182692307697</v>
      </c>
      <c r="N38" s="2433">
        <f>N36*$I$36</f>
        <v>186.42379807692311</v>
      </c>
      <c r="O38" s="2429">
        <f>O36*$I$36</f>
        <v>213.05576923076924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</f>
        <v>462.14197384259256</v>
      </c>
      <c r="N39" s="1567">
        <f>'Festk-Masch-Geb'!$W$44</f>
        <v>462.14197384259256</v>
      </c>
      <c r="O39" s="1574">
        <f>'Festk-Masch-Geb'!$W$44</f>
        <v>462.14197384259256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1415.4359632656694</v>
      </c>
      <c r="N43" s="1991">
        <f>SUM(N37:N42)</f>
        <v>1154.5341281695157</v>
      </c>
      <c r="O43" s="1994">
        <f>SUM(O37:O42)</f>
        <v>1203.6322930733618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2482.266349976323</v>
      </c>
      <c r="N46" s="2041">
        <f>N27+N30+N43</f>
        <v>2365.8636047300802</v>
      </c>
      <c r="O46" s="2080">
        <f>O27+O30+O43</f>
        <v>2523.6516037463371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-2482.266349976323</v>
      </c>
      <c r="N47" s="2227">
        <f>N45-N46</f>
        <v>-2365.8636047300802</v>
      </c>
      <c r="O47" s="2228">
        <f>O45-O46</f>
        <v>-2523.6516037463371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-2212.266349976323</v>
      </c>
      <c r="N49" s="1991">
        <f>N47+N48</f>
        <v>-2095.8636047300802</v>
      </c>
      <c r="O49" s="1994">
        <f>O47+O48</f>
        <v>-2253.6516037463371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2212.266349976323</v>
      </c>
      <c r="N51" s="1771">
        <f>N46-N48</f>
        <v>2095.8636047300802</v>
      </c>
      <c r="O51" s="3358">
        <f>O46-O48</f>
        <v>2253.6516037463371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10.561004176996409</v>
      </c>
      <c r="N52" s="2335">
        <f>IF(N10=0,0,N$51/N10)</f>
        <v>8.575985288650525</v>
      </c>
      <c r="O52" s="2336">
        <f>IF(O10=0,0,O$51/O10)</f>
        <v>8.0689280477849508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26.402510442491025</v>
      </c>
      <c r="N53" s="2335">
        <f>IF(N9=0,0,N$51/N9)</f>
        <v>21.439963221626314</v>
      </c>
      <c r="O53" s="2336">
        <f>IF(O9=0,0,O$51/O9)</f>
        <v>20.17232011946238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68.646527150476658</v>
      </c>
      <c r="N54" s="2335">
        <f t="shared" si="3"/>
        <v>55.743904376228414</v>
      </c>
      <c r="O54" s="2336">
        <f t="shared" si="3"/>
        <v>52.44803231060218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0.45521569728432798</v>
      </c>
      <c r="N55" s="2219">
        <f t="shared" si="3"/>
        <v>0.3633892071462087</v>
      </c>
      <c r="O55" s="2220">
        <f t="shared" si="3"/>
        <v>0.34190373083834541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0.27312941837059679</v>
      </c>
      <c r="N56" s="2219">
        <f>IF(N13=0,0,N$51/N13)</f>
        <v>0.21803352428772518</v>
      </c>
      <c r="O56" s="2220">
        <f>IF(O13=0,0,O$51/O13)</f>
        <v>0.20514223850300722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2052.4745230532462</v>
      </c>
      <c r="N58" s="1769">
        <f>N51-N38</f>
        <v>1909.4398066531571</v>
      </c>
      <c r="O58" s="1776">
        <f>O51-O38</f>
        <v>2040.5958345155677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24.495459160439744</v>
      </c>
      <c r="N59" s="3416">
        <f>N58/N9</f>
        <v>19.532911939575033</v>
      </c>
      <c r="O59" s="3417">
        <f>O58/O9</f>
        <v>18.265268837411096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0.42233550276620246</v>
      </c>
      <c r="N60" s="2130">
        <f>IF(N12=0,0,N$58/N12)</f>
        <v>0.33106630406059373</v>
      </c>
      <c r="O60" s="2217">
        <f>IF(O12=0,0,O$58/O12)</f>
        <v>0.30958082775273044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0.11731541743505623</v>
      </c>
      <c r="N61" s="2130">
        <f>N58/$N$12*10/$F$57</f>
        <v>9.1962862239053811E-2</v>
      </c>
      <c r="O61" s="3422">
        <f>O58/$O$12*10/$F$57</f>
        <v>8.5994674375758445E-2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0.25340130165972147</v>
      </c>
      <c r="N62" s="1874">
        <f>IF(N13=0,0,N$58/N13)</f>
        <v>0.19863978243635622</v>
      </c>
      <c r="O62" s="2032">
        <f>IF(O13=0,0,O$58/O13)</f>
        <v>0.18574849665163826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609.44135969385491</v>
      </c>
      <c r="N64" s="1772">
        <f>SUM(N19:N23)+N30</f>
        <v>720.09869456869899</v>
      </c>
      <c r="O64" s="1773">
        <f>SUM(O19:O23)+O30</f>
        <v>794.94677370604313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0.12540410132347593</v>
      </c>
      <c r="N65" s="1874">
        <f>N64/N12</f>
        <v>0.12485358927736133</v>
      </c>
      <c r="O65" s="2032">
        <f>O64/O12</f>
        <v>0.12060216729870121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1220.6099183344579</v>
      </c>
      <c r="N66" s="2038">
        <f>N24+N25+N26+N39+N37</f>
        <v>1261.5211120844581</v>
      </c>
      <c r="O66" s="2039">
        <f>O24+O25+O26+O39+O37</f>
        <v>1317.8290608095244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0.2511636065398426</v>
      </c>
      <c r="N67" s="2166">
        <f>N66/N12</f>
        <v>0.21872757162440137</v>
      </c>
      <c r="O67" s="2187">
        <f>O66/O12</f>
        <v>0.19992916019005205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51:B67"/>
    <mergeCell ref="D19:D23"/>
    <mergeCell ref="B45:B49"/>
    <mergeCell ref="B35:B43"/>
    <mergeCell ref="B2:B4"/>
    <mergeCell ref="B19:B27"/>
    <mergeCell ref="B6:B13"/>
    <mergeCell ref="B15:B17"/>
    <mergeCell ref="B28:B3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65&amp;9
&amp;R&amp;12&amp;F
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1">
    <pageSetUpPr fitToPage="1"/>
  </sheetPr>
  <dimension ref="A1:CA73"/>
  <sheetViews>
    <sheetView showGridLines="0" showZeros="0" zoomScaleNormal="100" workbookViewId="0">
      <pane xSplit="10" ySplit="5" topLeftCell="K27" activePane="bottomRight" state="frozen"/>
      <selection activeCell="G1" sqref="G1:I1"/>
      <selection pane="topRight" activeCell="G1" sqref="G1:I1"/>
      <selection pane="bottomLeft" activeCell="G1" sqref="G1:I1"/>
      <selection pane="bottomRight" activeCell="Q45" sqref="Q45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844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3" t="s">
        <v>895</v>
      </c>
      <c r="I3" s="4333"/>
      <c r="J3" s="4333"/>
      <c r="K3" s="4333"/>
      <c r="L3" s="4333"/>
      <c r="M3" s="4333"/>
      <c r="N3" s="4333"/>
      <c r="O3" s="4333"/>
      <c r="P3" s="433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1588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115</v>
      </c>
      <c r="N5" s="2261"/>
      <c r="O5" s="370">
        <v>130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52</v>
      </c>
      <c r="L7" s="706">
        <v>54</v>
      </c>
      <c r="M7" s="702">
        <v>52</v>
      </c>
      <c r="N7" s="706">
        <v>54</v>
      </c>
      <c r="O7" s="702">
        <v>52</v>
      </c>
      <c r="P7" s="706">
        <v>54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9</v>
      </c>
      <c r="L8" s="707">
        <v>9</v>
      </c>
      <c r="M8" s="703">
        <v>9</v>
      </c>
      <c r="N8" s="707">
        <v>9</v>
      </c>
      <c r="O8" s="703">
        <v>9</v>
      </c>
      <c r="P8" s="707">
        <v>9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182.69230769230768</v>
      </c>
      <c r="M9" s="809">
        <f>M5*(100-M6)/100</f>
        <v>109.25</v>
      </c>
      <c r="N9" s="810">
        <f>IF(M7=0,0,M9/M7*100)</f>
        <v>210.09615384615384</v>
      </c>
      <c r="O9" s="720">
        <f>O5*(100-O6)/100</f>
        <v>123.5</v>
      </c>
      <c r="P9" s="721">
        <f>IF(O7=0,0,O9/O7*100)</f>
        <v>237.5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20.299145299145298</v>
      </c>
      <c r="M10" s="286"/>
      <c r="N10" s="811">
        <f>IF(M8=0,0,1/M8*N9)</f>
        <v>23.344017094017094</v>
      </c>
      <c r="O10" s="173"/>
      <c r="P10" s="722">
        <f>IF(O8=0,0,1/O8*P9)</f>
        <v>26.388888888888886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93.1</v>
      </c>
      <c r="L11" s="709">
        <f>IF(L7=0,0,K11/L7*100)</f>
        <v>172.40740740740739</v>
      </c>
      <c r="M11" s="812">
        <f>M9*(100-N6)/100</f>
        <v>107.065</v>
      </c>
      <c r="N11" s="813">
        <f>IF(N7=0,0,M11/N7*100)</f>
        <v>198.26851851851853</v>
      </c>
      <c r="O11" s="708">
        <f>O9*(100-P6)/100</f>
        <v>121.03</v>
      </c>
      <c r="P11" s="709">
        <f>IF(P7=0,0,O11/P7*100)</f>
        <v>224.12962962962962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19.156378600823043</v>
      </c>
      <c r="M12" s="801"/>
      <c r="N12" s="814">
        <f>IF(N8=0,0,1/N8*N11)</f>
        <v>22.029835390946502</v>
      </c>
      <c r="O12" s="487"/>
      <c r="P12" s="502">
        <f>IF(P8=0,0,1/P8*P11)</f>
        <v>24.903292181069958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7.4</v>
      </c>
      <c r="L13" s="418"/>
      <c r="M13" s="499">
        <v>7.4</v>
      </c>
      <c r="N13" s="784"/>
      <c r="O13" s="499">
        <v>7.4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12.333333333333334</v>
      </c>
      <c r="L14" s="418"/>
      <c r="M14" s="815">
        <f>M13/$G14</f>
        <v>12.333333333333334</v>
      </c>
      <c r="N14" s="784"/>
      <c r="O14" s="513">
        <f>O13/$G14</f>
        <v>12.333333333333334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6889.4</v>
      </c>
      <c r="L15" s="418"/>
      <c r="M15" s="816">
        <f>M$11*M13*10</f>
        <v>7922.81</v>
      </c>
      <c r="N15" s="784"/>
      <c r="O15" s="497">
        <f>O$11*O13*10</f>
        <v>8956.2200000000012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11482.333333333334</v>
      </c>
      <c r="L16" s="417"/>
      <c r="M16" s="817">
        <f>M$11*M14*10</f>
        <v>13204.683333333334</v>
      </c>
      <c r="N16" s="428"/>
      <c r="O16" s="498">
        <f>O$11*O14*10</f>
        <v>14927.033333333333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418.31137833333332</v>
      </c>
      <c r="M31" s="819"/>
      <c r="N31" s="786">
        <f>SUM(N33:N36)-N17</f>
        <v>481.05808508333337</v>
      </c>
      <c r="O31" s="334"/>
      <c r="P31" s="325">
        <f>SUM(P33:P36)-P17</f>
        <v>543.80479183333341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/>
      <c r="I33"/>
      <c r="J33" s="172"/>
      <c r="K33" s="336">
        <f>G33*$K$9+H33</f>
        <v>151.05000000000001</v>
      </c>
      <c r="L33" s="337">
        <f>K33*$E33</f>
        <v>259.438445</v>
      </c>
      <c r="M33" s="820">
        <f>G33*$M$9+H33</f>
        <v>173.70750000000001</v>
      </c>
      <c r="N33" s="791">
        <f>M33*$E33</f>
        <v>298.35421175000005</v>
      </c>
      <c r="O33" s="336">
        <f>G33*$O$9+H33</f>
        <v>196.36500000000001</v>
      </c>
      <c r="P33" s="337">
        <f>O33*$E33</f>
        <v>337.26997850000004</v>
      </c>
      <c r="Q33" s="528"/>
      <c r="R33" s="528" t="s">
        <v>1451</v>
      </c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76</v>
      </c>
      <c r="L34" s="337">
        <f>K34*$E34</f>
        <v>85.917999999999992</v>
      </c>
      <c r="M34" s="820">
        <f>G34*$M$9+H34</f>
        <v>87.4</v>
      </c>
      <c r="N34" s="791">
        <f>M34*$E34</f>
        <v>98.805699999999987</v>
      </c>
      <c r="O34" s="336">
        <f>G34*$O$9+H34</f>
        <v>98.800000000000011</v>
      </c>
      <c r="P34" s="337">
        <f>O34*$E34</f>
        <v>111.6934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0.64</v>
      </c>
      <c r="H35" s="386"/>
      <c r="I35"/>
      <c r="J35" s="172"/>
      <c r="K35" s="336">
        <f>G35*$K$9+H35</f>
        <v>60.800000000000004</v>
      </c>
      <c r="L35" s="337">
        <f>K35*$E35</f>
        <v>63.910933333333332</v>
      </c>
      <c r="M35" s="820">
        <f>G35*$M$9+H35</f>
        <v>69.92</v>
      </c>
      <c r="N35" s="791">
        <f>M35*$E35</f>
        <v>73.497573333333335</v>
      </c>
      <c r="O35" s="336">
        <f>G35*$O$9+H35</f>
        <v>79.040000000000006</v>
      </c>
      <c r="P35" s="337">
        <f>O35*$E35</f>
        <v>83.084213333333338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0.16</v>
      </c>
      <c r="H36" s="387"/>
      <c r="I36" s="36"/>
      <c r="J36" s="36"/>
      <c r="K36" s="338">
        <f>G36*$K$9+H36</f>
        <v>15.200000000000001</v>
      </c>
      <c r="L36" s="333">
        <f>K36*$E36</f>
        <v>9.0440000000000005</v>
      </c>
      <c r="M36" s="821">
        <f>G36*$M$9+H36</f>
        <v>17.48</v>
      </c>
      <c r="N36" s="792">
        <f>M36*$E36</f>
        <v>10.400599999999999</v>
      </c>
      <c r="O36" s="338">
        <f>G36*$O$9+H36</f>
        <v>19.760000000000002</v>
      </c>
      <c r="P36" s="333">
        <f>O36*$E36</f>
        <v>11.757200000000001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326.57003971565382</v>
      </c>
      <c r="M42" s="823"/>
      <c r="N42" s="786">
        <f>SUM(W45:W55)</f>
        <v>338.41369738878188</v>
      </c>
      <c r="O42" s="425"/>
      <c r="P42" s="325">
        <f>SUM(Z45:Z55)</f>
        <v>350.25735506190995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2</v>
      </c>
      <c r="L46" s="337">
        <f t="shared" si="0"/>
        <v>182.39672920000001</v>
      </c>
      <c r="M46" s="375">
        <v>2</v>
      </c>
      <c r="N46" s="791">
        <f t="shared" si="1"/>
        <v>182.39672920000001</v>
      </c>
      <c r="O46" s="375">
        <v>2</v>
      </c>
      <c r="P46" s="337">
        <f t="shared" si="2"/>
        <v>182.39672920000001</v>
      </c>
      <c r="Q46" s="528"/>
      <c r="R46" s="1348">
        <f t="shared" si="3"/>
        <v>2.9</v>
      </c>
      <c r="S46" s="471" t="e">
        <f>K46*#REF!</f>
        <v>#REF!</v>
      </c>
      <c r="T46" s="258">
        <f t="shared" si="4"/>
        <v>182.39672920000001</v>
      </c>
      <c r="U46" s="1349">
        <f t="shared" si="5"/>
        <v>2.9</v>
      </c>
      <c r="V46" s="1350" t="e">
        <f>M46*#REF!</f>
        <v>#REF!</v>
      </c>
      <c r="W46" s="827">
        <f t="shared" si="6"/>
        <v>182.39672920000001</v>
      </c>
      <c r="X46" s="1351">
        <f t="shared" si="7"/>
        <v>2.9</v>
      </c>
      <c r="Y46" s="471" t="e">
        <f>O46*#REF!</f>
        <v>#REF!</v>
      </c>
      <c r="Z46" s="258">
        <f t="shared" si="8"/>
        <v>182.39672920000001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2636">
        <f>L9/500</f>
        <v>0.36538461538461536</v>
      </c>
      <c r="L51" s="2643">
        <f t="shared" si="0"/>
        <v>58.757932915876921</v>
      </c>
      <c r="M51" s="2636">
        <f>N9/500</f>
        <v>0.4201923076923077</v>
      </c>
      <c r="N51" s="2644">
        <f t="shared" si="1"/>
        <v>67.571622853258461</v>
      </c>
      <c r="O51" s="2636">
        <f>P9/500</f>
        <v>0.47499999999999998</v>
      </c>
      <c r="P51" s="337">
        <f t="shared" si="2"/>
        <v>76.38531279064</v>
      </c>
      <c r="Q51" s="528"/>
      <c r="R51" s="1348">
        <f t="shared" si="3"/>
        <v>2.879230769230769</v>
      </c>
      <c r="S51" s="471" t="e">
        <f>K51*#REF!</f>
        <v>#REF!</v>
      </c>
      <c r="T51" s="258">
        <f t="shared" si="4"/>
        <v>58.757932915876921</v>
      </c>
      <c r="U51" s="1349">
        <f t="shared" si="5"/>
        <v>3.3111153846153845</v>
      </c>
      <c r="V51" s="1350" t="e">
        <f>M51*#REF!</f>
        <v>#REF!</v>
      </c>
      <c r="W51" s="827">
        <f t="shared" si="6"/>
        <v>67.571622853258461</v>
      </c>
      <c r="X51" s="1351">
        <f t="shared" si="7"/>
        <v>3.7429999999999999</v>
      </c>
      <c r="Y51" s="471" t="e">
        <f>O51*#REF!</f>
        <v>#REF!</v>
      </c>
      <c r="Z51" s="258">
        <f t="shared" si="8"/>
        <v>76.38531279064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2636">
        <f>L9/500</f>
        <v>0.36538461538461536</v>
      </c>
      <c r="L52" s="2643">
        <f t="shared" si="0"/>
        <v>20.199784904976919</v>
      </c>
      <c r="M52" s="2636">
        <f>N9/500</f>
        <v>0.4201923076923077</v>
      </c>
      <c r="N52" s="2644">
        <f t="shared" si="1"/>
        <v>23.229752640723458</v>
      </c>
      <c r="O52" s="2636">
        <f>P9/500</f>
        <v>0.47499999999999998</v>
      </c>
      <c r="P52" s="337">
        <f t="shared" si="2"/>
        <v>26.259720376469993</v>
      </c>
      <c r="Q52" s="528"/>
      <c r="R52" s="1348">
        <f t="shared" si="3"/>
        <v>0.77826923076923071</v>
      </c>
      <c r="S52" s="471" t="e">
        <f>K52*#REF!</f>
        <v>#REF!</v>
      </c>
      <c r="T52" s="258">
        <f t="shared" si="4"/>
        <v>20.199784904976919</v>
      </c>
      <c r="U52" s="1349">
        <f t="shared" si="5"/>
        <v>0.89500961538461532</v>
      </c>
      <c r="V52" s="1350" t="e">
        <f>M52*#REF!</f>
        <v>#REF!</v>
      </c>
      <c r="W52" s="827">
        <f t="shared" si="6"/>
        <v>23.229752640723458</v>
      </c>
      <c r="X52" s="1351">
        <f t="shared" si="7"/>
        <v>1.0117499999999999</v>
      </c>
      <c r="Y52" s="471" t="e">
        <f>O52*#REF!</f>
        <v>#REF!</v>
      </c>
      <c r="Z52" s="258">
        <f t="shared" si="8"/>
        <v>26.259720376469993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46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9.0875000000000004</v>
      </c>
      <c r="L56" s="341"/>
      <c r="M56" s="797">
        <f>SUM($U$45:$U$55)</f>
        <v>9.6361249999999998</v>
      </c>
      <c r="N56" s="798"/>
      <c r="O56" s="340">
        <f>SUM($X$45:$X$55)</f>
        <v>10.184749999999999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16.357500000000002</v>
      </c>
      <c r="L57" s="343"/>
      <c r="M57" s="799">
        <f>IF(M56+(M56*$G$57/100)&gt;M56+10,M56+10,M56+(M56*$G$57/100))</f>
        <v>17.345025</v>
      </c>
      <c r="N57" s="800"/>
      <c r="O57" s="342">
        <f>IF(O56+(O56*$G$57/100)&gt;O56+10,O56+10,O56+(O56*$G$57/100))</f>
        <v>18.332549999999998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258.82500000000005</v>
      </c>
      <c r="M58" s="826"/>
      <c r="N58" s="786">
        <f>SUM(N60:N62)</f>
        <v>279.64999999999998</v>
      </c>
      <c r="O58" s="344"/>
      <c r="P58" s="325">
        <f>SUM(P60:P62)</f>
        <v>300.47500000000002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 t="s">
        <v>1009</v>
      </c>
      <c r="E61" s="7"/>
      <c r="F61" s="7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43"/>
      <c r="T62" s="544"/>
      <c r="U62" s="544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3007">
        <f>K7/100</f>
        <v>0.52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30.313360000000007</v>
      </c>
      <c r="M65" s="1357"/>
      <c r="N65" s="786">
        <f>M66*$H66/100</f>
        <v>34.860364000000004</v>
      </c>
      <c r="O65" s="347"/>
      <c r="P65" s="325">
        <f>O66*$H66/100</f>
        <v>39.407368000000012</v>
      </c>
      <c r="Q65" s="529"/>
      <c r="R65" s="529"/>
      <c r="S65" s="1167"/>
      <c r="T65" s="2598"/>
      <c r="U65" s="2598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2.2000000000000002</v>
      </c>
      <c r="I66" s="74"/>
      <c r="J66" s="361" t="s">
        <v>266</v>
      </c>
      <c r="K66" s="3181">
        <f>K15*0.2</f>
        <v>1377.88</v>
      </c>
      <c r="L66" s="348"/>
      <c r="M66" s="3181">
        <f>M15*0.2</f>
        <v>1584.5620000000001</v>
      </c>
      <c r="N66" s="789"/>
      <c r="O66" s="3181">
        <f>O15*0.2</f>
        <v>1791.2440000000004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00B0F0"/>
    <pageSetUpPr fitToPage="1"/>
  </sheetPr>
  <dimension ref="A1:BP91"/>
  <sheetViews>
    <sheetView showGridLines="0" showZeros="0" zoomScaleNormal="100" workbookViewId="0">
      <pane xSplit="12" ySplit="6" topLeftCell="M19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U8: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'24)Mais LKS-(a)'!J2</f>
        <v>2022</v>
      </c>
      <c r="K2" s="2504" t="s">
        <v>858</v>
      </c>
      <c r="L2" s="2502"/>
      <c r="M2" s="2505"/>
      <c r="N2" s="2529"/>
      <c r="O2" s="2530" t="str">
        <f>'24)Mais LKS-(a)'!M2</f>
        <v>Mais LKS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'24)Mais LKS-(a)'!H3</f>
        <v>Lieschkolbenschrot Mais, Ernte LU-Häcksler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'24)Mais LKS-(a)'!K5</f>
        <v>100</v>
      </c>
      <c r="N6" s="1735">
        <f>'24)Mais LKS-(a)'!M5</f>
        <v>115</v>
      </c>
      <c r="O6" s="1743">
        <f>'24)Mais LKS-(a)'!O5</f>
        <v>130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>
        <v>100</v>
      </c>
      <c r="M7" s="452">
        <f>'24)Mais LKS-(a)'!K9</f>
        <v>95</v>
      </c>
      <c r="N7" s="1736">
        <f>'24)Mais LKS-(a)'!M9</f>
        <v>109.25</v>
      </c>
      <c r="O7" s="1744">
        <f>'24)Mais LKS-(a)'!O9</f>
        <v>123.5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'24)Mais LKS-(a)'!L9</f>
        <v>182.69230769230768</v>
      </c>
      <c r="N8" s="1737">
        <f>'24)Mais LKS-(a)'!N9</f>
        <v>210.09615384615384</v>
      </c>
      <c r="O8" s="1583">
        <f>'24)Mais LKS-(a)'!P9</f>
        <v>237.5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'24)Mais LKS-(a)'!K11</f>
        <v>93.1</v>
      </c>
      <c r="N9" s="1562">
        <f>'24)Mais LKS-(a)'!M11</f>
        <v>107.065</v>
      </c>
      <c r="O9" s="1747">
        <f>'24)Mais LKS-(a)'!O11</f>
        <v>121.03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'24)Mais LKS-(a)'!L11</f>
        <v>172.40740740740739</v>
      </c>
      <c r="N10" s="1582">
        <f>'24)Mais LKS-(a)'!N11</f>
        <v>198.26851851851853</v>
      </c>
      <c r="O10" s="2014">
        <f>'24)Mais LKS-(a)'!P11</f>
        <v>224.12962962962962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'24)Mais LKS-(a)'!L12</f>
        <v>19.156378600823043</v>
      </c>
      <c r="N11" s="1818">
        <f>'24)Mais LKS-(a)'!N12</f>
        <v>22.029835390946502</v>
      </c>
      <c r="O11" s="1819">
        <f>'24)Mais LKS-(a)'!P12</f>
        <v>24.903292181069958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'24)Mais LKS-(a)'!K15</f>
        <v>6889.4</v>
      </c>
      <c r="N12" s="1738">
        <f>'24)Mais LKS-(a)'!M15</f>
        <v>7922.81</v>
      </c>
      <c r="O12" s="1745">
        <f>'24)Mais LKS-(a)'!O15</f>
        <v>8956.2200000000012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'24)Mais LKS-(a)'!K16</f>
        <v>11482.333333333334</v>
      </c>
      <c r="N13" s="2077">
        <f>'24)Mais LKS-(a)'!M16</f>
        <v>13204.683333333334</v>
      </c>
      <c r="O13" s="2078">
        <f>'24)Mais LKS-(a)'!O16</f>
        <v>14927.033333333333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'24)Mais LKS-(a)'!L24</f>
        <v>270</v>
      </c>
      <c r="N15" s="3338">
        <f>'24)Mais LKS-(a)'!N24</f>
        <v>270</v>
      </c>
      <c r="O15" s="3341">
        <f>'24)Mais LKS-(a)'!P24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'24)Mais LKS-(a)'!L18</f>
        <v>0</v>
      </c>
      <c r="N16" s="1736">
        <f>'24)Mais LKS-(a)'!N18</f>
        <v>0</v>
      </c>
      <c r="O16" s="3343">
        <f>'24)Mais LKS-(a)'!P18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'24)Mais LKS-(a)'!L27</f>
        <v>214</v>
      </c>
      <c r="N19" s="2072">
        <f>'24)Mais LKS-(a)'!N27</f>
        <v>214</v>
      </c>
      <c r="O19" s="2073">
        <f>'24)Mais LKS-(a)'!P27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'24)Mais LKS-(a)'!L31</f>
        <v>418.31137833333332</v>
      </c>
      <c r="N20" s="1567">
        <f>'24)Mais LKS-(a)'!N31</f>
        <v>481.05808508333337</v>
      </c>
      <c r="O20" s="1574">
        <f>'24)Mais LKS-(a)'!P31</f>
        <v>543.80479183333341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'24)Mais LKS-(a)'!L37</f>
        <v>84.585200000000015</v>
      </c>
      <c r="N21" s="1567">
        <f>'24)Mais LKS-(a)'!N37</f>
        <v>84.585200000000015</v>
      </c>
      <c r="O21" s="1574">
        <f>'24)Mais LKS-(a)'!P37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'24)Mais LKS-(a)'!L65</f>
        <v>30.313360000000007</v>
      </c>
      <c r="N22" s="1567">
        <f>'24)Mais LKS-(a)'!N65</f>
        <v>34.860364000000004</v>
      </c>
      <c r="O22" s="1574">
        <f>'24)Mais LKS-(a)'!P65</f>
        <v>39.407368000000012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'24)Mais LKS-(a)'!L67</f>
        <v>59.5</v>
      </c>
      <c r="N23" s="1567">
        <f>'24)Mais LKS-(a)'!N67</f>
        <v>59.5</v>
      </c>
      <c r="O23" s="1574">
        <f>'24)Mais LKS-(a)'!P67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'24)Mais LKS-(a)'!L42</f>
        <v>326.57003971565382</v>
      </c>
      <c r="N24" s="1567">
        <f>'24)Mais LKS-(a)'!N42</f>
        <v>338.41369738878188</v>
      </c>
      <c r="O24" s="1574">
        <f>'24)Mais LKS-(a)'!P42</f>
        <v>350.25735506190995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'24)Mais LKS-(a)'!L58</f>
        <v>258.82500000000005</v>
      </c>
      <c r="N25" s="1567">
        <f>'24)Mais LKS-(a)'!N58</f>
        <v>279.64999999999998</v>
      </c>
      <c r="O25" s="1574">
        <f>'24)Mais LKS-(a)'!P58</f>
        <v>300.47500000000002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'24)Mais LKS-(a)'!L63</f>
        <v>0</v>
      </c>
      <c r="N26" s="1980">
        <f>'24)Mais LKS-(a)'!N63</f>
        <v>0</v>
      </c>
      <c r="O26" s="1981">
        <f>'24)Mais LKS-(a)'!P63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1392.1049780489873</v>
      </c>
      <c r="N27" s="1775">
        <f>SUM(N19:N26)</f>
        <v>1492.0673464721153</v>
      </c>
      <c r="O27" s="2055">
        <f>SUM(O19:O26)</f>
        <v>1592.0297148952432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-1392.1049780489873</v>
      </c>
      <c r="N28" s="2060">
        <f>-N27</f>
        <v>-1492.0673464721153</v>
      </c>
      <c r="O28" s="2061">
        <f>-O27</f>
        <v>-1592.0297148952432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M27*'24)Mais LKS-(a)'!$L$70*'24)Mais LKS-(a)'!$P$70/12/100</f>
        <v>8.7006561128061701</v>
      </c>
      <c r="N30" s="1980">
        <f>N27*'24)Mais LKS-(a)'!$L$70*'24)Mais LKS-(a)'!$P$70/12/100</f>
        <v>9.3254209154507226</v>
      </c>
      <c r="O30" s="1981">
        <f>O27*'24)Mais LKS-(a)'!$L$70*'24)Mais LKS-(a)'!$P$70/12/100</f>
        <v>9.950185718095268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-1130.8056341617935</v>
      </c>
      <c r="N31" s="1769">
        <f>N28+N29-N30</f>
        <v>-1231.392767387566</v>
      </c>
      <c r="O31" s="1776">
        <f>O28+O29-O30</f>
        <v>-1331.9799006133385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-0.16413702705051145</v>
      </c>
      <c r="N32" s="1561">
        <f>IF(N12=0,0,N31/N12)</f>
        <v>-0.15542374074192944</v>
      </c>
      <c r="O32" s="2047">
        <f>IF(O12=0,0,O31/O12)</f>
        <v>-0.14872121281225095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-9.8482216230306854E-2</v>
      </c>
      <c r="N33" s="1576">
        <f>IF(N13=0,0,N31/N13)</f>
        <v>-9.3254244445157661E-2</v>
      </c>
      <c r="O33" s="2052">
        <f>IF(O13=0,0,O31/O13)</f>
        <v>-8.9232727687350591E-2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'24)Mais LKS-(a)'!K57</f>
        <v>16.357500000000002</v>
      </c>
      <c r="N35" s="2396">
        <f>'24)Mais LKS-(a)'!M57</f>
        <v>17.345025</v>
      </c>
      <c r="O35" s="2398">
        <f>'24)Mais LKS-(a)'!O57</f>
        <v>18.332549999999998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'24)Mais LKS-(a)'!L10</f>
        <v>20.299145299145298</v>
      </c>
      <c r="N36" s="2431">
        <f>'24)Mais LKS-(a)'!N10</f>
        <v>23.344017094017094</v>
      </c>
      <c r="O36" s="2432">
        <f>'24)Mais LKS-(a)'!P10</f>
        <v>26.388888888888886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286.25625000000002</v>
      </c>
      <c r="N37" s="1567">
        <f>$J$37*N35</f>
        <v>303.5379375</v>
      </c>
      <c r="O37" s="1574">
        <f>$J$37*O35</f>
        <v>320.81962499999997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98.636930199430196</v>
      </c>
      <c r="N38" s="2433">
        <f>N36*$I$36</f>
        <v>113.43246972934473</v>
      </c>
      <c r="O38" s="2429">
        <f>O36*$I$36</f>
        <v>128.22800925925924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1367.636324250356</v>
      </c>
      <c r="N43" s="1991">
        <f>SUM(N37:N42)</f>
        <v>1089.7135512802706</v>
      </c>
      <c r="O43" s="1994">
        <f>SUM(O37:O42)</f>
        <v>1121.790778310185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2768.4419584121497</v>
      </c>
      <c r="N46" s="2041">
        <f>N27+N30+N43</f>
        <v>2591.1063186678366</v>
      </c>
      <c r="O46" s="2080">
        <f>O27+O30+O43</f>
        <v>2723.7706789235235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-2768.4419584121497</v>
      </c>
      <c r="N47" s="2227">
        <f>N45-N46</f>
        <v>-2591.1063186678366</v>
      </c>
      <c r="O47" s="2228">
        <f>O45-O46</f>
        <v>-2723.7706789235235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-2498.4419584121497</v>
      </c>
      <c r="N49" s="1991">
        <f>N47+N48</f>
        <v>-2321.1063186678366</v>
      </c>
      <c r="O49" s="1994">
        <f>O47+O48</f>
        <v>-2453.7706789235235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2498.4419584121497</v>
      </c>
      <c r="N51" s="1771">
        <f>N46-N48</f>
        <v>2321.1063186678366</v>
      </c>
      <c r="O51" s="3358">
        <f>O46-O48</f>
        <v>2453.7706789235235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14.491500081015692</v>
      </c>
      <c r="N52" s="2335">
        <f>IF(N10=0,0,N$51/N10)</f>
        <v>11.706882847621834</v>
      </c>
      <c r="O52" s="2336">
        <f>IF(O10=0,0,O$51/O10)</f>
        <v>10.947997741210466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26.836111261140172</v>
      </c>
      <c r="N53" s="2335">
        <f>IF(N9=0,0,N$51/N9)</f>
        <v>21.679412680781176</v>
      </c>
      <c r="O53" s="2336">
        <f>IF(O9=0,0,O$51/O9)</f>
        <v>20.274069891130491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130.42350072914124</v>
      </c>
      <c r="N54" s="2335">
        <f t="shared" si="3"/>
        <v>105.36194562859652</v>
      </c>
      <c r="O54" s="2336">
        <f t="shared" si="3"/>
        <v>98.531979670894202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0.36265015217756985</v>
      </c>
      <c r="N55" s="2219">
        <f t="shared" si="3"/>
        <v>0.29296503622677261</v>
      </c>
      <c r="O55" s="2220">
        <f t="shared" si="3"/>
        <v>0.27397391744770933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0.21759009130654189</v>
      </c>
      <c r="N56" s="2219">
        <f>IF(N13=0,0,N$51/N13)</f>
        <v>0.17577902173606358</v>
      </c>
      <c r="O56" s="2220">
        <f>IF(O13=0,0,O$51/O13)</f>
        <v>0.16438435046862562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2399.8050282127197</v>
      </c>
      <c r="N58" s="1769">
        <f>N51-N38</f>
        <v>2207.673848938492</v>
      </c>
      <c r="O58" s="1776">
        <f>O51-O38</f>
        <v>2325.5426696642644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25.776638326667239</v>
      </c>
      <c r="N59" s="3416">
        <f>N58/N9</f>
        <v>20.619939746308244</v>
      </c>
      <c r="O59" s="3417">
        <f>O58/O9</f>
        <v>19.214596956657559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0.3483329503603681</v>
      </c>
      <c r="N60" s="2130">
        <f>IF(N12=0,0,N$58/N12)</f>
        <v>0.27864783440957086</v>
      </c>
      <c r="O60" s="2217">
        <f>IF(O12=0,0,O$58/O12)</f>
        <v>0.25965671563050752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9.675915287788002E-2</v>
      </c>
      <c r="N61" s="2130">
        <f>N58/$N$12*10/$F$57</f>
        <v>7.7402176224880798E-2</v>
      </c>
      <c r="O61" s="3422">
        <f>O58/$O$12*10/$F$57</f>
        <v>7.2126865452918743E-2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0.20899977021622082</v>
      </c>
      <c r="N62" s="1874">
        <f>IF(N13=0,0,N$58/N13)</f>
        <v>0.16718870064574251</v>
      </c>
      <c r="O62" s="2032">
        <f>IF(O13=0,0,O$58/O13)</f>
        <v>0.15579402937830453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815.4105944461395</v>
      </c>
      <c r="N64" s="1772">
        <f>SUM(N19:N23)+N30</f>
        <v>883.32906999878412</v>
      </c>
      <c r="O64" s="1773">
        <f>SUM(O19:O23)+O30</f>
        <v>951.24754555142863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0.11835727268646611</v>
      </c>
      <c r="N65" s="1874">
        <f>N64/N12</f>
        <v>0.11149189113443135</v>
      </c>
      <c r="O65" s="2032">
        <f>O64/O12</f>
        <v>0.10621082840209692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1358.418091439708</v>
      </c>
      <c r="N66" s="2038">
        <f>N24+N25+N26+N39+N37</f>
        <v>1396.5247789397079</v>
      </c>
      <c r="O66" s="2039">
        <f>O24+O25+O26+O39+O37</f>
        <v>1446.4751241128361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0.19717509383106047</v>
      </c>
      <c r="N67" s="2166">
        <f>N66/N12</f>
        <v>0.1762663472858377</v>
      </c>
      <c r="O67" s="2187">
        <f>O66/O12</f>
        <v>0.16150509077633599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G3:K3"/>
    <mergeCell ref="B15:B17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67&amp;9
&amp;R&amp;12&amp;F
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3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G37" sqref="G37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847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3" t="s">
        <v>896</v>
      </c>
      <c r="I3" s="4333"/>
      <c r="J3" s="4333"/>
      <c r="K3" s="4333"/>
      <c r="L3" s="4333"/>
      <c r="M3" s="4333"/>
      <c r="N3" s="4333"/>
      <c r="O3" s="4333"/>
      <c r="P3" s="433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105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63</v>
      </c>
      <c r="L7" s="706">
        <v>65</v>
      </c>
      <c r="M7" s="702">
        <v>63</v>
      </c>
      <c r="N7" s="706">
        <v>65</v>
      </c>
      <c r="O7" s="702">
        <v>63</v>
      </c>
      <c r="P7" s="706">
        <v>65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9.5</v>
      </c>
      <c r="L8" s="707">
        <v>9.5</v>
      </c>
      <c r="M8" s="703">
        <v>9.5</v>
      </c>
      <c r="N8" s="707">
        <v>9.5</v>
      </c>
      <c r="O8" s="703">
        <v>9.5</v>
      </c>
      <c r="P8" s="707">
        <v>9.5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135.71428571428572</v>
      </c>
      <c r="M9" s="809">
        <f>M5*(100-M6)/100</f>
        <v>99.75</v>
      </c>
      <c r="N9" s="810">
        <f>IF(M7=0,0,M9/M7*100)</f>
        <v>158.33333333333331</v>
      </c>
      <c r="O9" s="720">
        <f>O5*(100-O6)/100</f>
        <v>114</v>
      </c>
      <c r="P9" s="721">
        <f>IF(O7=0,0,O9/O7*100)</f>
        <v>180.95238095238096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14.285714285714286</v>
      </c>
      <c r="M10" s="286"/>
      <c r="N10" s="811">
        <f>IF(M8=0,0,1/M8*N9)</f>
        <v>16.666666666666664</v>
      </c>
      <c r="O10" s="173"/>
      <c r="P10" s="722">
        <f>IF(O8=0,0,1/O8*P9)</f>
        <v>19.047619047619047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83.79</v>
      </c>
      <c r="L11" s="709">
        <f>IF(L7=0,0,K11/L7*100)</f>
        <v>128.90769230769232</v>
      </c>
      <c r="M11" s="812">
        <f>M9*(100-N6)/100</f>
        <v>97.754999999999995</v>
      </c>
      <c r="N11" s="813">
        <f>IF(N7=0,0,M11/N7*100)</f>
        <v>150.3923076923077</v>
      </c>
      <c r="O11" s="708">
        <f>O9*(100-P6)/100</f>
        <v>111.72</v>
      </c>
      <c r="P11" s="709">
        <f>IF(P7=0,0,O11/P7*100)</f>
        <v>171.87692307692308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13.569230769230769</v>
      </c>
      <c r="M12" s="801"/>
      <c r="N12" s="814">
        <f>IF(N8=0,0,1/N8*N11)</f>
        <v>15.83076923076923</v>
      </c>
      <c r="O12" s="487"/>
      <c r="P12" s="502">
        <f>IF(P8=0,0,1/P8*P11)</f>
        <v>18.092307692307692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8.1</v>
      </c>
      <c r="L13" s="418"/>
      <c r="M13" s="499">
        <v>8.1</v>
      </c>
      <c r="N13" s="784"/>
      <c r="O13" s="499">
        <v>8.1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13.5</v>
      </c>
      <c r="L14" s="418"/>
      <c r="M14" s="815">
        <f>M13/$G14</f>
        <v>13.5</v>
      </c>
      <c r="N14" s="784"/>
      <c r="O14" s="513">
        <f>O13/$G14</f>
        <v>13.5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6786.9900000000007</v>
      </c>
      <c r="L15" s="418"/>
      <c r="M15" s="816">
        <f>M$11*M13*10</f>
        <v>7918.1549999999988</v>
      </c>
      <c r="N15" s="784"/>
      <c r="O15" s="497">
        <f>O$11*O13*10</f>
        <v>9049.32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11311.650000000001</v>
      </c>
      <c r="L16" s="417"/>
      <c r="M16" s="817">
        <f>M$11*M14*10</f>
        <v>13196.924999999999</v>
      </c>
      <c r="N16" s="428"/>
      <c r="O16" s="498">
        <f>O$11*O14*10</f>
        <v>15082.2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376.48024049999998</v>
      </c>
      <c r="M31" s="819"/>
      <c r="N31" s="786">
        <f>SUM(N33:N36)-N17</f>
        <v>439.22694725000002</v>
      </c>
      <c r="O31" s="334"/>
      <c r="P31" s="325">
        <f>SUM(P33:P36)-P17</f>
        <v>501.97365400000001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/>
      <c r="I33"/>
      <c r="J33" s="172"/>
      <c r="K33" s="336">
        <f>G33*$K$9+H33</f>
        <v>135.94499999999999</v>
      </c>
      <c r="L33" s="337">
        <f>K33*$E33</f>
        <v>233.49460049999999</v>
      </c>
      <c r="M33" s="820">
        <f>G33*$M$9+H33</f>
        <v>158.60250000000002</v>
      </c>
      <c r="N33" s="791">
        <f>M33*$E33</f>
        <v>272.41036725000004</v>
      </c>
      <c r="O33" s="336">
        <f>G33*$O$9+H33</f>
        <v>181.26000000000002</v>
      </c>
      <c r="P33" s="337">
        <f>O33*$E33</f>
        <v>311.32613400000002</v>
      </c>
      <c r="Q33" s="528"/>
      <c r="R33" s="528" t="s">
        <v>1450</v>
      </c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68.400000000000006</v>
      </c>
      <c r="L34" s="337">
        <f>K34*$E34</f>
        <v>77.3262</v>
      </c>
      <c r="M34" s="820">
        <f>G34*$M$9+H34</f>
        <v>79.800000000000011</v>
      </c>
      <c r="N34" s="791">
        <f>M34*$E34</f>
        <v>90.213899999999995</v>
      </c>
      <c r="O34" s="336">
        <f>G34*$O$9+H34</f>
        <v>91.2</v>
      </c>
      <c r="P34" s="337">
        <f>O34*$E34</f>
        <v>103.10159999999999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0.64</v>
      </c>
      <c r="H35" s="386"/>
      <c r="I35"/>
      <c r="J35" s="172"/>
      <c r="K35" s="336">
        <f>G35*$K$9+H35</f>
        <v>54.72</v>
      </c>
      <c r="L35" s="337">
        <f>K35*$E35</f>
        <v>57.519839999999995</v>
      </c>
      <c r="M35" s="820">
        <f>G35*$M$9+H35</f>
        <v>63.84</v>
      </c>
      <c r="N35" s="791">
        <f>M35*$E35</f>
        <v>67.106480000000005</v>
      </c>
      <c r="O35" s="336">
        <f>G35*$O$9+H35</f>
        <v>72.960000000000008</v>
      </c>
      <c r="P35" s="337">
        <f>O35*$E35</f>
        <v>76.693120000000008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0.16</v>
      </c>
      <c r="H36" s="387"/>
      <c r="I36" s="36"/>
      <c r="J36" s="36"/>
      <c r="K36" s="338">
        <f>G36*$K$9+H36</f>
        <v>13.68</v>
      </c>
      <c r="L36" s="333">
        <f>K36*$E36</f>
        <v>8.1395999999999997</v>
      </c>
      <c r="M36" s="821">
        <f>G36*$M$9+H36</f>
        <v>15.96</v>
      </c>
      <c r="N36" s="792">
        <f>M36*$E36</f>
        <v>9.4962</v>
      </c>
      <c r="O36" s="338">
        <f>G36*$O$9+H36</f>
        <v>18.240000000000002</v>
      </c>
      <c r="P36" s="333">
        <f>O36*$E36</f>
        <v>10.8528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123.86989736172001</v>
      </c>
      <c r="M42" s="823"/>
      <c r="N42" s="786">
        <f>SUM(W45:W55)</f>
        <v>133.64561480620665</v>
      </c>
      <c r="O42" s="425"/>
      <c r="P42" s="325">
        <f>SUM(Z45:Z55)</f>
        <v>143.42133225069333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2636">
        <f>L9/500</f>
        <v>0.27142857142857146</v>
      </c>
      <c r="L51" s="337">
        <f t="shared" si="0"/>
        <v>43.648750166080006</v>
      </c>
      <c r="M51" s="2636">
        <f>N9/500</f>
        <v>0.31666666666666665</v>
      </c>
      <c r="N51" s="791">
        <f t="shared" si="1"/>
        <v>50.923541860426667</v>
      </c>
      <c r="O51" s="2636">
        <f>P9/500</f>
        <v>0.36190476190476195</v>
      </c>
      <c r="P51" s="337">
        <f t="shared" si="2"/>
        <v>58.198333554773342</v>
      </c>
      <c r="Q51" s="528"/>
      <c r="R51" s="1348">
        <f t="shared" si="3"/>
        <v>2.1388571428571432</v>
      </c>
      <c r="S51" s="471" t="e">
        <f>K51*#REF!</f>
        <v>#REF!</v>
      </c>
      <c r="T51" s="258">
        <f t="shared" si="4"/>
        <v>43.648750166080006</v>
      </c>
      <c r="U51" s="1349">
        <f t="shared" si="5"/>
        <v>2.4953333333333334</v>
      </c>
      <c r="V51" s="1350" t="e">
        <f>M51*#REF!</f>
        <v>#REF!</v>
      </c>
      <c r="W51" s="827">
        <f t="shared" si="6"/>
        <v>50.923541860426667</v>
      </c>
      <c r="X51" s="1351">
        <f t="shared" si="7"/>
        <v>2.851809523809524</v>
      </c>
      <c r="Y51" s="471" t="e">
        <f>O51*#REF!</f>
        <v>#REF!</v>
      </c>
      <c r="Z51" s="258">
        <f t="shared" si="8"/>
        <v>58.198333554773342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2636">
        <f>L9/500</f>
        <v>0.27142857142857146</v>
      </c>
      <c r="L52" s="337">
        <f t="shared" si="0"/>
        <v>15.005554500839999</v>
      </c>
      <c r="M52" s="2636">
        <f>N9/500</f>
        <v>0.31666666666666665</v>
      </c>
      <c r="N52" s="791">
        <f t="shared" si="1"/>
        <v>17.506480250979994</v>
      </c>
      <c r="O52" s="2636">
        <f>P9/500</f>
        <v>0.36190476190476195</v>
      </c>
      <c r="P52" s="337">
        <f t="shared" si="2"/>
        <v>20.00740600112</v>
      </c>
      <c r="Q52" s="528"/>
      <c r="R52" s="1348">
        <f t="shared" si="3"/>
        <v>0.57814285714285718</v>
      </c>
      <c r="S52" s="471" t="e">
        <f>K52*#REF!</f>
        <v>#REF!</v>
      </c>
      <c r="T52" s="258">
        <f t="shared" si="4"/>
        <v>15.005554500839999</v>
      </c>
      <c r="U52" s="1349">
        <f t="shared" si="5"/>
        <v>0.67449999999999999</v>
      </c>
      <c r="V52" s="1350" t="e">
        <f>M52*#REF!</f>
        <v>#REF!</v>
      </c>
      <c r="W52" s="827">
        <f t="shared" si="6"/>
        <v>17.506480250979994</v>
      </c>
      <c r="X52" s="1351">
        <f t="shared" si="7"/>
        <v>0.77085714285714291</v>
      </c>
      <c r="Y52" s="471" t="e">
        <f>O52*#REF!</f>
        <v>#REF!</v>
      </c>
      <c r="Z52" s="258">
        <f t="shared" si="8"/>
        <v>20.00740600112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2636"/>
      <c r="L53" s="337">
        <f t="shared" si="0"/>
        <v>0</v>
      </c>
      <c r="M53" s="2636"/>
      <c r="N53" s="791">
        <f t="shared" si="1"/>
        <v>0</v>
      </c>
      <c r="O53" s="2636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5.2470000000000008</v>
      </c>
      <c r="L56" s="341"/>
      <c r="M56" s="797">
        <f>SUM($U$45:$U$55)</f>
        <v>5.6998333333333342</v>
      </c>
      <c r="N56" s="798"/>
      <c r="O56" s="340">
        <f>SUM($X$45:$X$55)</f>
        <v>6.1526666666666667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9.4446000000000012</v>
      </c>
      <c r="L57" s="343"/>
      <c r="M57" s="799">
        <f>IF(M56+(M56*$G$57/100)&gt;M56+10,M56+10,M56+(M56*$G$57/100))</f>
        <v>10.259700000000002</v>
      </c>
      <c r="N57" s="800"/>
      <c r="O57" s="342">
        <f>IF(O56+(O56*$G$57/100)&gt;O56+10,O56+10,O56+(O56*$G$57/100))</f>
        <v>11.0748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328.44000000000005</v>
      </c>
      <c r="M58" s="826"/>
      <c r="N58" s="786">
        <f>SUM(N60:N62)</f>
        <v>357</v>
      </c>
      <c r="O58" s="344"/>
      <c r="P58" s="325">
        <f>SUM(P60:P62)</f>
        <v>385.56000000000006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4053" t="s">
        <v>848</v>
      </c>
      <c r="E60" s="4054"/>
      <c r="F60" s="4054"/>
      <c r="G60" s="60"/>
      <c r="H60" s="3012">
        <v>240</v>
      </c>
      <c r="I60" s="3013">
        <f>H60*($H$58+100)/100</f>
        <v>285.60000000000002</v>
      </c>
      <c r="J60" s="400"/>
      <c r="K60" s="3014">
        <v>0.9</v>
      </c>
      <c r="L60" s="3015">
        <f>K60*I60</f>
        <v>257.04000000000002</v>
      </c>
      <c r="M60" s="3014">
        <v>1</v>
      </c>
      <c r="N60" s="3016">
        <f>M60*I60</f>
        <v>285.60000000000002</v>
      </c>
      <c r="O60" s="3014">
        <v>1.1000000000000001</v>
      </c>
      <c r="P60" s="3015">
        <f>O60*I60</f>
        <v>314.16000000000003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4051" t="s">
        <v>1009</v>
      </c>
      <c r="E61" s="4055"/>
      <c r="F61" s="4055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43"/>
      <c r="T62" s="544"/>
      <c r="U62" s="544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3007">
        <f>K7/100</f>
        <v>0.63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29.862756000000005</v>
      </c>
      <c r="M65" s="1357"/>
      <c r="N65" s="786">
        <f>M66*$H66/100</f>
        <v>34.839881999999996</v>
      </c>
      <c r="O65" s="347"/>
      <c r="P65" s="325">
        <f>O66*$H66/100</f>
        <v>39.817008000000008</v>
      </c>
      <c r="Q65" s="529"/>
      <c r="R65" s="529"/>
      <c r="S65" s="1167"/>
      <c r="T65" s="2598"/>
      <c r="U65" s="2598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2.2000000000000002</v>
      </c>
      <c r="I66" s="74"/>
      <c r="J66" s="361" t="s">
        <v>266</v>
      </c>
      <c r="K66" s="3181">
        <f>K15*0.2</f>
        <v>1357.3980000000001</v>
      </c>
      <c r="L66" s="348"/>
      <c r="M66" s="3181">
        <f>M15*0.2</f>
        <v>1583.6309999999999</v>
      </c>
      <c r="N66" s="789"/>
      <c r="O66" s="3181">
        <f>O15*0.2</f>
        <v>1809.864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95.5</v>
      </c>
      <c r="M67" s="830"/>
      <c r="N67" s="786">
        <f>SUM(N68:N69)</f>
        <v>101.5</v>
      </c>
      <c r="O67" s="330"/>
      <c r="P67" s="325">
        <f>SUM(P68:P69)</f>
        <v>107.5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 t="s">
        <v>864</v>
      </c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>
        <v>36</v>
      </c>
      <c r="M69" s="774"/>
      <c r="N69" s="938">
        <v>42</v>
      </c>
      <c r="O69" s="774"/>
      <c r="P69" s="938">
        <v>48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68&amp;9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>
    <tabColor rgb="FF00B0F0"/>
    <pageSetUpPr fitToPage="1"/>
  </sheetPr>
  <dimension ref="A1:BP91"/>
  <sheetViews>
    <sheetView showGridLines="0" showZeros="0" zoomScaleNormal="100" workbookViewId="0">
      <pane xSplit="12" ySplit="6" topLeftCell="M28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3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'25)Mais CCM-(a)'!J2</f>
        <v>2022</v>
      </c>
      <c r="K2" s="2504" t="s">
        <v>858</v>
      </c>
      <c r="L2" s="2502"/>
      <c r="M2" s="2505"/>
      <c r="N2" s="2529"/>
      <c r="O2" s="2530" t="str">
        <f>'25)Mais CCM-(a)'!M2</f>
        <v>Mais CCM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'25)Mais CCM-(a)'!H3</f>
        <v>Corn-Cob-Mix Mais, Ernte LU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'25)Mais CCM-(a)'!K5</f>
        <v>90</v>
      </c>
      <c r="N6" s="1735">
        <f>'25)Mais CCM-(a)'!M5</f>
        <v>105</v>
      </c>
      <c r="O6" s="1743">
        <f>'25)Mais CCM-(a)'!O5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'25)Mais CCM-(a)'!K9</f>
        <v>85.5</v>
      </c>
      <c r="N7" s="1736">
        <f>'25)Mais CCM-(a)'!M9</f>
        <v>99.75</v>
      </c>
      <c r="O7" s="1744">
        <f>'25)Mais CCM-(a)'!O9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'25)Mais CCM-(a)'!L9</f>
        <v>135.71428571428572</v>
      </c>
      <c r="N8" s="1737">
        <f>'25)Mais CCM-(a)'!N9</f>
        <v>158.33333333333331</v>
      </c>
      <c r="O8" s="1583">
        <f>'25)Mais CCM-(a)'!P9</f>
        <v>180.95238095238096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'25)Mais CCM-(a)'!K11</f>
        <v>83.79</v>
      </c>
      <c r="N9" s="1562">
        <f>'25)Mais CCM-(a)'!M11</f>
        <v>97.754999999999995</v>
      </c>
      <c r="O9" s="1747">
        <f>'25)Mais CCM-(a)'!O11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'25)Mais CCM-(a)'!L11</f>
        <v>128.90769230769232</v>
      </c>
      <c r="N10" s="1582">
        <f>'25)Mais CCM-(a)'!N11</f>
        <v>150.3923076923077</v>
      </c>
      <c r="O10" s="2014">
        <f>'25)Mais CCM-(a)'!P11</f>
        <v>171.87692307692308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'25)Mais CCM-(a)'!L12</f>
        <v>13.569230769230769</v>
      </c>
      <c r="N11" s="1818">
        <f>'25)Mais CCM-(a)'!N12</f>
        <v>15.83076923076923</v>
      </c>
      <c r="O11" s="1819">
        <f>'25)Mais CCM-(a)'!P12</f>
        <v>18.092307692307692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'25)Mais CCM-(a)'!K15</f>
        <v>6786.9900000000007</v>
      </c>
      <c r="N12" s="1738">
        <f>'25)Mais CCM-(a)'!M15</f>
        <v>7918.1549999999988</v>
      </c>
      <c r="O12" s="1745">
        <f>'25)Mais CCM-(a)'!O15</f>
        <v>9049.32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'25)Mais CCM-(a)'!K16</f>
        <v>11311.650000000001</v>
      </c>
      <c r="N13" s="2077">
        <f>'25)Mais CCM-(a)'!M16</f>
        <v>13196.924999999999</v>
      </c>
      <c r="O13" s="2078">
        <f>'25)Mais CCM-(a)'!O16</f>
        <v>15082.2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'25)Mais CCM-(a)'!L24</f>
        <v>270</v>
      </c>
      <c r="N15" s="3338">
        <f>'25)Mais CCM-(a)'!N24</f>
        <v>270</v>
      </c>
      <c r="O15" s="3341">
        <f>'25)Mais CCM-(a)'!P24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'25)Mais CCM-(a)'!L18</f>
        <v>0</v>
      </c>
      <c r="N16" s="1736">
        <f>'25)Mais CCM-(a)'!N18</f>
        <v>0</v>
      </c>
      <c r="O16" s="3343">
        <f>'25)Mais CCM-(a)'!P18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'25)Mais CCM-(a)'!L27</f>
        <v>214</v>
      </c>
      <c r="N19" s="2072">
        <f>'25)Mais CCM-(a)'!N27</f>
        <v>214</v>
      </c>
      <c r="O19" s="2073">
        <f>'25)Mais CCM-(a)'!P27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'25)Mais CCM-(a)'!L31</f>
        <v>376.48024049999998</v>
      </c>
      <c r="N20" s="1567">
        <f>'25)Mais CCM-(a)'!N31</f>
        <v>439.22694725000002</v>
      </c>
      <c r="O20" s="1574">
        <f>'25)Mais CCM-(a)'!P31</f>
        <v>501.97365400000001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'25)Mais CCM-(a)'!L37</f>
        <v>84.585200000000015</v>
      </c>
      <c r="N21" s="1567">
        <f>'25)Mais CCM-(a)'!N37</f>
        <v>84.585200000000015</v>
      </c>
      <c r="O21" s="1574">
        <f>'25)Mais CCM-(a)'!P37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'25)Mais CCM-(a)'!L65</f>
        <v>29.862756000000005</v>
      </c>
      <c r="N22" s="1567">
        <f>'25)Mais CCM-(a)'!N65</f>
        <v>34.839881999999996</v>
      </c>
      <c r="O22" s="1574">
        <f>'25)Mais CCM-(a)'!P65</f>
        <v>39.817008000000008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'25)Mais CCM-(a)'!L67</f>
        <v>95.5</v>
      </c>
      <c r="N23" s="1567">
        <f>'25)Mais CCM-(a)'!N67</f>
        <v>101.5</v>
      </c>
      <c r="O23" s="1574">
        <f>'25)Mais CCM-(a)'!P67</f>
        <v>107.5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'25)Mais CCM-(a)'!L42</f>
        <v>123.86989736172001</v>
      </c>
      <c r="N24" s="1567">
        <f>'25)Mais CCM-(a)'!N42</f>
        <v>133.64561480620665</v>
      </c>
      <c r="O24" s="1574">
        <f>'25)Mais CCM-(a)'!P42</f>
        <v>143.42133225069333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'25)Mais CCM-(a)'!L58</f>
        <v>328.44000000000005</v>
      </c>
      <c r="N25" s="1567">
        <f>'25)Mais CCM-(a)'!N58</f>
        <v>357</v>
      </c>
      <c r="O25" s="1574">
        <f>'25)Mais CCM-(a)'!P58</f>
        <v>385.56000000000006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'25)Mais CCM-(a)'!L63</f>
        <v>0</v>
      </c>
      <c r="N26" s="1980">
        <f>'25)Mais CCM-(a)'!N63</f>
        <v>0</v>
      </c>
      <c r="O26" s="1981">
        <f>'25)Mais CCM-(a)'!P63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1252.73809386172</v>
      </c>
      <c r="N27" s="1775">
        <f>SUM(N19:N26)</f>
        <v>1364.7976440562065</v>
      </c>
      <c r="O27" s="2055">
        <f>SUM(O19:O26)</f>
        <v>1476.8571942506933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-1252.73809386172</v>
      </c>
      <c r="N28" s="2060">
        <f>-N27</f>
        <v>-1364.7976440562065</v>
      </c>
      <c r="O28" s="2061">
        <f>-O27</f>
        <v>-1476.8571942506933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M27*'25)Mais CCM-(a)'!$L$70*'25)Mais CCM-(a)'!$P$70/12/100</f>
        <v>7.8296130866357512</v>
      </c>
      <c r="N30" s="1980">
        <f>N27*'25)Mais CCM-(a)'!$L$70*'25)Mais CCM-(a)'!$P$70/12/100</f>
        <v>8.5299852753512919</v>
      </c>
      <c r="O30" s="1981">
        <f>O27*'25)Mais CCM-(a)'!$L$70*'25)Mais CCM-(a)'!$P$70/12/100</f>
        <v>9.2303574640668327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'25)Mais CCM-(a)'!Q18+'25)Mais CCM-(a)'!Q24</f>
        <v>0</v>
      </c>
      <c r="AA30" s="3309">
        <f>'25)Mais CCM-(a)'!R18+'25)Mais CCM-(a)'!R24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-990.56770694835575</v>
      </c>
      <c r="N31" s="1769">
        <f>N28+N29-N30</f>
        <v>-1103.3276293315578</v>
      </c>
      <c r="O31" s="1776">
        <f>O28+O29-O30</f>
        <v>-1216.0875517147601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-0.14595096013819905</v>
      </c>
      <c r="N32" s="1561">
        <f>IF(N12=0,0,N31/N12)</f>
        <v>-0.13934150434432743</v>
      </c>
      <c r="O32" s="2047">
        <f>IF(O12=0,0,O31/O12)</f>
        <v>-0.13438441249892369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-8.7570576082919432E-2</v>
      </c>
      <c r="N33" s="1576">
        <f>IF(N13=0,0,N31/N13)</f>
        <v>-8.3604902606596448E-2</v>
      </c>
      <c r="O33" s="2052">
        <f>IF(O13=0,0,O31/O13)</f>
        <v>-8.063064749935421E-2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'25)Mais CCM-(a)'!K57</f>
        <v>9.4446000000000012</v>
      </c>
      <c r="N35" s="2396">
        <f>'25)Mais CCM-(a)'!M57</f>
        <v>10.259700000000002</v>
      </c>
      <c r="O35" s="2398">
        <f>'25)Mais CCM-(a)'!O57</f>
        <v>11.0748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'25)Mais CCM-(a)'!L10</f>
        <v>14.285714285714286</v>
      </c>
      <c r="N36" s="2431">
        <f>'25)Mais CCM-(a)'!N10</f>
        <v>16.666666666666664</v>
      </c>
      <c r="O36" s="2432">
        <f>'25)Mais CCM-(a)'!P10</f>
        <v>19.047619047619047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165.28050000000002</v>
      </c>
      <c r="N37" s="1567">
        <f>$J$37*N35</f>
        <v>179.54475000000005</v>
      </c>
      <c r="O37" s="1574">
        <f>$J$37*O35</f>
        <v>193.809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69.416666666666671</v>
      </c>
      <c r="N38" s="2433">
        <f>N36*$I$36</f>
        <v>80.9861111111111</v>
      </c>
      <c r="O38" s="2429">
        <f>O36*$I$36</f>
        <v>92.555555555555557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1217.4403107175924</v>
      </c>
      <c r="N43" s="1991">
        <f>SUM(N37:N42)</f>
        <v>933.27400516203693</v>
      </c>
      <c r="O43" s="1994">
        <f>SUM(O37:O42)</f>
        <v>959.10769960648145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2478.0080176659485</v>
      </c>
      <c r="N46" s="2041">
        <f>N27+N30+N43</f>
        <v>2306.6016344935947</v>
      </c>
      <c r="O46" s="2080">
        <f>O27+O30+O43</f>
        <v>2445.1952513212418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-2478.0080176659485</v>
      </c>
      <c r="N47" s="2227">
        <f>N45-N46</f>
        <v>-2306.6016344935947</v>
      </c>
      <c r="O47" s="2228">
        <f>O45-O46</f>
        <v>-2445.1952513212418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-2208.0080176659485</v>
      </c>
      <c r="N49" s="1991">
        <f>N47+N48</f>
        <v>-2036.6016344935947</v>
      </c>
      <c r="O49" s="1994">
        <f>O47+O48</f>
        <v>-2175.1952513212418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2208.0080176659485</v>
      </c>
      <c r="N51" s="1771">
        <f>N46-N48</f>
        <v>2036.6016344935947</v>
      </c>
      <c r="O51" s="3358">
        <f>O46-O48</f>
        <v>2175.1952513212418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17.128597821731308</v>
      </c>
      <c r="N52" s="2335">
        <f>IF(N10=0,0,N$51/N10)</f>
        <v>13.541926882725553</v>
      </c>
      <c r="O52" s="2336">
        <f>IF(O10=0,0,O$51/O10)</f>
        <v>12.655539861786673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26.351688956509708</v>
      </c>
      <c r="N53" s="2335">
        <f>IF(N9=0,0,N$51/N9)</f>
        <v>20.833733665731621</v>
      </c>
      <c r="O53" s="2336">
        <f>IF(O9=0,0,O$51/O9)</f>
        <v>19.47006132582565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162.72167930644744</v>
      </c>
      <c r="N54" s="2335">
        <f t="shared" si="3"/>
        <v>128.64830538589277</v>
      </c>
      <c r="O54" s="2336">
        <f t="shared" si="3"/>
        <v>120.2276286869734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0.3253294932902433</v>
      </c>
      <c r="N55" s="2219">
        <f t="shared" si="3"/>
        <v>0.25720658846582251</v>
      </c>
      <c r="O55" s="2220">
        <f t="shared" si="3"/>
        <v>0.24037112747932904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0.19519769597414596</v>
      </c>
      <c r="N56" s="2219">
        <f>IF(N13=0,0,N$51/N13)</f>
        <v>0.15432395307949351</v>
      </c>
      <c r="O56" s="2220">
        <f>IF(O13=0,0,O$51/O13)</f>
        <v>0.1442226764875974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2138.591350999282</v>
      </c>
      <c r="N58" s="1769">
        <f>N51-N38</f>
        <v>1955.6155233824836</v>
      </c>
      <c r="O58" s="1776">
        <f>O51-O38</f>
        <v>2082.6396957656862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25.523228917523355</v>
      </c>
      <c r="N59" s="3416">
        <f>N58/N9</f>
        <v>20.005273626745268</v>
      </c>
      <c r="O59" s="3417">
        <f>O58/O9</f>
        <v>18.641601286839297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0.31510159157436241</v>
      </c>
      <c r="N60" s="2130">
        <f>IF(N12=0,0,N$58/N12)</f>
        <v>0.24697868674994161</v>
      </c>
      <c r="O60" s="2217">
        <f>IF(O12=0,0,O$58/O12)</f>
        <v>0.23014322576344812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8.7528219881767344E-2</v>
      </c>
      <c r="N61" s="2130">
        <f>N58/$N$12*10/$F$57</f>
        <v>6.860519076387267E-2</v>
      </c>
      <c r="O61" s="3422">
        <f>O58/$O$12*10/$F$57</f>
        <v>6.3928673823180029E-2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0.18906095494461742</v>
      </c>
      <c r="N62" s="1874">
        <f>IF(N13=0,0,N$58/N13)</f>
        <v>0.14818721204996496</v>
      </c>
      <c r="O62" s="2032">
        <f>IF(O13=0,0,O$58/O13)</f>
        <v>0.13808593545806885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808.25780958663574</v>
      </c>
      <c r="N64" s="1772">
        <f>SUM(N19:N23)+N30</f>
        <v>882.68201452535118</v>
      </c>
      <c r="O64" s="1773">
        <f>SUM(O19:O23)+O30</f>
        <v>957.10621946406684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0.11908928841601883</v>
      </c>
      <c r="N65" s="1874">
        <f>N64/N12</f>
        <v>0.11147571808399195</v>
      </c>
      <c r="O65" s="2032">
        <f>O64/O12</f>
        <v>0.10576554033497179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1102.2892588571326</v>
      </c>
      <c r="N66" s="2038">
        <f>N24+N25+N26+N39+N37</f>
        <v>1145.1135088571325</v>
      </c>
      <c r="O66" s="2039">
        <f>O24+O25+O26+O39+O37</f>
        <v>1197.7134763016193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0.16241209414735142</v>
      </c>
      <c r="N67" s="2166">
        <f>N66/N12</f>
        <v>0.14461872858729496</v>
      </c>
      <c r="O67" s="2187">
        <f>O66/O12</f>
        <v>0.13235397535965346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G3:K3"/>
    <mergeCell ref="B15:B17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69&amp;9
&amp;R&amp;12&amp;F
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5">
    <pageSetUpPr fitToPage="1"/>
  </sheetPr>
  <dimension ref="A1:CA73"/>
  <sheetViews>
    <sheetView showGridLines="0" showZeros="0" zoomScaleNormal="100" workbookViewId="0">
      <pane xSplit="10" ySplit="5" topLeftCell="K36" activePane="bottomRight" state="frozen"/>
      <selection activeCell="G1" sqref="G1:I1"/>
      <selection pane="topRight" activeCell="G1" sqref="G1:I1"/>
      <selection pane="bottomLeft" activeCell="G1" sqref="G1:I1"/>
      <selection pane="bottomRight" activeCell="Q52" sqref="Q5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3" t="s">
        <v>897</v>
      </c>
      <c r="I3" s="4333"/>
      <c r="J3" s="4333"/>
      <c r="K3" s="4333"/>
      <c r="L3" s="4333"/>
      <c r="M3" s="4333"/>
      <c r="N3" s="4333"/>
      <c r="O3" s="4333"/>
      <c r="P3" s="433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95</v>
      </c>
      <c r="N5" s="2261"/>
      <c r="O5" s="370">
        <v>110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65</v>
      </c>
      <c r="L7" s="706">
        <v>67</v>
      </c>
      <c r="M7" s="702">
        <v>65</v>
      </c>
      <c r="N7" s="706">
        <v>67</v>
      </c>
      <c r="O7" s="702">
        <v>65</v>
      </c>
      <c r="P7" s="706">
        <v>67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9.5</v>
      </c>
      <c r="L8" s="707">
        <v>9.5</v>
      </c>
      <c r="M8" s="703">
        <v>9.5</v>
      </c>
      <c r="N8" s="707">
        <v>9.5</v>
      </c>
      <c r="O8" s="703">
        <v>9.5</v>
      </c>
      <c r="P8" s="707">
        <v>9.5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116.92307692307693</v>
      </c>
      <c r="M9" s="809">
        <f>M5*(100-M6)/100</f>
        <v>90.25</v>
      </c>
      <c r="N9" s="810">
        <f>IF(M7=0,0,M9/M7*100)</f>
        <v>138.84615384615384</v>
      </c>
      <c r="O9" s="720">
        <f>O5*(100-O6)/100</f>
        <v>104.5</v>
      </c>
      <c r="P9" s="721">
        <f>IF(O7=0,0,O9/O7*100)</f>
        <v>160.76923076923077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12.307692307692308</v>
      </c>
      <c r="M10" s="286"/>
      <c r="N10" s="811">
        <f>IF(M8=0,0,1/M8*N9)</f>
        <v>14.615384615384613</v>
      </c>
      <c r="O10" s="173"/>
      <c r="P10" s="722">
        <f>IF(O8=0,0,1/O8*P9)</f>
        <v>16.923076923076923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74.48</v>
      </c>
      <c r="L11" s="709">
        <f>IF(L7=0,0,K11/L7*100)</f>
        <v>111.16417910447763</v>
      </c>
      <c r="M11" s="812">
        <f>M9*(100-N6)/100</f>
        <v>88.444999999999993</v>
      </c>
      <c r="N11" s="813">
        <f>IF(N7=0,0,M11/N7*100)</f>
        <v>132.00746268656715</v>
      </c>
      <c r="O11" s="708">
        <f>O9*(100-P6)/100</f>
        <v>102.41</v>
      </c>
      <c r="P11" s="709">
        <f>IF(P7=0,0,O11/P7*100)</f>
        <v>152.85074626865671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11.701492537313433</v>
      </c>
      <c r="M12" s="801"/>
      <c r="N12" s="814">
        <f>IF(N8=0,0,1/N8*N11)</f>
        <v>13.8955223880597</v>
      </c>
      <c r="O12" s="487"/>
      <c r="P12" s="502">
        <f>IF(P8=0,0,1/P8*P11)</f>
        <v>16.089552238805968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8.6</v>
      </c>
      <c r="L13" s="418"/>
      <c r="M13" s="499">
        <v>8.6</v>
      </c>
      <c r="N13" s="784"/>
      <c r="O13" s="499">
        <v>8.6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14.333333333333334</v>
      </c>
      <c r="L14" s="418"/>
      <c r="M14" s="815">
        <f>M13/$G14</f>
        <v>14.333333333333334</v>
      </c>
      <c r="N14" s="784"/>
      <c r="O14" s="513">
        <f>O13/$G14</f>
        <v>14.333333333333334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6405.2800000000007</v>
      </c>
      <c r="L15" s="418"/>
      <c r="M15" s="816">
        <f>M$11*M13*10</f>
        <v>7606.2699999999995</v>
      </c>
      <c r="N15" s="784"/>
      <c r="O15" s="497">
        <f>O$11*O13*10</f>
        <v>8807.2599999999984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10675.466666666669</v>
      </c>
      <c r="L16" s="417"/>
      <c r="M16" s="817">
        <f>M$11*M14*10</f>
        <v>12677.116666666665</v>
      </c>
      <c r="N16" s="428"/>
      <c r="O16" s="498">
        <f>O$11*O14*10</f>
        <v>14678.766666666668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634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334.64910266666669</v>
      </c>
      <c r="M31" s="819"/>
      <c r="N31" s="786">
        <f>SUM(N33:N36)-N17</f>
        <v>397.39580941666662</v>
      </c>
      <c r="O31" s="334"/>
      <c r="P31" s="325">
        <f>SUM(P33:P36)-P17</f>
        <v>460.14251616666667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/>
      <c r="I33"/>
      <c r="J33" s="172"/>
      <c r="K33" s="336">
        <f>G33*$K$9+H33</f>
        <v>120.84</v>
      </c>
      <c r="L33" s="337">
        <f>K33*$E33</f>
        <v>207.55075600000001</v>
      </c>
      <c r="M33" s="820">
        <f>G33*$M$9+H33</f>
        <v>143.4975</v>
      </c>
      <c r="N33" s="791">
        <f>M33*$E33</f>
        <v>246.46652275</v>
      </c>
      <c r="O33" s="336">
        <f>G33*$O$9+H33</f>
        <v>166.155</v>
      </c>
      <c r="P33" s="337">
        <f>O33*$E33</f>
        <v>285.38228950000001</v>
      </c>
      <c r="Q33" s="528"/>
      <c r="R33" s="528"/>
      <c r="S33" s="528" t="s">
        <v>1451</v>
      </c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60.800000000000004</v>
      </c>
      <c r="L34" s="337">
        <f>K34*$E34</f>
        <v>68.734399999999994</v>
      </c>
      <c r="M34" s="820">
        <f>G34*$M$9+H34</f>
        <v>72.2</v>
      </c>
      <c r="N34" s="791">
        <f>M34*$E34</f>
        <v>81.622099999999989</v>
      </c>
      <c r="O34" s="336">
        <f>G34*$O$9+H34</f>
        <v>83.600000000000009</v>
      </c>
      <c r="P34" s="337">
        <f>O34*$E34</f>
        <v>94.509799999999998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0.64</v>
      </c>
      <c r="H35" s="386"/>
      <c r="I35"/>
      <c r="J35" s="172"/>
      <c r="K35" s="336">
        <f>G35*$K$9+H35</f>
        <v>48.64</v>
      </c>
      <c r="L35" s="337">
        <f>K35*$E35</f>
        <v>51.128746666666665</v>
      </c>
      <c r="M35" s="820">
        <f>G35*$M$9+H35</f>
        <v>57.76</v>
      </c>
      <c r="N35" s="791">
        <f>M35*$E35</f>
        <v>60.71538666666666</v>
      </c>
      <c r="O35" s="336">
        <f>G35*$O$9+H35</f>
        <v>66.88</v>
      </c>
      <c r="P35" s="337">
        <f>O35*$E35</f>
        <v>70.302026666666663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0.16</v>
      </c>
      <c r="H36" s="387"/>
      <c r="I36" s="36"/>
      <c r="J36" s="36"/>
      <c r="K36" s="338">
        <f>G36*$K$9+H36</f>
        <v>12.16</v>
      </c>
      <c r="L36" s="333">
        <f>K36*$E36</f>
        <v>7.2351999999999999</v>
      </c>
      <c r="M36" s="821">
        <f>G36*$M$9+H36</f>
        <v>14.44</v>
      </c>
      <c r="N36" s="792">
        <f>M36*$E36</f>
        <v>8.5917999999999992</v>
      </c>
      <c r="O36" s="338">
        <f>G36*$O$9+H36</f>
        <v>16.72</v>
      </c>
      <c r="P36" s="333">
        <f>O36*$E36</f>
        <v>9.9483999999999995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285.21739896096119</v>
      </c>
      <c r="M42" s="823"/>
      <c r="N42" s="786">
        <f>SUM(W45:W55)</f>
        <v>292.26835091086645</v>
      </c>
      <c r="O42" s="425"/>
      <c r="P42" s="325">
        <f>SUM(Z45:Z55)</f>
        <v>299.3193028607717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2</v>
      </c>
      <c r="L46" s="337">
        <f t="shared" si="0"/>
        <v>182.39672920000001</v>
      </c>
      <c r="M46" s="375">
        <v>2</v>
      </c>
      <c r="N46" s="791">
        <f t="shared" si="1"/>
        <v>182.39672920000001</v>
      </c>
      <c r="O46" s="375">
        <v>2</v>
      </c>
      <c r="P46" s="337">
        <f t="shared" si="2"/>
        <v>182.39672920000001</v>
      </c>
      <c r="Q46" s="528"/>
      <c r="R46" s="1348">
        <f t="shared" si="3"/>
        <v>2.9</v>
      </c>
      <c r="S46" s="471" t="e">
        <f>K46*#REF!</f>
        <v>#REF!</v>
      </c>
      <c r="T46" s="258">
        <f t="shared" si="4"/>
        <v>182.39672920000001</v>
      </c>
      <c r="U46" s="1349">
        <f t="shared" si="5"/>
        <v>2.9</v>
      </c>
      <c r="V46" s="1350" t="e">
        <f>M46*#REF!</f>
        <v>#REF!</v>
      </c>
      <c r="W46" s="827">
        <f t="shared" si="6"/>
        <v>182.39672920000001</v>
      </c>
      <c r="X46" s="1351">
        <f t="shared" si="7"/>
        <v>2.9</v>
      </c>
      <c r="Y46" s="471" t="e">
        <f>O46*#REF!</f>
        <v>#REF!</v>
      </c>
      <c r="Z46" s="258">
        <f t="shared" si="8"/>
        <v>182.39672920000001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2636">
        <f>L9/500</f>
        <v>0.23384615384615387</v>
      </c>
      <c r="L51" s="2637">
        <f t="shared" si="0"/>
        <v>37.605077066161236</v>
      </c>
      <c r="M51" s="2636">
        <f>N9/500</f>
        <v>0.27769230769230768</v>
      </c>
      <c r="N51" s="2638">
        <f t="shared" si="1"/>
        <v>44.656029016066462</v>
      </c>
      <c r="O51" s="2636">
        <f>P9/500</f>
        <v>0.32153846153846155</v>
      </c>
      <c r="P51" s="337">
        <f t="shared" si="2"/>
        <v>51.706980965971695</v>
      </c>
      <c r="Q51" s="528"/>
      <c r="R51" s="1348">
        <f t="shared" si="3"/>
        <v>1.8427076923076924</v>
      </c>
      <c r="S51" s="471" t="e">
        <f>K51*#REF!</f>
        <v>#REF!</v>
      </c>
      <c r="T51" s="258">
        <f t="shared" si="4"/>
        <v>37.605077066161236</v>
      </c>
      <c r="U51" s="1349">
        <f t="shared" si="5"/>
        <v>2.1882153846153845</v>
      </c>
      <c r="V51" s="1350" t="e">
        <f>M51*#REF!</f>
        <v>#REF!</v>
      </c>
      <c r="W51" s="827">
        <f t="shared" si="6"/>
        <v>44.656029016066462</v>
      </c>
      <c r="X51" s="1351">
        <f t="shared" si="7"/>
        <v>2.533723076923077</v>
      </c>
      <c r="Y51" s="471" t="e">
        <f>O51*#REF!</f>
        <v>#REF!</v>
      </c>
      <c r="Z51" s="258">
        <f t="shared" si="8"/>
        <v>51.706980965971695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2636"/>
      <c r="L52" s="2637">
        <f t="shared" si="0"/>
        <v>0</v>
      </c>
      <c r="M52" s="2636"/>
      <c r="N52" s="2638">
        <f t="shared" si="1"/>
        <v>0</v>
      </c>
      <c r="O52" s="2636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7.2727076923076925</v>
      </c>
      <c r="L56" s="341"/>
      <c r="M56" s="797">
        <f>SUM($U$45:$U$55)</f>
        <v>7.6182153846153842</v>
      </c>
      <c r="N56" s="798"/>
      <c r="O56" s="340">
        <f>SUM($X$45:$X$55)</f>
        <v>7.9637230769230767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13.090873846153846</v>
      </c>
      <c r="L57" s="343"/>
      <c r="M57" s="799">
        <f>IF(M56+(M56*$G$57/100)&gt;M56+10,M56+10,M56+(M56*$G$57/100))</f>
        <v>13.712787692307691</v>
      </c>
      <c r="N57" s="800"/>
      <c r="O57" s="342">
        <f>IF(O56+(O56*$G$57/100)&gt;O56+10,O56+10,O56+(O56*$G$57/100))</f>
        <v>14.334701538461537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482.42600000000004</v>
      </c>
      <c r="M58" s="826"/>
      <c r="N58" s="786">
        <f>SUM(N60:N62)</f>
        <v>555.37300000000005</v>
      </c>
      <c r="O58" s="344"/>
      <c r="P58" s="325">
        <f>SUM(P60:P62)</f>
        <v>630.58100000000002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4053" t="s">
        <v>90</v>
      </c>
      <c r="E60" s="4054"/>
      <c r="F60" s="4054"/>
      <c r="G60" s="60"/>
      <c r="H60" s="3012">
        <v>195</v>
      </c>
      <c r="I60" s="3013">
        <f>H60*($H$58+100)/100</f>
        <v>232.05</v>
      </c>
      <c r="J60" s="400"/>
      <c r="K60" s="3014">
        <v>0.9</v>
      </c>
      <c r="L60" s="3015">
        <f>K60*I60</f>
        <v>208.84500000000003</v>
      </c>
      <c r="M60" s="3014">
        <v>1</v>
      </c>
      <c r="N60" s="3016">
        <f>M60*I60</f>
        <v>232.05</v>
      </c>
      <c r="O60" s="3014">
        <v>1.1000000000000001</v>
      </c>
      <c r="P60" s="3015">
        <f>O60*I60</f>
        <v>255.25500000000002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4051" t="s">
        <v>562</v>
      </c>
      <c r="E61" s="4055"/>
      <c r="F61" s="4055"/>
      <c r="G61" s="7"/>
      <c r="H61" s="3029">
        <v>1.9</v>
      </c>
      <c r="I61" s="3030">
        <f>H61*($H$58+100)/100</f>
        <v>2.2610000000000001</v>
      </c>
      <c r="J61" s="172"/>
      <c r="K61" s="374">
        <v>121</v>
      </c>
      <c r="L61" s="258">
        <f>K61*I61</f>
        <v>273.58100000000002</v>
      </c>
      <c r="M61" s="374">
        <v>143</v>
      </c>
      <c r="N61" s="827">
        <f>M61*I61</f>
        <v>323.32300000000004</v>
      </c>
      <c r="O61" s="374">
        <v>166</v>
      </c>
      <c r="P61" s="258">
        <f>O61*I61</f>
        <v>375.32600000000002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43"/>
      <c r="T62" s="544"/>
      <c r="U62" s="544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3007">
        <f>K7/100</f>
        <v>0.65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28.183232000000007</v>
      </c>
      <c r="M65" s="1357"/>
      <c r="N65" s="786">
        <f>M66*$H66/100</f>
        <v>33.467587999999999</v>
      </c>
      <c r="O65" s="347"/>
      <c r="P65" s="325">
        <f>O66*$H66/100</f>
        <v>38.751944000000002</v>
      </c>
      <c r="Q65" s="529"/>
      <c r="R65" s="529"/>
      <c r="S65" s="1167"/>
      <c r="T65" s="2598"/>
      <c r="U65" s="2598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2.2000000000000002</v>
      </c>
      <c r="I66" s="74"/>
      <c r="J66" s="361" t="s">
        <v>266</v>
      </c>
      <c r="K66" s="3181">
        <f>K15*0.2</f>
        <v>1281.0560000000003</v>
      </c>
      <c r="L66" s="348"/>
      <c r="M66" s="3181">
        <f>M15*0.2</f>
        <v>1521.2539999999999</v>
      </c>
      <c r="N66" s="789"/>
      <c r="O66" s="3181">
        <f>O15*0.2</f>
        <v>1761.4519999999998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11811023622047245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70&amp;9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tabColor rgb="FF00B0F0"/>
    <pageSetUpPr fitToPage="1"/>
  </sheetPr>
  <dimension ref="A1:BP91"/>
  <sheetViews>
    <sheetView showGridLines="0" showZeros="0" zoomScaleNormal="100" workbookViewId="0">
      <pane xSplit="12" ySplit="6" topLeftCell="M25" activePane="bottomRight" state="frozen"/>
      <selection activeCell="G1" sqref="G1:I1"/>
      <selection pane="topRight" activeCell="G1" sqref="G1:I1"/>
      <selection pane="bottomLeft" activeCell="G1" sqref="G1:I1"/>
      <selection pane="bottomRight" activeCell="T16" sqref="T1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140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'26)Mais feucht-(a)'!J2</f>
        <v>2022</v>
      </c>
      <c r="K2" s="2504" t="s">
        <v>858</v>
      </c>
      <c r="L2" s="2502"/>
      <c r="M2" s="2505"/>
      <c r="N2" s="2529"/>
      <c r="O2" s="2530" t="str">
        <f>'26)Mais feucht-(a)'!M2</f>
        <v>Feuchtmais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'26)Mais feucht-(a)'!H3</f>
        <v>Feuchtmais, Schroten im Lohn inkl. Konservierungsstoff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'26)Mais feucht-(a)'!K5</f>
        <v>80</v>
      </c>
      <c r="N6" s="1735">
        <f>'26)Mais feucht-(a)'!M5</f>
        <v>95</v>
      </c>
      <c r="O6" s="1743">
        <f>'26)Mais feucht-(a)'!O5</f>
        <v>110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'26)Mais feucht-(a)'!K9</f>
        <v>76</v>
      </c>
      <c r="N7" s="1736">
        <f>'26)Mais feucht-(a)'!M9</f>
        <v>90.25</v>
      </c>
      <c r="O7" s="1744">
        <f>'26)Mais feucht-(a)'!O9</f>
        <v>104.5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'26)Mais feucht-(a)'!L9</f>
        <v>116.92307692307693</v>
      </c>
      <c r="N8" s="1737">
        <f>'26)Mais feucht-(a)'!N9</f>
        <v>138.84615384615384</v>
      </c>
      <c r="O8" s="1583">
        <f>'26)Mais feucht-(a)'!P9</f>
        <v>160.76923076923077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'26)Mais feucht-(a)'!K11</f>
        <v>74.48</v>
      </c>
      <c r="N9" s="1562">
        <f>'26)Mais feucht-(a)'!M11</f>
        <v>88.444999999999993</v>
      </c>
      <c r="O9" s="1747">
        <f>'26)Mais feucht-(a)'!O11</f>
        <v>102.41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'26)Mais feucht-(a)'!L11</f>
        <v>111.16417910447763</v>
      </c>
      <c r="N10" s="1582">
        <f>'26)Mais feucht-(a)'!N11</f>
        <v>132.00746268656715</v>
      </c>
      <c r="O10" s="2014">
        <f>'26)Mais feucht-(a)'!P11</f>
        <v>152.85074626865671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'26)Mais feucht-(a)'!L12</f>
        <v>11.701492537313433</v>
      </c>
      <c r="N11" s="1818">
        <f>'26)Mais feucht-(a)'!N12</f>
        <v>13.8955223880597</v>
      </c>
      <c r="O11" s="1819">
        <f>'26)Mais feucht-(a)'!P12</f>
        <v>16.089552238805968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'26)Mais feucht-(a)'!K15</f>
        <v>6405.2800000000007</v>
      </c>
      <c r="N12" s="1738">
        <f>'26)Mais feucht-(a)'!M15</f>
        <v>7606.2699999999995</v>
      </c>
      <c r="O12" s="1745">
        <f>'26)Mais feucht-(a)'!O15</f>
        <v>8807.2599999999984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'26)Mais feucht-(a)'!K16</f>
        <v>10675.466666666669</v>
      </c>
      <c r="N13" s="2077">
        <f>'26)Mais feucht-(a)'!M16</f>
        <v>12677.116666666665</v>
      </c>
      <c r="O13" s="2078">
        <f>'26)Mais feucht-(a)'!O16</f>
        <v>14678.766666666668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'26)Mais feucht-(a)'!L24</f>
        <v>270</v>
      </c>
      <c r="N15" s="3338">
        <f>'26)Mais feucht-(a)'!N24</f>
        <v>270</v>
      </c>
      <c r="O15" s="3341">
        <f>'26)Mais feucht-(a)'!P24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'26)Mais feucht-(a)'!L18</f>
        <v>0</v>
      </c>
      <c r="N16" s="1736">
        <f>'26)Mais feucht-(a)'!N18</f>
        <v>0</v>
      </c>
      <c r="O16" s="3343">
        <f>'26)Mais feucht-(a)'!P18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'26)Mais feucht-(a)'!L27</f>
        <v>214</v>
      </c>
      <c r="N19" s="2072">
        <f>'26)Mais feucht-(a)'!N27</f>
        <v>214</v>
      </c>
      <c r="O19" s="2073">
        <f>'26)Mais feucht-(a)'!P27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'26)Mais feucht-(a)'!L31</f>
        <v>334.64910266666669</v>
      </c>
      <c r="N20" s="1567">
        <f>'26)Mais feucht-(a)'!N31</f>
        <v>397.39580941666662</v>
      </c>
      <c r="O20" s="1574">
        <f>'26)Mais feucht-(a)'!P31</f>
        <v>460.14251616666667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'26)Mais feucht-(a)'!L37</f>
        <v>84.585200000000015</v>
      </c>
      <c r="N21" s="1567">
        <f>'26)Mais feucht-(a)'!N37</f>
        <v>84.585200000000015</v>
      </c>
      <c r="O21" s="1574">
        <f>'26)Mais feucht-(a)'!P37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'26)Mais feucht-(a)'!L65</f>
        <v>28.183232000000007</v>
      </c>
      <c r="N22" s="1567">
        <f>'26)Mais feucht-(a)'!N65</f>
        <v>33.467587999999999</v>
      </c>
      <c r="O22" s="1574">
        <f>'26)Mais feucht-(a)'!P65</f>
        <v>38.751944000000002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'26)Mais feucht-(a)'!L67</f>
        <v>0</v>
      </c>
      <c r="N23" s="1567">
        <f>'26)Mais feucht-(a)'!N67</f>
        <v>0</v>
      </c>
      <c r="O23" s="1574">
        <f>'26)Mais feucht-(a)'!P67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'26)Mais feucht-(a)'!L42</f>
        <v>285.21739896096119</v>
      </c>
      <c r="N24" s="1567">
        <f>'26)Mais feucht-(a)'!N42</f>
        <v>292.26835091086645</v>
      </c>
      <c r="O24" s="1574">
        <f>'26)Mais feucht-(a)'!P42</f>
        <v>299.3193028607717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'26)Mais feucht-(a)'!L58</f>
        <v>482.42600000000004</v>
      </c>
      <c r="N25" s="1567">
        <f>'26)Mais feucht-(a)'!N58</f>
        <v>555.37300000000005</v>
      </c>
      <c r="O25" s="1574">
        <f>'26)Mais feucht-(a)'!P58</f>
        <v>630.58100000000002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'26)Mais feucht-(a)'!L63</f>
        <v>0</v>
      </c>
      <c r="N26" s="1980">
        <f>'26)Mais feucht-(a)'!N63</f>
        <v>0</v>
      </c>
      <c r="O26" s="1981">
        <f>'26)Mais feucht-(a)'!P63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1429.0609336276279</v>
      </c>
      <c r="N27" s="1775">
        <f>SUM(N19:N26)</f>
        <v>1577.0899483275332</v>
      </c>
      <c r="O27" s="2055">
        <f>SUM(O19:O26)</f>
        <v>1727.3799630274384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-1429.0609336276279</v>
      </c>
      <c r="N28" s="2060">
        <f>-N27</f>
        <v>-1577.0899483275332</v>
      </c>
      <c r="O28" s="2061">
        <f>-O27</f>
        <v>-1727.3799630274384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M27*'26)Mais feucht-(a)'!$L$70*'26)Mais feucht-(a)'!$P$70/12/100</f>
        <v>8.9316308351726725</v>
      </c>
      <c r="N30" s="1980">
        <f>N27*'26)Mais feucht-(a)'!$L$70*'26)Mais feucht-(a)'!$P$70/12/100</f>
        <v>9.8568121770470825</v>
      </c>
      <c r="O30" s="1981">
        <f>O27*'26)Mais feucht-(a)'!$L$70*'26)Mais feucht-(a)'!$P$70/12/100</f>
        <v>10.796124768921489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'26)Mais feucht-(a)'!Q18+'26)Mais feucht-(a)'!Q24</f>
        <v>0</v>
      </c>
      <c r="AA30" s="3309">
        <f>'26)Mais feucht-(a)'!R18+'26)Mais feucht-(a)'!R24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-1167.9925644628006</v>
      </c>
      <c r="N31" s="1769">
        <f>N28+N29-N30</f>
        <v>-1316.9467605045802</v>
      </c>
      <c r="O31" s="1776">
        <f>O28+O29-O30</f>
        <v>-1468.17608779636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-0.18234840076668007</v>
      </c>
      <c r="N32" s="1561">
        <f>IF(N12=0,0,N31/N12)</f>
        <v>-0.17313962829410215</v>
      </c>
      <c r="O32" s="2047">
        <f>IF(O12=0,0,O31/O12)</f>
        <v>-0.1667006637474493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-0.10940904046000803</v>
      </c>
      <c r="N33" s="1576">
        <f>IF(N13=0,0,N31/N13)</f>
        <v>-0.1038837769764613</v>
      </c>
      <c r="O33" s="2052">
        <f>IF(O13=0,0,O31/O13)</f>
        <v>-0.10002039824846955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'26)Mais feucht-(a)'!K57</f>
        <v>13.090873846153846</v>
      </c>
      <c r="N35" s="2396">
        <f>'26)Mais feucht-(a)'!M57</f>
        <v>13.712787692307691</v>
      </c>
      <c r="O35" s="2398">
        <f>'26)Mais feucht-(a)'!O57</f>
        <v>14.334701538461537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'26)Mais feucht-(a)'!L10</f>
        <v>12.307692307692308</v>
      </c>
      <c r="N36" s="2431">
        <f>'26)Mais feucht-(a)'!N10</f>
        <v>14.615384615384613</v>
      </c>
      <c r="O36" s="2432">
        <f>'26)Mais feucht-(a)'!P10</f>
        <v>16.923076923076923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229.09029230769229</v>
      </c>
      <c r="N37" s="1567">
        <f>$J$37*N35</f>
        <v>239.9737846153846</v>
      </c>
      <c r="O37" s="1574">
        <f>$J$37*O35</f>
        <v>250.85727692307691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59.805128205128213</v>
      </c>
      <c r="N38" s="2433">
        <f>N36*$I$36</f>
        <v>71.018589743589729</v>
      </c>
      <c r="O38" s="2429">
        <f>O36*$I$36</f>
        <v>82.232051282051287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1271.6385645637463</v>
      </c>
      <c r="N43" s="1991">
        <f>SUM(N37:N42)</f>
        <v>983.73551840990012</v>
      </c>
      <c r="O43" s="1994">
        <f>SUM(O37:O42)</f>
        <v>1005.832472256054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2709.6311290265467</v>
      </c>
      <c r="N46" s="2041">
        <f>N27+N30+N43</f>
        <v>2570.6822789144803</v>
      </c>
      <c r="O46" s="2080">
        <f>O27+O30+O43</f>
        <v>2744.0085600524139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-2709.6311290265467</v>
      </c>
      <c r="N47" s="2227">
        <f>N45-N46</f>
        <v>-2570.6822789144803</v>
      </c>
      <c r="O47" s="2228">
        <f>O45-O46</f>
        <v>-2744.0085600524139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-2439.6311290265467</v>
      </c>
      <c r="N49" s="1991">
        <f>N47+N48</f>
        <v>-2300.6822789144803</v>
      </c>
      <c r="O49" s="1994">
        <f>O47+O48</f>
        <v>-2474.0085600524139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2439.6311290265467</v>
      </c>
      <c r="N51" s="1771">
        <f>N46-N48</f>
        <v>2300.6822789144803</v>
      </c>
      <c r="O51" s="3358">
        <f>O46-O48</f>
        <v>2474.0085600524139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21.946198394841382</v>
      </c>
      <c r="N52" s="2335">
        <f>IF(N10=0,0,N$51/N10)</f>
        <v>17.42842587905141</v>
      </c>
      <c r="O52" s="2336">
        <f>IF(O10=0,0,O$51/O10)</f>
        <v>16.185780053072136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32.75551999230057</v>
      </c>
      <c r="N53" s="2335">
        <f>IF(N9=0,0,N$51/N9)</f>
        <v>26.012575938882701</v>
      </c>
      <c r="O53" s="2336">
        <f>IF(O9=0,0,O$51/O9)</f>
        <v>24.157880676227069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208.48888475099315</v>
      </c>
      <c r="N54" s="2335">
        <f t="shared" si="3"/>
        <v>165.57004585098841</v>
      </c>
      <c r="O54" s="2336">
        <f t="shared" si="3"/>
        <v>153.76491050418531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0.38087813944535548</v>
      </c>
      <c r="N55" s="2219">
        <f t="shared" si="3"/>
        <v>0.30247181324282207</v>
      </c>
      <c r="O55" s="2220">
        <f t="shared" si="3"/>
        <v>0.28090558925845432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0.22852688366721324</v>
      </c>
      <c r="N56" s="2219">
        <f>IF(N13=0,0,N$51/N13)</f>
        <v>0.18148308794569326</v>
      </c>
      <c r="O56" s="2220">
        <f>IF(O13=0,0,O$51/O13)</f>
        <v>0.16854335355507255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2379.8260008214183</v>
      </c>
      <c r="N58" s="1769">
        <f>N51-N38</f>
        <v>2229.6636891708904</v>
      </c>
      <c r="O58" s="1776">
        <f>O51-O38</f>
        <v>2391.7765087703629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31.952551031436872</v>
      </c>
      <c r="N59" s="3416">
        <f>N58/N9</f>
        <v>25.209606978019</v>
      </c>
      <c r="O59" s="3417">
        <f>O58/O9</f>
        <v>23.354911715363372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0.37154129106321943</v>
      </c>
      <c r="N60" s="2130">
        <f>IF(N12=0,0,N$58/N12)</f>
        <v>0.29313496486068608</v>
      </c>
      <c r="O60" s="2217">
        <f>IF(O12=0,0,O$58/O12)</f>
        <v>0.27156874087631833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0.10320591418422762</v>
      </c>
      <c r="N61" s="2130">
        <f>N58/$N$12*10/$F$57</f>
        <v>8.1426379127968351E-2</v>
      </c>
      <c r="O61" s="3422">
        <f>O58/$O$12*10/$F$57</f>
        <v>7.5435761354532865E-2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0.22292477463793162</v>
      </c>
      <c r="N62" s="1874">
        <f>IF(N13=0,0,N$58/N13)</f>
        <v>0.17588097891641163</v>
      </c>
      <c r="O62" s="2032">
        <f>IF(O13=0,0,O$58/O13)</f>
        <v>0.16294124452579095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670.34916550183937</v>
      </c>
      <c r="N64" s="1772">
        <f>SUM(N19:N23)+N30</f>
        <v>739.30540959371376</v>
      </c>
      <c r="O64" s="1773">
        <f>SUM(O19:O23)+O30</f>
        <v>808.27578493558804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0.10465571614384372</v>
      </c>
      <c r="N65" s="1874">
        <f>N64/N12</f>
        <v>9.7196840184967645E-2</v>
      </c>
      <c r="O65" s="2032">
        <f>O64/O12</f>
        <v>9.1773807624117854E-2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1478.7077872694847</v>
      </c>
      <c r="N66" s="2038">
        <f>N24+N25+N26+N39+N37</f>
        <v>1562.538279577177</v>
      </c>
      <c r="O66" s="2039">
        <f>O24+O25+O26+O39+O37</f>
        <v>1655.6807238347744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0.23085763421263153</v>
      </c>
      <c r="N67" s="2166">
        <f>N66/N12</f>
        <v>0.2054276642266416</v>
      </c>
      <c r="O67" s="2187">
        <f>O66/O12</f>
        <v>0.18799044468254311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G3:K3"/>
    <mergeCell ref="B15:B17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71&amp;9
&amp;R&amp;12&amp;F
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7">
    <tabColor rgb="FFFF0000"/>
    <pageSetUpPr fitToPage="1"/>
  </sheetPr>
  <dimension ref="A1:CA74"/>
  <sheetViews>
    <sheetView showGridLines="0" showZeros="0" zoomScaleNormal="100" workbookViewId="0">
      <pane xSplit="10" ySplit="5" topLeftCell="N24" activePane="bottomRight" state="frozen"/>
      <selection activeCell="G1" sqref="G1:I1"/>
      <selection pane="topRight" activeCell="G1" sqref="G1:I1"/>
      <selection pane="bottomLeft" activeCell="G1" sqref="G1:I1"/>
      <selection pane="bottomRight" activeCell="G34" sqref="G34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845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tr">
        <f>"Silomais für Verkauf an Biogasanlage ab Feld (ohne Kosten Ernte, Lagerraum, Abdeckung), Rücklieferung Gärrest, "&amp;K17*100&amp; " % Anrechung der Netto-Nährstoffe (30% N-Verluste) und Kosten der Gärrestausbringung"</f>
        <v>Silomais für Verkauf an Biogasanlage ab Feld (ohne Kosten Ernte, Lagerraum, Abdeckung), Rücklieferung Gärrest, 100 % Anrechung der Netto-Nährstoffe (30% N-Verluste) und Kosten der Gärrestausbringung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120</v>
      </c>
      <c r="L5" s="417"/>
      <c r="M5" s="370">
        <v>150</v>
      </c>
      <c r="N5" s="2261"/>
      <c r="O5" s="370">
        <v>180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63" t="s">
        <v>1587</v>
      </c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114</v>
      </c>
      <c r="L9" s="721">
        <f>IF(K7=0,0,K9/K7*100)</f>
        <v>345.45454545454544</v>
      </c>
      <c r="M9" s="809">
        <f>M5*(100-M6)/100</f>
        <v>142.5</v>
      </c>
      <c r="N9" s="810">
        <f>IF(M7=0,0,M9/M7*100)</f>
        <v>431.81818181818181</v>
      </c>
      <c r="O9" s="720">
        <f>O5*(100-O6)/100</f>
        <v>171</v>
      </c>
      <c r="P9" s="721">
        <f>IF(O7=0,0,O9/O7*100)</f>
        <v>518.18181818181813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0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111.72</v>
      </c>
      <c r="L11" s="709">
        <f>IF(L7=0,0,K11/L7*100)</f>
        <v>319.20000000000005</v>
      </c>
      <c r="M11" s="812">
        <f>M9*(100-N6)/100</f>
        <v>139.65</v>
      </c>
      <c r="N11" s="813">
        <f>IF(N7=0,0,M11/N7*100)</f>
        <v>399</v>
      </c>
      <c r="O11" s="708">
        <f>O9*(100-P6)/100</f>
        <v>167.58</v>
      </c>
      <c r="P11" s="709">
        <f>IF(P7=0,0,O11/P7*100)</f>
        <v>478.8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45.6</v>
      </c>
      <c r="M12" s="801"/>
      <c r="N12" s="814">
        <f>IF(N8=0,0,1/N8*N11)</f>
        <v>57</v>
      </c>
      <c r="O12" s="487"/>
      <c r="P12" s="502">
        <f>IF(P8=0,0,1/P8*P11)</f>
        <v>68.399999999999991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32</v>
      </c>
      <c r="L13" s="418"/>
      <c r="M13" s="499">
        <v>32</v>
      </c>
      <c r="N13" s="784"/>
      <c r="O13" s="499">
        <v>32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1.1519999999999999</v>
      </c>
      <c r="L14" s="418"/>
      <c r="M14" s="815">
        <f>M13*$G14</f>
        <v>1.1519999999999999</v>
      </c>
      <c r="N14" s="784"/>
      <c r="O14" s="513">
        <f>O13*$G14</f>
        <v>1.1519999999999999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3575.04</v>
      </c>
      <c r="L15" s="418"/>
      <c r="M15" s="816">
        <f>M$11*M13</f>
        <v>4468.8</v>
      </c>
      <c r="N15" s="784"/>
      <c r="O15" s="497">
        <f>O$11*O13</f>
        <v>5362.56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128.70143999999999</v>
      </c>
      <c r="L16" s="417"/>
      <c r="M16" s="817">
        <f>M$11*M14</f>
        <v>160.8768</v>
      </c>
      <c r="N16" s="428"/>
      <c r="O16" s="498">
        <f>O$11*O14</f>
        <v>193.05215999999999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483.64598799999993</v>
      </c>
      <c r="M17" s="2600">
        <f>K17</f>
        <v>1</v>
      </c>
      <c r="N17" s="2591">
        <f>M17*(N33*(1-$AC$14)+N34*(1-$AC$15)+N35*(1-$AC$16)+N36*(1-$AC$17))</f>
        <v>604.55748499999993</v>
      </c>
      <c r="O17" s="2601">
        <f>K17</f>
        <v>1</v>
      </c>
      <c r="P17" s="2590">
        <f>O17*(P33*(1-$AC$14)+P34*(1-$AC$15)+P35*(1-$AC$16)+P36*(1-$AC$17))</f>
        <v>725.46898199999987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4065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4068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000">
        <f>SUM(L33:L36)</f>
        <v>565.88307999999995</v>
      </c>
      <c r="M31" s="819"/>
      <c r="N31" s="786">
        <f>SUM(N33:N36)</f>
        <v>707.35384999999997</v>
      </c>
      <c r="O31" s="334"/>
      <c r="P31" s="325">
        <f>SUM(P33:P36)</f>
        <v>848.82461999999987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>
        <v>0</v>
      </c>
      <c r="I33"/>
      <c r="J33" s="172"/>
      <c r="K33" s="336">
        <f>G33*$K$9+H33</f>
        <v>159.6</v>
      </c>
      <c r="L33" s="337">
        <f>K33*$E33</f>
        <v>274.12363999999997</v>
      </c>
      <c r="M33" s="820">
        <f>G33*$M$9+H33</f>
        <v>199.5</v>
      </c>
      <c r="N33" s="791">
        <f>M33*$E33</f>
        <v>342.65455000000003</v>
      </c>
      <c r="O33" s="336">
        <f>G33*$O$9+H33</f>
        <v>239.39999999999998</v>
      </c>
      <c r="P33" s="337">
        <f>O33*$E33</f>
        <v>411.18545999999998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0.59</v>
      </c>
      <c r="H34" s="386"/>
      <c r="I34"/>
      <c r="J34" s="172"/>
      <c r="K34" s="336">
        <f>G34*$K$9+H34</f>
        <v>67.259999999999991</v>
      </c>
      <c r="L34" s="337">
        <f>K34*$E34</f>
        <v>76.037429999999972</v>
      </c>
      <c r="M34" s="820">
        <f>G34*$M$9+H34</f>
        <v>84.074999999999989</v>
      </c>
      <c r="N34" s="791">
        <f>M34*$E34</f>
        <v>95.046787499999979</v>
      </c>
      <c r="O34" s="336">
        <f>G34*$O$9+H34</f>
        <v>100.89</v>
      </c>
      <c r="P34" s="337">
        <f>O34*$E34</f>
        <v>114.05614499999999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1.67</v>
      </c>
      <c r="H35" s="386"/>
      <c r="I35"/>
      <c r="J35" s="172"/>
      <c r="K35" s="336">
        <f>G35*$K$9+H35</f>
        <v>190.38</v>
      </c>
      <c r="L35" s="337">
        <f>K35*$E35</f>
        <v>200.12110999999999</v>
      </c>
      <c r="M35" s="820">
        <f>G35*$M$9+H35</f>
        <v>237.97499999999999</v>
      </c>
      <c r="N35" s="791">
        <f>M35*$E35</f>
        <v>250.15138749999997</v>
      </c>
      <c r="O35" s="336">
        <f>G35*$O$9+H35</f>
        <v>285.57</v>
      </c>
      <c r="P35" s="337">
        <f>O35*$E35</f>
        <v>300.18166499999995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0.23</v>
      </c>
      <c r="H36" s="387"/>
      <c r="I36" s="36"/>
      <c r="J36" s="36"/>
      <c r="K36" s="338">
        <f>G36*$K$9+H36</f>
        <v>26.220000000000002</v>
      </c>
      <c r="L36" s="333">
        <f>K36*$E36</f>
        <v>15.600900000000001</v>
      </c>
      <c r="M36" s="821">
        <f>G36*$M$9+H36</f>
        <v>32.774999999999999</v>
      </c>
      <c r="N36" s="792">
        <f>M36*$E36</f>
        <v>19.501124999999998</v>
      </c>
      <c r="O36" s="338">
        <f>G36*$O$9+H36</f>
        <v>39.33</v>
      </c>
      <c r="P36" s="333">
        <f>O36*$E36</f>
        <v>23.401349999999997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193.08549901719996</v>
      </c>
      <c r="M42" s="823"/>
      <c r="N42" s="786">
        <f>SUM(W45:W55)</f>
        <v>193.08549901719996</v>
      </c>
      <c r="O42" s="425"/>
      <c r="P42" s="325">
        <f>SUM(Z45:Z55)</f>
        <v>193.08549901719996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0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4.5599999999999996</v>
      </c>
      <c r="L56" s="341"/>
      <c r="M56" s="797">
        <f>SUM($U$45:$U$55)</f>
        <v>4.5599999999999996</v>
      </c>
      <c r="N56" s="798"/>
      <c r="O56" s="340">
        <f>SUM($X$45:$X$55)</f>
        <v>4.5599999999999996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8.2079999999999984</v>
      </c>
      <c r="L57" s="343"/>
      <c r="M57" s="799">
        <f>IF(M56+(M56*$G$57/100)&gt;M56+10,M56+10,M56+(M56*$G$57/100))</f>
        <v>8.2079999999999984</v>
      </c>
      <c r="N57" s="800"/>
      <c r="O57" s="342">
        <f>IF(O56+(O56*$G$57/100)&gt;O56+10,O56+10,O56+(O56*$G$57/100))</f>
        <v>8.2079999999999984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135.9683181818182</v>
      </c>
      <c r="M58" s="826"/>
      <c r="N58" s="786">
        <f>SUM(N60:N62)</f>
        <v>169.96039772727275</v>
      </c>
      <c r="O58" s="344"/>
      <c r="P58" s="325">
        <f>SUM(P60:P62)</f>
        <v>203.95247727272729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/>
      <c r="E60" s="3020"/>
      <c r="F60" s="3020"/>
      <c r="G60" s="3021"/>
      <c r="H60" s="3012"/>
      <c r="I60" s="3022"/>
      <c r="J60" s="3013">
        <f>H60*($H$58+100)/100</f>
        <v>0</v>
      </c>
      <c r="K60" s="3014"/>
      <c r="L60" s="3015">
        <f>K60*J60</f>
        <v>0</v>
      </c>
      <c r="M60" s="3014"/>
      <c r="N60" s="3016">
        <f>M60*J60</f>
        <v>0</v>
      </c>
      <c r="O60" s="3014"/>
      <c r="P60" s="3015">
        <f>O60*J60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374"/>
      <c r="L61" s="258">
        <f>K61*J61</f>
        <v>0</v>
      </c>
      <c r="M61" s="374"/>
      <c r="N61" s="827">
        <f>M61*J61</f>
        <v>0</v>
      </c>
      <c r="O61" s="374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3009">
        <f>K11/($V$63)/10*($V$65*K17)</f>
        <v>25.390909090909091</v>
      </c>
      <c r="L62" s="308">
        <f>K62*I62</f>
        <v>135.9683181818182</v>
      </c>
      <c r="M62" s="3009">
        <f>M11/($V$63)/10*($V$65*M17)</f>
        <v>31.738636363636367</v>
      </c>
      <c r="N62" s="828">
        <f>M62*I62</f>
        <v>169.96039772727275</v>
      </c>
      <c r="O62" s="3009">
        <f>O11/($V$63)/10*($V$65*O17)</f>
        <v>38.086363636363636</v>
      </c>
      <c r="P62" s="308">
        <f>O62*I62</f>
        <v>203.95247727272729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3007">
        <f>K7/100</f>
        <v>0.33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18.232703999999998</v>
      </c>
      <c r="M65" s="1357"/>
      <c r="N65" s="786">
        <f>M66*$H66/100</f>
        <v>22.790880000000001</v>
      </c>
      <c r="O65" s="347"/>
      <c r="P65" s="325">
        <f>O66*$H66/100</f>
        <v>27.349056000000001</v>
      </c>
      <c r="Q65" s="529"/>
      <c r="R65" s="542"/>
      <c r="S65" s="1167"/>
      <c r="T65" s="2598"/>
      <c r="U65" s="2598"/>
      <c r="V65" s="3008">
        <v>0.75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</v>
      </c>
      <c r="I66" s="74"/>
      <c r="J66" s="361" t="s">
        <v>266</v>
      </c>
      <c r="K66" s="3181">
        <f>K15*0.3</f>
        <v>1072.5119999999999</v>
      </c>
      <c r="L66" s="348"/>
      <c r="M66" s="3181">
        <f>M15*0.3</f>
        <v>1340.64</v>
      </c>
      <c r="N66" s="789"/>
      <c r="O66" s="3181">
        <f>O15*0.3</f>
        <v>1608.768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  <row r="74" spans="1:79" x14ac:dyDescent="0.2">
      <c r="I74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 vertic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72&amp;9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0" name="Check Box 2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>
    <tabColor rgb="FFFFC00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V9" sqref="V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'27)Silomais Biogas ab Feld-(a)'!J2</f>
        <v>2022</v>
      </c>
      <c r="K2" s="2504" t="s">
        <v>858</v>
      </c>
      <c r="L2" s="2502"/>
      <c r="M2" s="2505"/>
      <c r="N2" s="2529"/>
      <c r="O2" s="2530" t="str">
        <f>'27)Silomais Biogas ab Feld-(a)'!M2</f>
        <v>Silomais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5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'27)Silomais Biogas ab Feld-(a)'!H3</f>
        <v>Silomais für Verkauf an Biogasanlage ab Feld (ohne Kosten Ernte, Lagerraum, Abdeckung), Rücklieferung Gärrest, 100 % Anrechung der Netto-Nährstoffe (30% N-Verluste) und Kosten der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'27)Silomais Biogas ab Feld-(a)'!K5</f>
        <v>120</v>
      </c>
      <c r="N6" s="1735">
        <f>'27)Silomais Biogas ab Feld-(a)'!M5</f>
        <v>150</v>
      </c>
      <c r="O6" s="1743">
        <f>'27)Silomais Biogas ab Feld-(a)'!O5</f>
        <v>180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'27)Silomais Biogas ab Feld-(a)'!K9</f>
        <v>114</v>
      </c>
      <c r="N7" s="1736">
        <f>'27)Silomais Biogas ab Feld-(a)'!M9</f>
        <v>142.5</v>
      </c>
      <c r="O7" s="1744">
        <f>'27)Silomais Biogas ab Feld-(a)'!O9</f>
        <v>171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'27)Silomais Biogas ab Feld-(a)'!L9</f>
        <v>345.45454545454544</v>
      </c>
      <c r="N8" s="1737">
        <f>'27)Silomais Biogas ab Feld-(a)'!N9</f>
        <v>431.81818181818181</v>
      </c>
      <c r="O8" s="1583">
        <f>'27)Silomais Biogas ab Feld-(a)'!P9</f>
        <v>518.18181818181813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'27)Silomais Biogas ab Feld-(a)'!K11</f>
        <v>111.72</v>
      </c>
      <c r="N9" s="1562">
        <f>'27)Silomais Biogas ab Feld-(a)'!M11</f>
        <v>139.65</v>
      </c>
      <c r="O9" s="1747">
        <f>'27)Silomais Biogas ab Feld-(a)'!O11</f>
        <v>167.58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'27)Silomais Biogas ab Feld-(a)'!L11</f>
        <v>319.20000000000005</v>
      </c>
      <c r="N10" s="1582">
        <f>'27)Silomais Biogas ab Feld-(a)'!N11</f>
        <v>399</v>
      </c>
      <c r="O10" s="2014">
        <f>'27)Silomais Biogas ab Feld-(a)'!P11</f>
        <v>478.8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'27)Silomais Biogas ab Feld-(a)'!L12</f>
        <v>45.6</v>
      </c>
      <c r="N11" s="1818">
        <f>'27)Silomais Biogas ab Feld-(a)'!N12</f>
        <v>57</v>
      </c>
      <c r="O11" s="1819">
        <f>'27)Silomais Biogas ab Feld-(a)'!P12</f>
        <v>68.399999999999991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'27)Silomais Biogas ab Feld-(a)'!K15</f>
        <v>3575.04</v>
      </c>
      <c r="N12" s="1738">
        <f>'27)Silomais Biogas ab Feld-(a)'!M15</f>
        <v>4468.8</v>
      </c>
      <c r="O12" s="1745">
        <f>'27)Silomais Biogas ab Feld-(a)'!O15</f>
        <v>5362.56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'27)Silomais Biogas ab Feld-(a)'!K16</f>
        <v>128.70143999999999</v>
      </c>
      <c r="N13" s="2077">
        <f>'27)Silomais Biogas ab Feld-(a)'!M16</f>
        <v>160.8768</v>
      </c>
      <c r="O13" s="2078">
        <f>'27)Silomais Biogas ab Feld-(a)'!O16</f>
        <v>193.05215999999999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'27)Silomais Biogas ab Feld-(a)'!L24</f>
        <v>270</v>
      </c>
      <c r="N15" s="3338">
        <f>'27)Silomais Biogas ab Feld-(a)'!N24</f>
        <v>270</v>
      </c>
      <c r="O15" s="3341">
        <f>'27)Silomais Biogas ab Feld-(a)'!P24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'27)Silomais Biogas ab Feld-(a)'!L18</f>
        <v>0</v>
      </c>
      <c r="N16" s="1736">
        <f>'27)Silomais Biogas ab Feld-(a)'!N18</f>
        <v>0</v>
      </c>
      <c r="O16" s="3343">
        <f>'27)Silomais Biogas ab Feld-(a)'!P18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'27)Silomais Biogas ab Feld-(a)'!L27</f>
        <v>214</v>
      </c>
      <c r="N19" s="2072">
        <f>'27)Silomais Biogas ab Feld-(a)'!N27</f>
        <v>214</v>
      </c>
      <c r="O19" s="2073">
        <f>'27)Silomais Biogas ab Feld-(a)'!P27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'27)Silomais Biogas ab Feld-(a)'!L31-'27)Silomais Biogas ab Feld-(a)'!L17</f>
        <v>82.237092000000018</v>
      </c>
      <c r="N20" s="1567">
        <f>'27)Silomais Biogas ab Feld-(a)'!N31-'27)Silomais Biogas ab Feld-(a)'!N17</f>
        <v>102.79636500000004</v>
      </c>
      <c r="O20" s="1574">
        <f>'27)Silomais Biogas ab Feld-(a)'!P31-'27)Silomais Biogas ab Feld-(a)'!P17</f>
        <v>123.355638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'27)Silomais Biogas ab Feld-(a)'!L37</f>
        <v>84.585200000000015</v>
      </c>
      <c r="N21" s="1567">
        <f>'27)Silomais Biogas ab Feld-(a)'!N37</f>
        <v>84.585200000000015</v>
      </c>
      <c r="O21" s="1574">
        <f>'27)Silomais Biogas ab Feld-(a)'!P37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'27)Silomais Biogas ab Feld-(a)'!L65</f>
        <v>18.232703999999998</v>
      </c>
      <c r="N22" s="1567">
        <f>'27)Silomais Biogas ab Feld-(a)'!N65</f>
        <v>22.790880000000001</v>
      </c>
      <c r="O22" s="1574">
        <f>'27)Silomais Biogas ab Feld-(a)'!P65</f>
        <v>27.349056000000001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'27)Silomais Biogas ab Feld-(a)'!L67</f>
        <v>0</v>
      </c>
      <c r="N23" s="1567">
        <f>'27)Silomais Biogas ab Feld-(a)'!N67</f>
        <v>0</v>
      </c>
      <c r="O23" s="1574">
        <f>'27)Silomais Biogas ab Feld-(a)'!P67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'27)Silomais Biogas ab Feld-(a)'!L42</f>
        <v>193.08549901719996</v>
      </c>
      <c r="N24" s="1567">
        <f>'27)Silomais Biogas ab Feld-(a)'!N42</f>
        <v>193.08549901719996</v>
      </c>
      <c r="O24" s="1574">
        <f>'27)Silomais Biogas ab Feld-(a)'!P42</f>
        <v>193.08549901719996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'27)Silomais Biogas ab Feld-(a)'!L58</f>
        <v>135.9683181818182</v>
      </c>
      <c r="N25" s="1567">
        <f>'27)Silomais Biogas ab Feld-(a)'!N58</f>
        <v>169.96039772727275</v>
      </c>
      <c r="O25" s="1574">
        <f>'27)Silomais Biogas ab Feld-(a)'!P58</f>
        <v>203.95247727272729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'27)Silomais Biogas ab Feld-(a)'!L63</f>
        <v>0</v>
      </c>
      <c r="N26" s="1980">
        <f>'27)Silomais Biogas ab Feld-(a)'!N63</f>
        <v>0</v>
      </c>
      <c r="O26" s="1981">
        <f>'27)Silomais Biogas ab Feld-(a)'!P63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728.10881319901819</v>
      </c>
      <c r="N27" s="1775">
        <f>SUM(N19:N26)</f>
        <v>787.2183417444727</v>
      </c>
      <c r="O27" s="2055">
        <f>SUM(O19:O26)</f>
        <v>846.3278702899272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-728.10881319901819</v>
      </c>
      <c r="N28" s="2060">
        <f>-N27</f>
        <v>-787.2183417444727</v>
      </c>
      <c r="O28" s="2061">
        <f>-O27</f>
        <v>-846.3278702899272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M27*'27)Silomais Biogas ab Feld-(a)'!$L$70*'27)Silomais Biogas ab Feld-(a)'!$P$70/12/100</f>
        <v>4.550680082493864</v>
      </c>
      <c r="N30" s="1980">
        <f>N27*'27)Silomais Biogas ab Feld-(a)'!$L$70*'27)Silomais Biogas ab Feld-(a)'!$P$70/12/100</f>
        <v>4.9201146359029551</v>
      </c>
      <c r="O30" s="1981">
        <f>O27*'27)Silomais Biogas ab Feld-(a)'!$L$70*'27)Silomais Biogas ab Feld-(a)'!$P$70/12/100</f>
        <v>5.2895491893120461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-462.65949328151203</v>
      </c>
      <c r="N31" s="1769">
        <f>N28+N29-N30</f>
        <v>-522.1384563803756</v>
      </c>
      <c r="O31" s="1776">
        <f>O28+O29-O30</f>
        <v>-581.61741947923929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3419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-0.12941379488943117</v>
      </c>
      <c r="N32" s="1561">
        <f>IF(N12=0,0,N31/N12)</f>
        <v>-0.11684086474677219</v>
      </c>
      <c r="O32" s="2047">
        <f>IF(O12=0,0,O31/O12)</f>
        <v>-0.10845891131833289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-3.5948276358175328</v>
      </c>
      <c r="N33" s="1576">
        <f>IF(N13=0,0,N31/N13)</f>
        <v>-3.2455795762992277</v>
      </c>
      <c r="O33" s="2052">
        <f>IF(O13=0,0,O31/O13)</f>
        <v>-3.0127475366203584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'27)Silomais Biogas ab Feld-(a)'!K57</f>
        <v>8.2079999999999984</v>
      </c>
      <c r="N35" s="2396">
        <f>'27)Silomais Biogas ab Feld-(a)'!M57</f>
        <v>8.2079999999999984</v>
      </c>
      <c r="O35" s="2398">
        <f>'27)Silomais Biogas ab Feld-(a)'!O57</f>
        <v>8.2079999999999984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'27)Silomais Biogas ab Feld-(a)'!L10</f>
        <v>0</v>
      </c>
      <c r="N36" s="2431">
        <f>'27)Silomais Biogas ab Feld-(a)'!N10</f>
        <v>0</v>
      </c>
      <c r="O36" s="2432">
        <f>'27)Silomais Biogas ab Feld-(a)'!P10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143.63999999999999</v>
      </c>
      <c r="N37" s="1567">
        <f>$J$37*N35</f>
        <v>143.63999999999999</v>
      </c>
      <c r="O37" s="1574">
        <f>$J$37*O35</f>
        <v>143.63999999999999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1567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1092.4184190509259</v>
      </c>
      <c r="N43" s="1991">
        <f>SUM(N37:N42)</f>
        <v>782.41841905092588</v>
      </c>
      <c r="O43" s="1994">
        <f>SUM(O37:O42)</f>
        <v>782.41841905092588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1825.0779123324378</v>
      </c>
      <c r="N46" s="2041">
        <f>N27+N30+N43</f>
        <v>1574.5568754313015</v>
      </c>
      <c r="O46" s="2080">
        <f>O27+O30+O43</f>
        <v>1634.0358385301652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-1825.0779123324378</v>
      </c>
      <c r="N47" s="2227">
        <f>N45-N46</f>
        <v>-1574.5568754313015</v>
      </c>
      <c r="O47" s="2228">
        <f>O45-O46</f>
        <v>-1634.0358385301652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-1555.0779123324378</v>
      </c>
      <c r="N49" s="1991">
        <f>N47+N48</f>
        <v>-1304.5568754313015</v>
      </c>
      <c r="O49" s="1994">
        <f>O47+O48</f>
        <v>-1364.0358385301652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1555.0779123324378</v>
      </c>
      <c r="N51" s="1771">
        <f>N46-N48</f>
        <v>1304.5568754313015</v>
      </c>
      <c r="O51" s="3358">
        <f>O46-O48</f>
        <v>1364.0358385301652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4.5015413251728464</v>
      </c>
      <c r="N52" s="2335">
        <f>IF(N8=0,0,N$51/N8)</f>
        <v>3.0210790799461718</v>
      </c>
      <c r="O52" s="2336">
        <f>IF(O8=0,0,O$51/O8)</f>
        <v>2.6323498638301435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13.641034318705595</v>
      </c>
      <c r="N53" s="2335">
        <f>IF(N7=0,0,N$51/N7)</f>
        <v>9.1547850907459747</v>
      </c>
      <c r="O53" s="2336">
        <f>IF(O7=0,0,O$51/O7)</f>
        <v>7.9768177691822526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34.102585796763982</v>
      </c>
      <c r="N54" s="2335">
        <f t="shared" si="3"/>
        <v>22.886962726864937</v>
      </c>
      <c r="O54" s="2336">
        <f t="shared" si="3"/>
        <v>19.942044422955632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0.43498196169341818</v>
      </c>
      <c r="N55" s="2219">
        <f t="shared" si="3"/>
        <v>0.29192554498552215</v>
      </c>
      <c r="O55" s="2220">
        <f t="shared" si="3"/>
        <v>0.25436281151729118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12.082832269261617</v>
      </c>
      <c r="N56" s="2219">
        <f>IF(N13=0,0,N$51/N13)</f>
        <v>8.1090429162645048</v>
      </c>
      <c r="O56" s="2220">
        <f>IF(O13=0,0,O$51/O13)</f>
        <v>7.0656336532580895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0.12082832269261617</v>
      </c>
      <c r="N57" s="2222">
        <f>N51/$N$12*10/$F$57</f>
        <v>8.1090429162645028E-2</v>
      </c>
      <c r="O57" s="2223">
        <f>O51/$O$12*10/$F$57</f>
        <v>7.0656336532580882E-2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1555.0779123324378</v>
      </c>
      <c r="N58" s="1769">
        <f>N51-N38</f>
        <v>1304.5568754313015</v>
      </c>
      <c r="O58" s="1776">
        <f>O51-O38</f>
        <v>1364.0358385301652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13.641034318705595</v>
      </c>
      <c r="N59" s="3416">
        <f>N58/N7</f>
        <v>9.1547850907459747</v>
      </c>
      <c r="O59" s="3417">
        <f>O58/O7</f>
        <v>7.9768177691822526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0.43498196169341818</v>
      </c>
      <c r="N60" s="2130">
        <f>IF(N12=0,0,N$58/N12)</f>
        <v>0.29192554498552215</v>
      </c>
      <c r="O60" s="2217">
        <f>IF(O12=0,0,O$58/O12)</f>
        <v>0.25436281151729118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0.12082832269261617</v>
      </c>
      <c r="N61" s="2130">
        <f>N58/$N$12*10/$F$57</f>
        <v>8.1090429162645028E-2</v>
      </c>
      <c r="O61" s="3422">
        <f>O58/$O$12*10/$F$57</f>
        <v>7.0656336532580882E-2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12.082832269261617</v>
      </c>
      <c r="N62" s="1874">
        <f>IF(N13=0,0,N$58/N13)</f>
        <v>8.1090429162645048</v>
      </c>
      <c r="O62" s="2032">
        <f>IF(O13=0,0,O$58/O13)</f>
        <v>7.0656336532580895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403.60567608249391</v>
      </c>
      <c r="N64" s="1772">
        <f>SUM(N19:N23)+N30</f>
        <v>429.092559635903</v>
      </c>
      <c r="O64" s="1773">
        <f>SUM(O19:O23)+O30</f>
        <v>454.57944318931203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0.11289542944484367</v>
      </c>
      <c r="N65" s="2031">
        <f>IF(N12=0,0,N64/N12)</f>
        <v>9.6019638300193111E-2</v>
      </c>
      <c r="O65" s="2032">
        <f>IF(O12=0,0,O64/O12)</f>
        <v>8.4769110870426059E-2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913.65223624994405</v>
      </c>
      <c r="N66" s="2038">
        <f>N24+N25+N26+N39+N37</f>
        <v>947.6443157953986</v>
      </c>
      <c r="O66" s="2039">
        <f>O24+O25+O26+O39+O37</f>
        <v>981.63639534085314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3425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0.25556419963131716</v>
      </c>
      <c r="N67" s="2168">
        <f>IF(N12=0,0,N66/N12)</f>
        <v>0.21205789379596279</v>
      </c>
      <c r="O67" s="2187">
        <f>IF(O12=0,0,O66/O12)</f>
        <v>0.18305368990572657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verticalDpi="300" r:id="rId1"/>
  <headerFooter alignWithMargins="0">
    <oddFooter>&amp;L&amp;12LEL Schwäbisch Gmünd (Abtlg. II)
LAZBW Aulendorf&amp;C&amp;12 73&amp;9
&amp;R&amp;12&amp;F
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AG73"/>
  <sheetViews>
    <sheetView showGridLines="0" zoomScale="80" workbookViewId="0">
      <selection activeCell="Q30" sqref="Q30"/>
    </sheetView>
  </sheetViews>
  <sheetFormatPr baseColWidth="10" defaultRowHeight="12.75" x14ac:dyDescent="0.2"/>
  <cols>
    <col min="1" max="1" width="5.140625" customWidth="1"/>
    <col min="2" max="2" width="23.5703125" customWidth="1"/>
    <col min="3" max="11" width="10.42578125" customWidth="1"/>
  </cols>
  <sheetData>
    <row r="1" spans="1:33" s="530" customFormat="1" ht="48.75" customHeight="1" x14ac:dyDescent="0.2">
      <c r="A1" s="542"/>
      <c r="B1" s="4192"/>
      <c r="C1" s="4192"/>
      <c r="D1" s="4192"/>
      <c r="E1" s="4193"/>
      <c r="F1" s="4193"/>
      <c r="G1" s="4193"/>
      <c r="H1" s="4193"/>
      <c r="I1" s="3716"/>
      <c r="J1" s="951"/>
      <c r="K1" s="3716"/>
      <c r="L1" s="3727"/>
      <c r="M1" s="3761"/>
      <c r="N1" s="3761"/>
      <c r="O1" s="3753"/>
      <c r="P1" s="3753"/>
      <c r="Q1" s="3753"/>
      <c r="R1" s="3753"/>
      <c r="S1" s="542"/>
      <c r="T1" s="542"/>
      <c r="Y1" s="526"/>
      <c r="AE1" s="526"/>
      <c r="AF1" s="526"/>
      <c r="AG1" s="526"/>
    </row>
    <row r="2" spans="1:33" ht="20.25" x14ac:dyDescent="0.3">
      <c r="B2" s="635" t="s">
        <v>195</v>
      </c>
      <c r="K2" s="649"/>
    </row>
    <row r="3" spans="1:33" ht="19.5" customHeight="1" x14ac:dyDescent="0.2"/>
    <row r="4" spans="1:33" ht="21.75" customHeight="1" x14ac:dyDescent="0.2">
      <c r="B4" s="634" t="s">
        <v>196</v>
      </c>
    </row>
    <row r="5" spans="1:33" ht="6.75" customHeight="1" x14ac:dyDescent="0.2"/>
    <row r="6" spans="1:33" x14ac:dyDescent="0.2">
      <c r="B6" s="1831" t="s">
        <v>197</v>
      </c>
      <c r="C6" s="1831" t="s">
        <v>198</v>
      </c>
      <c r="D6" s="1832" t="s">
        <v>199</v>
      </c>
      <c r="E6" s="1831" t="s">
        <v>200</v>
      </c>
      <c r="F6" s="1833" t="s">
        <v>201</v>
      </c>
      <c r="G6" s="1834"/>
      <c r="H6" s="1835"/>
      <c r="I6" s="1835"/>
      <c r="J6" s="1834"/>
      <c r="K6" s="1836"/>
      <c r="L6" s="612" t="s">
        <v>202</v>
      </c>
      <c r="N6" s="297"/>
    </row>
    <row r="7" spans="1:33" x14ac:dyDescent="0.2">
      <c r="B7" s="1837" t="s">
        <v>203</v>
      </c>
      <c r="C7" s="1838" t="s">
        <v>204</v>
      </c>
      <c r="D7" s="1839" t="s">
        <v>205</v>
      </c>
      <c r="E7" s="1837" t="s">
        <v>206</v>
      </c>
      <c r="F7" s="1840"/>
      <c r="G7" s="1841"/>
      <c r="H7" s="1731"/>
      <c r="I7" s="1731"/>
      <c r="J7" s="1841"/>
      <c r="K7" s="1679"/>
      <c r="L7" s="612"/>
      <c r="N7" s="297"/>
    </row>
    <row r="8" spans="1:33" x14ac:dyDescent="0.2">
      <c r="B8" s="1837" t="s">
        <v>207</v>
      </c>
      <c r="C8" s="1838" t="s">
        <v>205</v>
      </c>
      <c r="D8" s="1839" t="s">
        <v>208</v>
      </c>
      <c r="E8" s="1837" t="s">
        <v>209</v>
      </c>
      <c r="F8" s="1840"/>
      <c r="G8" s="1841"/>
      <c r="H8" s="1731"/>
      <c r="I8" s="1731"/>
      <c r="J8" s="1841"/>
      <c r="K8" s="1679"/>
      <c r="L8" s="612" t="s">
        <v>202</v>
      </c>
      <c r="N8" s="297"/>
    </row>
    <row r="9" spans="1:33" x14ac:dyDescent="0.2">
      <c r="B9" s="1838"/>
      <c r="C9" s="1838" t="s">
        <v>210</v>
      </c>
      <c r="D9" s="1839" t="s">
        <v>211</v>
      </c>
      <c r="E9" s="1842" t="s">
        <v>882</v>
      </c>
      <c r="F9" s="1840" t="s">
        <v>883</v>
      </c>
      <c r="G9" s="1841"/>
      <c r="H9" s="1841"/>
      <c r="I9" s="1841"/>
      <c r="J9" s="1841"/>
      <c r="K9" s="1843"/>
    </row>
    <row r="10" spans="1:33" x14ac:dyDescent="0.2">
      <c r="B10" s="1837"/>
      <c r="C10" s="1842" t="s">
        <v>884</v>
      </c>
      <c r="D10" s="1839" t="s">
        <v>885</v>
      </c>
      <c r="E10" s="1842" t="s">
        <v>886</v>
      </c>
      <c r="F10" s="1837"/>
      <c r="G10" s="1844"/>
      <c r="H10" s="1841"/>
      <c r="I10" s="1841"/>
      <c r="J10" s="1841"/>
      <c r="K10" s="1845"/>
    </row>
    <row r="11" spans="1:33" x14ac:dyDescent="0.2">
      <c r="B11" s="1837"/>
      <c r="C11" s="1842" t="s">
        <v>887</v>
      </c>
      <c r="D11" s="1839" t="s">
        <v>888</v>
      </c>
      <c r="E11" s="1842"/>
      <c r="F11" s="1515"/>
      <c r="G11" s="1500"/>
      <c r="H11" s="1721"/>
      <c r="I11" s="1721"/>
      <c r="J11" s="1721"/>
      <c r="K11" s="1846"/>
    </row>
    <row r="12" spans="1:33" ht="52.5" x14ac:dyDescent="0.3">
      <c r="B12" s="1847"/>
      <c r="C12" s="1848" t="s">
        <v>139</v>
      </c>
      <c r="D12" s="1849" t="s">
        <v>139</v>
      </c>
      <c r="E12" s="1848" t="s">
        <v>355</v>
      </c>
      <c r="F12" s="1850" t="s">
        <v>356</v>
      </c>
      <c r="G12" s="1851" t="s">
        <v>357</v>
      </c>
      <c r="H12" s="1852" t="s">
        <v>358</v>
      </c>
      <c r="I12" s="1852" t="s">
        <v>360</v>
      </c>
      <c r="J12" s="1852" t="s">
        <v>361</v>
      </c>
      <c r="K12" s="1853" t="s">
        <v>362</v>
      </c>
      <c r="L12" s="613"/>
    </row>
    <row r="13" spans="1:33" s="8" customFormat="1" ht="21.75" customHeight="1" x14ac:dyDescent="0.2">
      <c r="B13" s="626" t="s">
        <v>899</v>
      </c>
      <c r="C13" s="85"/>
      <c r="D13" s="85"/>
      <c r="E13" s="85"/>
      <c r="F13" s="85"/>
      <c r="G13" s="85"/>
      <c r="H13" s="351"/>
      <c r="I13" s="85"/>
      <c r="J13" s="85"/>
      <c r="K13" s="627"/>
    </row>
    <row r="14" spans="1:33" ht="16.5" customHeight="1" x14ac:dyDescent="0.2">
      <c r="B14" s="615">
        <v>2</v>
      </c>
      <c r="C14" s="624">
        <v>65</v>
      </c>
      <c r="D14" s="616">
        <v>60</v>
      </c>
      <c r="E14" s="624">
        <v>40</v>
      </c>
      <c r="F14" s="632">
        <v>1.6</v>
      </c>
      <c r="G14" s="1313"/>
      <c r="H14" s="617">
        <v>0.7</v>
      </c>
      <c r="I14" s="617">
        <v>2.5</v>
      </c>
      <c r="J14" s="617">
        <v>0.28000000000000003</v>
      </c>
      <c r="K14" s="618">
        <v>1.05</v>
      </c>
    </row>
    <row r="15" spans="1:33" ht="16.5" customHeight="1" x14ac:dyDescent="0.2">
      <c r="B15" s="615">
        <v>3</v>
      </c>
      <c r="C15" s="624">
        <v>85</v>
      </c>
      <c r="D15" s="616">
        <v>75</v>
      </c>
      <c r="E15" s="624">
        <v>45</v>
      </c>
      <c r="F15" s="632">
        <v>2.2000000000000002</v>
      </c>
      <c r="G15" s="1313"/>
      <c r="H15" s="617">
        <v>0.95</v>
      </c>
      <c r="I15" s="617">
        <v>2.9</v>
      </c>
      <c r="J15" s="617">
        <v>0.48</v>
      </c>
      <c r="K15" s="618">
        <v>1.5</v>
      </c>
    </row>
    <row r="16" spans="1:33" ht="16.5" customHeight="1" x14ac:dyDescent="0.2">
      <c r="B16" s="615">
        <v>4</v>
      </c>
      <c r="C16" s="624">
        <v>100</v>
      </c>
      <c r="D16" s="616">
        <v>90</v>
      </c>
      <c r="E16" s="624">
        <v>50</v>
      </c>
      <c r="F16" s="632">
        <v>2.7</v>
      </c>
      <c r="G16" s="1313"/>
      <c r="H16" s="617">
        <v>1</v>
      </c>
      <c r="I16" s="617">
        <v>3</v>
      </c>
      <c r="J16" s="617">
        <v>0.51</v>
      </c>
      <c r="K16" s="618">
        <v>1.57</v>
      </c>
    </row>
    <row r="17" spans="2:11" ht="16.5" customHeight="1" x14ac:dyDescent="0.2">
      <c r="B17" s="619">
        <v>5</v>
      </c>
      <c r="C17" s="625">
        <v>125</v>
      </c>
      <c r="D17" s="620">
        <v>110</v>
      </c>
      <c r="E17" s="625">
        <v>60</v>
      </c>
      <c r="F17" s="633">
        <v>2.8</v>
      </c>
      <c r="G17" s="1314"/>
      <c r="H17" s="621">
        <v>1</v>
      </c>
      <c r="I17" s="621">
        <v>3</v>
      </c>
      <c r="J17" s="621">
        <v>0.7</v>
      </c>
      <c r="K17" s="622">
        <v>1.75</v>
      </c>
    </row>
    <row r="18" spans="2:11" s="8" customFormat="1" ht="21.75" customHeight="1" x14ac:dyDescent="0.2">
      <c r="B18" s="628" t="s">
        <v>900</v>
      </c>
      <c r="C18" s="85"/>
      <c r="D18" s="85"/>
      <c r="E18" s="85"/>
      <c r="F18" s="629"/>
      <c r="G18" s="1315"/>
      <c r="H18" s="630"/>
      <c r="I18" s="629"/>
      <c r="J18" s="629"/>
      <c r="K18" s="631"/>
    </row>
    <row r="19" spans="2:11" ht="16.5" customHeight="1" x14ac:dyDescent="0.2">
      <c r="B19" s="615">
        <v>1</v>
      </c>
      <c r="C19" s="624">
        <v>45</v>
      </c>
      <c r="D19" s="616">
        <v>40</v>
      </c>
      <c r="E19" s="624">
        <v>30</v>
      </c>
      <c r="F19" s="632">
        <v>1.3</v>
      </c>
      <c r="G19" s="1313"/>
      <c r="H19" s="617">
        <v>0.6</v>
      </c>
      <c r="I19" s="617">
        <v>1.5</v>
      </c>
      <c r="J19" s="617">
        <v>0.25</v>
      </c>
      <c r="K19" s="618">
        <v>1</v>
      </c>
    </row>
    <row r="20" spans="2:11" ht="16.5" customHeight="1" x14ac:dyDescent="0.2">
      <c r="B20" s="615">
        <v>2</v>
      </c>
      <c r="C20" s="624">
        <v>60</v>
      </c>
      <c r="D20" s="616">
        <v>55</v>
      </c>
      <c r="E20" s="624">
        <v>30</v>
      </c>
      <c r="F20" s="632">
        <v>1.8</v>
      </c>
      <c r="G20" s="1313"/>
      <c r="H20" s="617">
        <v>0.7</v>
      </c>
      <c r="I20" s="617">
        <v>2.5</v>
      </c>
      <c r="J20" s="617">
        <v>0.28000000000000003</v>
      </c>
      <c r="K20" s="618">
        <v>1.05</v>
      </c>
    </row>
    <row r="21" spans="2:11" ht="16.5" customHeight="1" x14ac:dyDescent="0.2">
      <c r="B21" s="615" t="s">
        <v>901</v>
      </c>
      <c r="C21" s="624">
        <v>70</v>
      </c>
      <c r="D21" s="616">
        <v>65</v>
      </c>
      <c r="E21" s="624">
        <v>40</v>
      </c>
      <c r="F21" s="632">
        <v>1.9</v>
      </c>
      <c r="G21" s="1313"/>
      <c r="H21" s="617">
        <v>0.8</v>
      </c>
      <c r="I21" s="617">
        <v>2.7</v>
      </c>
      <c r="J21" s="617">
        <v>0.34</v>
      </c>
      <c r="K21" s="618">
        <v>1.1499999999999999</v>
      </c>
    </row>
    <row r="22" spans="2:11" ht="16.5" customHeight="1" x14ac:dyDescent="0.2">
      <c r="B22" s="615" t="s">
        <v>902</v>
      </c>
      <c r="C22" s="624">
        <v>75</v>
      </c>
      <c r="D22" s="616">
        <v>70</v>
      </c>
      <c r="E22" s="624">
        <v>40</v>
      </c>
      <c r="F22" s="632">
        <v>2.2000000000000002</v>
      </c>
      <c r="G22" s="1313"/>
      <c r="H22" s="617">
        <v>0.95</v>
      </c>
      <c r="I22" s="617">
        <v>2.9</v>
      </c>
      <c r="J22" s="617">
        <v>0.38</v>
      </c>
      <c r="K22" s="618">
        <v>1.4</v>
      </c>
    </row>
    <row r="23" spans="2:11" ht="16.5" customHeight="1" x14ac:dyDescent="0.2">
      <c r="B23" s="619" t="s">
        <v>903</v>
      </c>
      <c r="C23" s="625">
        <v>90</v>
      </c>
      <c r="D23" s="620">
        <v>80</v>
      </c>
      <c r="E23" s="625">
        <v>45</v>
      </c>
      <c r="F23" s="633">
        <v>2.4</v>
      </c>
      <c r="G23" s="1314"/>
      <c r="H23" s="621">
        <v>1</v>
      </c>
      <c r="I23" s="621">
        <v>3</v>
      </c>
      <c r="J23" s="621">
        <v>0.5</v>
      </c>
      <c r="K23" s="622">
        <v>1.5</v>
      </c>
    </row>
    <row r="24" spans="2:11" s="8" customFormat="1" ht="21.75" customHeight="1" x14ac:dyDescent="0.2">
      <c r="B24" s="626" t="s">
        <v>904</v>
      </c>
      <c r="C24" s="85"/>
      <c r="D24" s="85"/>
      <c r="E24" s="85"/>
      <c r="F24" s="85"/>
      <c r="G24" s="85"/>
      <c r="H24" s="351"/>
      <c r="I24" s="85"/>
      <c r="J24" s="85"/>
      <c r="K24" s="627"/>
    </row>
    <row r="25" spans="2:11" ht="20.25" customHeight="1" x14ac:dyDescent="0.2">
      <c r="B25" s="636" t="s">
        <v>907</v>
      </c>
      <c r="C25" s="651"/>
      <c r="D25" s="616"/>
      <c r="E25" s="838"/>
      <c r="F25" s="632"/>
      <c r="H25" s="617"/>
      <c r="I25" s="617"/>
      <c r="J25" s="617"/>
      <c r="K25" s="618"/>
    </row>
    <row r="26" spans="2:11" ht="16.5" customHeight="1" x14ac:dyDescent="0.2">
      <c r="B26" s="636" t="s">
        <v>908</v>
      </c>
      <c r="C26" s="651">
        <v>80</v>
      </c>
      <c r="D26" s="616"/>
      <c r="E26" s="838">
        <v>50</v>
      </c>
      <c r="F26" s="632">
        <v>3</v>
      </c>
      <c r="G26" s="853">
        <v>300</v>
      </c>
      <c r="H26" s="617">
        <v>0.7</v>
      </c>
      <c r="I26" s="617">
        <v>3.1</v>
      </c>
      <c r="J26" s="617">
        <v>0.4</v>
      </c>
      <c r="K26" s="618">
        <v>1.9</v>
      </c>
    </row>
    <row r="27" spans="2:11" ht="16.5" customHeight="1" x14ac:dyDescent="0.2">
      <c r="B27" s="636" t="s">
        <v>909</v>
      </c>
      <c r="C27" s="651">
        <v>100</v>
      </c>
      <c r="D27" s="616"/>
      <c r="E27" s="838">
        <v>30</v>
      </c>
      <c r="F27" s="851" t="s">
        <v>910</v>
      </c>
      <c r="G27" s="853">
        <v>-60</v>
      </c>
      <c r="H27" s="617">
        <v>0.7</v>
      </c>
      <c r="I27" s="617">
        <v>3.1</v>
      </c>
      <c r="J27" s="617">
        <v>0.4</v>
      </c>
      <c r="K27" s="618">
        <v>1.9</v>
      </c>
    </row>
    <row r="28" spans="2:11" ht="20.25" customHeight="1" x14ac:dyDescent="0.2">
      <c r="B28" s="759" t="s">
        <v>914</v>
      </c>
      <c r="C28" s="651"/>
      <c r="D28" s="616"/>
      <c r="E28" s="838"/>
      <c r="F28" s="632"/>
      <c r="G28" s="853"/>
      <c r="H28" s="617"/>
      <c r="I28" s="617"/>
      <c r="J28" s="617"/>
      <c r="K28" s="618"/>
    </row>
    <row r="29" spans="2:11" ht="16.5" customHeight="1" x14ac:dyDescent="0.2">
      <c r="B29" s="636" t="s">
        <v>908</v>
      </c>
      <c r="C29" s="651">
        <v>125</v>
      </c>
      <c r="D29" s="616"/>
      <c r="E29" s="838">
        <v>50</v>
      </c>
      <c r="F29" s="632">
        <v>3</v>
      </c>
      <c r="G29" s="853">
        <v>300</v>
      </c>
      <c r="H29" s="617">
        <v>0.7</v>
      </c>
      <c r="I29" s="617">
        <v>3.1</v>
      </c>
      <c r="J29" s="617">
        <v>0.4</v>
      </c>
      <c r="K29" s="618">
        <v>1.9</v>
      </c>
    </row>
    <row r="30" spans="2:11" ht="16.5" customHeight="1" x14ac:dyDescent="0.2">
      <c r="B30" s="636" t="s">
        <v>909</v>
      </c>
      <c r="C30" s="651">
        <v>135</v>
      </c>
      <c r="D30" s="616"/>
      <c r="E30" s="838">
        <v>30</v>
      </c>
      <c r="F30" s="851" t="s">
        <v>910</v>
      </c>
      <c r="G30" s="853">
        <v>-60</v>
      </c>
      <c r="H30" s="617">
        <v>0.7</v>
      </c>
      <c r="I30" s="617">
        <v>3.1</v>
      </c>
      <c r="J30" s="617">
        <v>0.4</v>
      </c>
      <c r="K30" s="618">
        <v>1.9</v>
      </c>
    </row>
    <row r="31" spans="2:11" ht="20.25" customHeight="1" x14ac:dyDescent="0.2">
      <c r="B31" s="759" t="s">
        <v>915</v>
      </c>
      <c r="C31" s="651"/>
      <c r="D31" s="616"/>
      <c r="E31" s="838"/>
      <c r="F31" s="632"/>
      <c r="G31" s="853"/>
      <c r="H31" s="617"/>
      <c r="I31" s="617"/>
      <c r="J31" s="617"/>
      <c r="K31" s="618"/>
    </row>
    <row r="32" spans="2:11" ht="16.5" customHeight="1" x14ac:dyDescent="0.2">
      <c r="B32" s="636" t="s">
        <v>908</v>
      </c>
      <c r="C32" s="651">
        <v>110</v>
      </c>
      <c r="D32" s="616"/>
      <c r="E32" s="838">
        <v>50</v>
      </c>
      <c r="F32" s="632">
        <v>3</v>
      </c>
      <c r="G32" s="853">
        <v>300</v>
      </c>
      <c r="H32" s="617">
        <v>0.7</v>
      </c>
      <c r="I32" s="617">
        <v>3.1</v>
      </c>
      <c r="J32" s="617">
        <v>0.4</v>
      </c>
      <c r="K32" s="618">
        <v>1.9</v>
      </c>
    </row>
    <row r="33" spans="2:11" ht="15.95" customHeight="1" x14ac:dyDescent="0.2">
      <c r="B33" s="637" t="s">
        <v>909</v>
      </c>
      <c r="C33" s="739">
        <v>120</v>
      </c>
      <c r="D33" s="620"/>
      <c r="E33" s="839">
        <v>30</v>
      </c>
      <c r="F33" s="852" t="s">
        <v>910</v>
      </c>
      <c r="G33" s="854">
        <v>-60</v>
      </c>
      <c r="H33" s="621">
        <v>0.7</v>
      </c>
      <c r="I33" s="621">
        <v>3.1</v>
      </c>
      <c r="J33" s="621">
        <v>0.4</v>
      </c>
      <c r="K33" s="622">
        <v>1.9</v>
      </c>
    </row>
    <row r="34" spans="2:11" ht="52.5" customHeight="1" x14ac:dyDescent="0.2">
      <c r="B34" s="1423" t="s">
        <v>396</v>
      </c>
      <c r="C34" s="1490"/>
      <c r="D34" s="1490"/>
      <c r="E34" s="1490"/>
      <c r="G34" s="1330" t="s">
        <v>1056</v>
      </c>
      <c r="H34" s="896"/>
      <c r="I34" s="896"/>
      <c r="J34" s="896"/>
      <c r="K34" s="897"/>
    </row>
    <row r="35" spans="2:11" ht="15" customHeight="1" x14ac:dyDescent="0.2">
      <c r="B35" s="1491"/>
      <c r="C35" s="1492"/>
      <c r="D35" s="1492"/>
      <c r="E35" s="1492"/>
      <c r="F35" s="36"/>
      <c r="G35" s="898"/>
      <c r="H35" s="621"/>
      <c r="I35" s="621"/>
      <c r="J35" s="621"/>
      <c r="K35" s="622"/>
    </row>
    <row r="36" spans="2:11" s="8" customFormat="1" ht="21.75" customHeight="1" x14ac:dyDescent="0.2">
      <c r="B36" s="626" t="s">
        <v>1057</v>
      </c>
      <c r="C36" s="85"/>
      <c r="D36" s="85"/>
      <c r="E36" s="85"/>
      <c r="F36" s="85"/>
      <c r="G36" s="85"/>
      <c r="H36" s="351"/>
      <c r="I36" s="85"/>
      <c r="J36" s="85"/>
      <c r="K36" s="627"/>
    </row>
    <row r="37" spans="2:11" ht="21.75" customHeight="1" x14ac:dyDescent="0.2">
      <c r="B37" s="636" t="s">
        <v>433</v>
      </c>
      <c r="C37" s="651" t="s">
        <v>221</v>
      </c>
      <c r="D37" s="616"/>
      <c r="E37" s="624"/>
      <c r="F37" s="632">
        <v>1.4</v>
      </c>
      <c r="G37" s="617"/>
      <c r="H37" s="617">
        <v>0.59</v>
      </c>
      <c r="I37" s="617">
        <v>1.67</v>
      </c>
      <c r="J37" s="617">
        <v>0.23</v>
      </c>
      <c r="K37" s="618">
        <v>0.5</v>
      </c>
    </row>
    <row r="38" spans="2:11" ht="21.75" customHeight="1" x14ac:dyDescent="0.2">
      <c r="B38" s="636" t="s">
        <v>1058</v>
      </c>
      <c r="C38" s="651"/>
      <c r="D38" s="616"/>
      <c r="E38" s="624"/>
      <c r="F38" s="632">
        <v>1.5</v>
      </c>
      <c r="G38" s="617"/>
      <c r="H38" s="617">
        <v>0.8</v>
      </c>
      <c r="I38" s="617">
        <v>0.8</v>
      </c>
      <c r="J38" s="617">
        <v>0.2</v>
      </c>
      <c r="K38" s="618">
        <v>0.1</v>
      </c>
    </row>
    <row r="39" spans="2:11" ht="21.75" customHeight="1" x14ac:dyDescent="0.2">
      <c r="B39" s="636" t="s">
        <v>1059</v>
      </c>
      <c r="C39" s="651" t="s">
        <v>1060</v>
      </c>
      <c r="D39" s="616"/>
      <c r="E39" s="624"/>
      <c r="F39" s="632"/>
      <c r="G39" s="617"/>
      <c r="H39" s="617"/>
      <c r="I39" s="617"/>
      <c r="J39" s="617"/>
      <c r="K39" s="618"/>
    </row>
    <row r="40" spans="2:11" ht="13.7" customHeight="1" x14ac:dyDescent="0.2">
      <c r="B40" s="636" t="s">
        <v>1061</v>
      </c>
      <c r="C40" s="651"/>
      <c r="D40" s="616"/>
      <c r="E40" s="624"/>
      <c r="F40" s="632">
        <v>0.14000000000000001</v>
      </c>
      <c r="G40" s="617"/>
      <c r="H40" s="617">
        <v>7.0000000000000007E-2</v>
      </c>
      <c r="I40" s="617">
        <v>0.45</v>
      </c>
      <c r="J40" s="617">
        <v>0.05</v>
      </c>
      <c r="K40" s="618">
        <v>0.04</v>
      </c>
    </row>
    <row r="41" spans="2:11" ht="13.7" customHeight="1" x14ac:dyDescent="0.2">
      <c r="B41" s="636" t="s">
        <v>1062</v>
      </c>
      <c r="C41" s="651"/>
      <c r="D41" s="616"/>
      <c r="E41" s="624"/>
      <c r="F41" s="632">
        <v>0.18</v>
      </c>
      <c r="G41" s="617"/>
      <c r="H41" s="617">
        <v>0.09</v>
      </c>
      <c r="I41" s="617">
        <v>0.5</v>
      </c>
      <c r="J41" s="617">
        <v>0.05</v>
      </c>
      <c r="K41" s="618">
        <v>0.04</v>
      </c>
    </row>
    <row r="42" spans="2:11" ht="21.75" customHeight="1" x14ac:dyDescent="0.2">
      <c r="B42" s="636" t="s">
        <v>1064</v>
      </c>
      <c r="C42" s="651" t="s">
        <v>1065</v>
      </c>
      <c r="D42" s="616"/>
      <c r="E42" s="624"/>
      <c r="F42" s="632">
        <v>1.8</v>
      </c>
      <c r="G42" s="617"/>
      <c r="H42" s="617">
        <v>0.8</v>
      </c>
      <c r="I42" s="617">
        <v>0.6</v>
      </c>
      <c r="J42" s="617">
        <v>0.2</v>
      </c>
      <c r="K42" s="618"/>
    </row>
    <row r="43" spans="2:11" ht="13.7" customHeight="1" x14ac:dyDescent="0.2">
      <c r="B43" s="4140"/>
      <c r="C43" s="739"/>
      <c r="D43" s="620"/>
      <c r="E43" s="625"/>
      <c r="F43" s="633"/>
      <c r="G43" s="621"/>
      <c r="H43" s="621"/>
      <c r="I43" s="621"/>
      <c r="J43" s="621"/>
      <c r="K43" s="622"/>
    </row>
    <row r="44" spans="2:11" ht="29.25" customHeight="1" x14ac:dyDescent="0.2">
      <c r="B44" s="611"/>
    </row>
    <row r="45" spans="2:11" ht="21.75" customHeight="1" x14ac:dyDescent="0.2">
      <c r="B45" s="634" t="s">
        <v>538</v>
      </c>
    </row>
    <row r="46" spans="2:11" ht="21.75" customHeight="1" x14ac:dyDescent="0.2">
      <c r="B46" s="634" t="s">
        <v>1066</v>
      </c>
    </row>
    <row r="47" spans="2:11" ht="6.75" customHeight="1" x14ac:dyDescent="0.2"/>
    <row r="48" spans="2:11" ht="15" customHeight="1" x14ac:dyDescent="0.2">
      <c r="B48" s="1831" t="s">
        <v>1067</v>
      </c>
      <c r="C48" s="1833" t="s">
        <v>1068</v>
      </c>
      <c r="D48" s="1835"/>
      <c r="E48" s="1835"/>
      <c r="F48" s="1835"/>
      <c r="G48" s="1836"/>
    </row>
    <row r="49" spans="2:13" ht="18" customHeight="1" x14ac:dyDescent="0.2">
      <c r="B49" s="1534" t="s">
        <v>207</v>
      </c>
      <c r="C49" s="1536">
        <v>1</v>
      </c>
      <c r="D49" s="1524">
        <v>2</v>
      </c>
      <c r="E49" s="1524">
        <v>3</v>
      </c>
      <c r="F49" s="1524">
        <v>4</v>
      </c>
      <c r="G49" s="1537">
        <v>5</v>
      </c>
    </row>
    <row r="50" spans="2:13" ht="16.5" customHeight="1" x14ac:dyDescent="0.2">
      <c r="B50" s="615">
        <v>2</v>
      </c>
      <c r="C50" s="652">
        <v>60</v>
      </c>
      <c r="D50" s="653">
        <v>40</v>
      </c>
      <c r="E50" s="653"/>
      <c r="F50" s="653"/>
      <c r="G50" s="654"/>
    </row>
    <row r="51" spans="2:13" ht="16.5" customHeight="1" x14ac:dyDescent="0.2">
      <c r="B51" s="615">
        <v>3</v>
      </c>
      <c r="C51" s="652">
        <v>45</v>
      </c>
      <c r="D51" s="653">
        <v>35</v>
      </c>
      <c r="E51" s="653">
        <v>20</v>
      </c>
      <c r="F51" s="653"/>
      <c r="G51" s="654"/>
    </row>
    <row r="52" spans="2:13" ht="16.5" customHeight="1" x14ac:dyDescent="0.2">
      <c r="B52" s="615">
        <v>4</v>
      </c>
      <c r="C52" s="652">
        <v>35</v>
      </c>
      <c r="D52" s="653">
        <v>25</v>
      </c>
      <c r="E52" s="653">
        <v>20</v>
      </c>
      <c r="F52" s="653">
        <v>20</v>
      </c>
      <c r="G52" s="654"/>
    </row>
    <row r="53" spans="2:13" ht="16.5" customHeight="1" x14ac:dyDescent="0.2">
      <c r="B53" s="619">
        <v>5</v>
      </c>
      <c r="C53" s="655">
        <v>30</v>
      </c>
      <c r="D53" s="656">
        <v>20</v>
      </c>
      <c r="E53" s="656">
        <v>20</v>
      </c>
      <c r="F53" s="656">
        <v>15</v>
      </c>
      <c r="G53" s="657">
        <v>15</v>
      </c>
    </row>
    <row r="54" spans="2:13" ht="22.7" customHeight="1" x14ac:dyDescent="0.2">
      <c r="B54" s="611"/>
    </row>
    <row r="55" spans="2:13" ht="21.75" customHeight="1" x14ac:dyDescent="0.2">
      <c r="B55" s="634" t="s">
        <v>917</v>
      </c>
      <c r="I55" s="634" t="s">
        <v>395</v>
      </c>
    </row>
    <row r="56" spans="2:13" ht="6.75" customHeight="1" x14ac:dyDescent="0.2"/>
    <row r="57" spans="2:13" s="8" customFormat="1" ht="19.5" customHeight="1" x14ac:dyDescent="0.2">
      <c r="B57" s="1529" t="s">
        <v>1069</v>
      </c>
      <c r="C57" s="1502" t="s">
        <v>1070</v>
      </c>
      <c r="D57" s="1503"/>
      <c r="E57" s="1503"/>
      <c r="F57" s="1503"/>
      <c r="G57" s="1504"/>
      <c r="H57" s="638" t="s">
        <v>202</v>
      </c>
      <c r="I57" s="1855" t="s">
        <v>1024</v>
      </c>
      <c r="J57" s="1856"/>
      <c r="K57" s="1857" t="s">
        <v>807</v>
      </c>
      <c r="L57" s="1858"/>
      <c r="M57" s="1859"/>
    </row>
    <row r="58" spans="2:13" s="8" customFormat="1" ht="19.5" customHeight="1" x14ac:dyDescent="0.2">
      <c r="B58" s="1531"/>
      <c r="C58" s="1516" t="s">
        <v>1071</v>
      </c>
      <c r="D58" s="1510"/>
      <c r="E58" s="1510"/>
      <c r="F58" s="1510"/>
      <c r="G58" s="1511"/>
      <c r="H58" s="638" t="s">
        <v>202</v>
      </c>
      <c r="I58" s="1860"/>
      <c r="J58" s="1861"/>
      <c r="K58" s="2473" t="s">
        <v>135</v>
      </c>
      <c r="L58" s="2474" t="s">
        <v>1025</v>
      </c>
      <c r="M58" s="2475" t="s">
        <v>137</v>
      </c>
    </row>
    <row r="59" spans="2:13" s="8" customFormat="1" ht="19.5" customHeight="1" x14ac:dyDescent="0.2">
      <c r="B59" s="1854"/>
      <c r="C59" s="1536" t="s">
        <v>1072</v>
      </c>
      <c r="D59" s="1524" t="s">
        <v>1073</v>
      </c>
      <c r="E59" s="1524" t="s">
        <v>136</v>
      </c>
      <c r="F59" s="1524" t="s">
        <v>1074</v>
      </c>
      <c r="G59" s="1537" t="s">
        <v>1075</v>
      </c>
      <c r="H59" s="638"/>
      <c r="I59" s="636" t="s">
        <v>114</v>
      </c>
      <c r="J59" s="172" t="s">
        <v>1077</v>
      </c>
      <c r="K59" s="2476" t="s">
        <v>500</v>
      </c>
      <c r="L59" s="2472" t="s">
        <v>1026</v>
      </c>
      <c r="M59" s="740" t="s">
        <v>1027</v>
      </c>
    </row>
    <row r="60" spans="2:13" s="8" customFormat="1" ht="21.75" customHeight="1" x14ac:dyDescent="0.2">
      <c r="B60" s="626" t="s">
        <v>1076</v>
      </c>
      <c r="C60" s="85"/>
      <c r="D60" s="85"/>
      <c r="E60" s="85"/>
      <c r="F60" s="85"/>
      <c r="G60" s="627"/>
      <c r="I60" s="636" t="s">
        <v>114</v>
      </c>
      <c r="J60" s="172" t="s">
        <v>432</v>
      </c>
      <c r="K60" s="2476" t="s">
        <v>539</v>
      </c>
      <c r="L60" s="2472" t="s">
        <v>1028</v>
      </c>
      <c r="M60" s="740" t="s">
        <v>1029</v>
      </c>
    </row>
    <row r="61" spans="2:13" ht="15.75" customHeight="1" x14ac:dyDescent="0.2">
      <c r="B61" s="636" t="s">
        <v>1077</v>
      </c>
      <c r="C61" s="652">
        <v>3</v>
      </c>
      <c r="D61" s="653">
        <v>5</v>
      </c>
      <c r="E61" s="653">
        <v>7</v>
      </c>
      <c r="F61" s="653">
        <v>10</v>
      </c>
      <c r="G61" s="654">
        <v>15</v>
      </c>
      <c r="I61" s="636" t="s">
        <v>114</v>
      </c>
      <c r="J61" s="172" t="s">
        <v>460</v>
      </c>
      <c r="K61" s="2476" t="s">
        <v>540</v>
      </c>
      <c r="L61" s="2472" t="s">
        <v>1030</v>
      </c>
      <c r="M61" s="740" t="s">
        <v>1031</v>
      </c>
    </row>
    <row r="62" spans="2:13" ht="15.75" customHeight="1" x14ac:dyDescent="0.2">
      <c r="B62" s="636" t="s">
        <v>459</v>
      </c>
      <c r="C62" s="652">
        <v>3</v>
      </c>
      <c r="D62" s="653">
        <v>5</v>
      </c>
      <c r="E62" s="653">
        <v>8</v>
      </c>
      <c r="F62" s="653">
        <v>15</v>
      </c>
      <c r="G62" s="654">
        <v>20</v>
      </c>
      <c r="I62" s="636" t="s">
        <v>433</v>
      </c>
      <c r="J62" s="172" t="s">
        <v>432</v>
      </c>
      <c r="K62" s="2476" t="s">
        <v>539</v>
      </c>
      <c r="L62" s="2472" t="s">
        <v>1032</v>
      </c>
      <c r="M62" s="740" t="s">
        <v>1033</v>
      </c>
    </row>
    <row r="63" spans="2:13" ht="15.75" customHeight="1" x14ac:dyDescent="0.2">
      <c r="B63" s="636" t="s">
        <v>495</v>
      </c>
      <c r="C63" s="652">
        <v>3</v>
      </c>
      <c r="D63" s="653">
        <v>5</v>
      </c>
      <c r="E63" s="653">
        <v>8</v>
      </c>
      <c r="F63" s="653">
        <v>15</v>
      </c>
      <c r="G63" s="654">
        <v>20</v>
      </c>
      <c r="I63" s="207" t="s">
        <v>429</v>
      </c>
      <c r="J63" s="614" t="s">
        <v>432</v>
      </c>
      <c r="K63" s="2472" t="s">
        <v>541</v>
      </c>
      <c r="L63" s="2472" t="s">
        <v>1034</v>
      </c>
      <c r="M63" s="740" t="s">
        <v>1035</v>
      </c>
    </row>
    <row r="64" spans="2:13" ht="15.75" customHeight="1" x14ac:dyDescent="0.2">
      <c r="B64" s="636" t="s">
        <v>460</v>
      </c>
      <c r="C64" s="652">
        <v>7</v>
      </c>
      <c r="D64" s="653">
        <v>10</v>
      </c>
      <c r="E64" s="653">
        <v>12</v>
      </c>
      <c r="F64" s="653">
        <v>20</v>
      </c>
      <c r="G64" s="654">
        <v>25</v>
      </c>
      <c r="I64" s="207" t="s">
        <v>1064</v>
      </c>
      <c r="J64" s="614" t="s">
        <v>432</v>
      </c>
      <c r="K64" s="2472" t="s">
        <v>539</v>
      </c>
      <c r="L64" s="2472" t="s">
        <v>1036</v>
      </c>
      <c r="M64" s="740" t="s">
        <v>1029</v>
      </c>
    </row>
    <row r="65" spans="2:13" ht="15.75" customHeight="1" x14ac:dyDescent="0.2">
      <c r="B65" s="636" t="s">
        <v>467</v>
      </c>
      <c r="C65" s="833">
        <v>20</v>
      </c>
      <c r="D65" s="653">
        <v>20</v>
      </c>
      <c r="E65" s="653">
        <v>25</v>
      </c>
      <c r="F65" s="653">
        <v>30</v>
      </c>
      <c r="G65" s="654">
        <v>50</v>
      </c>
      <c r="I65" s="207" t="s">
        <v>1059</v>
      </c>
      <c r="J65" s="614" t="s">
        <v>1037</v>
      </c>
      <c r="K65" s="2472"/>
      <c r="L65" s="2472" t="s">
        <v>1038</v>
      </c>
      <c r="M65" s="740"/>
    </row>
    <row r="66" spans="2:13" ht="15.75" customHeight="1" x14ac:dyDescent="0.2">
      <c r="B66" s="637" t="s">
        <v>468</v>
      </c>
      <c r="C66" s="834">
        <v>15</v>
      </c>
      <c r="D66" s="656">
        <v>15</v>
      </c>
      <c r="E66" s="656">
        <v>20</v>
      </c>
      <c r="F66" s="656">
        <v>25</v>
      </c>
      <c r="G66" s="657">
        <v>35</v>
      </c>
      <c r="I66" s="173" t="s">
        <v>1124</v>
      </c>
      <c r="J66" s="89" t="s">
        <v>432</v>
      </c>
      <c r="K66" s="2477" t="s">
        <v>541</v>
      </c>
      <c r="L66" s="2477" t="s">
        <v>1034</v>
      </c>
      <c r="M66" s="741" t="s">
        <v>1035</v>
      </c>
    </row>
    <row r="67" spans="2:13" s="8" customFormat="1" ht="21.75" customHeight="1" x14ac:dyDescent="0.2">
      <c r="B67" s="628" t="s">
        <v>1018</v>
      </c>
      <c r="C67" s="639"/>
      <c r="D67" s="639"/>
      <c r="E67" s="639"/>
      <c r="F67" s="639"/>
      <c r="G67" s="640"/>
    </row>
    <row r="68" spans="2:13" ht="15.75" customHeight="1" x14ac:dyDescent="0.2">
      <c r="B68" s="636" t="s">
        <v>1019</v>
      </c>
      <c r="C68" s="652">
        <v>5</v>
      </c>
      <c r="D68" s="653">
        <v>7</v>
      </c>
      <c r="E68" s="653">
        <v>10</v>
      </c>
      <c r="F68" s="653">
        <v>15</v>
      </c>
      <c r="G68" s="654">
        <v>20</v>
      </c>
    </row>
    <row r="69" spans="2:13" ht="15.75" customHeight="1" x14ac:dyDescent="0.2">
      <c r="B69" s="636" t="s">
        <v>1020</v>
      </c>
      <c r="C69" s="652">
        <v>10</v>
      </c>
      <c r="D69" s="653">
        <v>15</v>
      </c>
      <c r="E69" s="653">
        <v>25</v>
      </c>
      <c r="F69" s="653">
        <v>35</v>
      </c>
      <c r="G69" s="654">
        <v>45</v>
      </c>
    </row>
    <row r="70" spans="2:13" ht="15.75" customHeight="1" x14ac:dyDescent="0.2">
      <c r="B70" s="636" t="s">
        <v>495</v>
      </c>
      <c r="C70" s="652">
        <v>0</v>
      </c>
      <c r="D70" s="653">
        <v>2</v>
      </c>
      <c r="E70" s="653">
        <v>5</v>
      </c>
      <c r="F70" s="653">
        <v>7</v>
      </c>
      <c r="G70" s="654">
        <v>10</v>
      </c>
    </row>
    <row r="71" spans="2:13" ht="15.75" customHeight="1" x14ac:dyDescent="0.2">
      <c r="B71" s="636" t="s">
        <v>1021</v>
      </c>
      <c r="C71" s="652">
        <v>3</v>
      </c>
      <c r="D71" s="653">
        <v>5</v>
      </c>
      <c r="E71" s="653">
        <v>7</v>
      </c>
      <c r="F71" s="653">
        <v>8</v>
      </c>
      <c r="G71" s="654">
        <v>10</v>
      </c>
    </row>
    <row r="72" spans="2:13" ht="15.75" customHeight="1" x14ac:dyDescent="0.2">
      <c r="B72" s="636" t="s">
        <v>1022</v>
      </c>
      <c r="C72" s="652">
        <v>3</v>
      </c>
      <c r="D72" s="653">
        <v>5</v>
      </c>
      <c r="E72" s="653">
        <v>7</v>
      </c>
      <c r="F72" s="653">
        <v>8</v>
      </c>
      <c r="G72" s="654">
        <v>10</v>
      </c>
    </row>
    <row r="73" spans="2:13" ht="15.75" customHeight="1" x14ac:dyDescent="0.2">
      <c r="B73" s="637" t="s">
        <v>1023</v>
      </c>
      <c r="C73" s="655">
        <v>3</v>
      </c>
      <c r="D73" s="656">
        <v>5</v>
      </c>
      <c r="E73" s="656">
        <v>7</v>
      </c>
      <c r="F73" s="656">
        <v>8</v>
      </c>
      <c r="G73" s="657">
        <v>10</v>
      </c>
    </row>
  </sheetData>
  <sheetProtection sheet="1" objects="1" scenarios="1"/>
  <mergeCells count="1">
    <mergeCell ref="B1:H1"/>
  </mergeCells>
  <phoneticPr fontId="0" type="noConversion"/>
  <printOptions horizontalCentered="1"/>
  <pageMargins left="0.61" right="0.38" top="0.64" bottom="0.78740157480314965" header="0.51181102362204722" footer="0.31496062992125984"/>
  <pageSetup paperSize="9" scale="58" orientation="portrait" r:id="rId1"/>
  <headerFooter alignWithMargins="0">
    <oddFooter xml:space="preserve">&amp;L&amp;14LEL Schwäbisch Gmünd (Abtlg. II)
LAZBW Aulendorf&amp;C&amp;14 12&amp;R&amp;12&amp;F
 &amp;A 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1">
    <pageSetUpPr fitToPage="1"/>
  </sheetPr>
  <dimension ref="A1:CA70"/>
  <sheetViews>
    <sheetView showGridLines="0" showZeros="0" zoomScaleNormal="100" zoomScaleSheetLayoutView="75" workbookViewId="0">
      <pane xSplit="10" ySplit="5" topLeftCell="K2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.285156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739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tr">
        <f>"Silage für Biogasanlage; Rücklieferung Gärrest unter "&amp;K17*100&amp;"% Anrechung der Netto-Nährstoffe (30% N-Verluste); Vollkosten incl. Kosten der Gärrest-Ausbringung"</f>
        <v>Silage für Biogasanlage; Rücklieferung Gärrest unter 100% Anrechung der Netto-Nährstoffe (30% N-Verluste); Vollkosten incl. Kosten der Gärrest-Ausbringung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120</v>
      </c>
      <c r="L5" s="417"/>
      <c r="M5" s="370">
        <v>150</v>
      </c>
      <c r="N5" s="2261"/>
      <c r="O5" s="370">
        <v>180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63" t="s">
        <v>1587</v>
      </c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114</v>
      </c>
      <c r="L9" s="721">
        <f>IF(K7=0,0,K9/K7*100)</f>
        <v>345.45454545454544</v>
      </c>
      <c r="M9" s="809">
        <f>M5*(100-M6)/100</f>
        <v>142.5</v>
      </c>
      <c r="N9" s="810">
        <f>IF(M7=0,0,M9/M7*100)</f>
        <v>431.81818181818181</v>
      </c>
      <c r="O9" s="720">
        <f>O5*(100-O6)/100</f>
        <v>171</v>
      </c>
      <c r="P9" s="721">
        <f>IF(O7=0,0,O9/O7*100)</f>
        <v>518.18181818181813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49.350649350649348</v>
      </c>
      <c r="M10" s="286"/>
      <c r="N10" s="811">
        <f>IF(R10=TRUE,IF(M8=0,0,1/M8*N9),0)</f>
        <v>61.688311688311686</v>
      </c>
      <c r="O10" s="173"/>
      <c r="P10" s="722">
        <f>IF(R10=TRUE,IF(O8=0,0,1/O8*P9),0)</f>
        <v>74.025974025974008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111.72</v>
      </c>
      <c r="L11" s="709">
        <f>IF(L7=0,0,K11/L7*100)</f>
        <v>319.20000000000005</v>
      </c>
      <c r="M11" s="812">
        <f>M9*(100-N6)/100</f>
        <v>139.65</v>
      </c>
      <c r="N11" s="813">
        <f>IF(N7=0,0,M11/N7*100)</f>
        <v>399</v>
      </c>
      <c r="O11" s="708">
        <f>O9*(100-P6)/100</f>
        <v>167.58</v>
      </c>
      <c r="P11" s="709">
        <f>IF(P7=0,0,O11/P7*100)</f>
        <v>478.8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45.6</v>
      </c>
      <c r="M12" s="801"/>
      <c r="N12" s="814">
        <f>IF(N8=0,0,1/N8*N11)</f>
        <v>57</v>
      </c>
      <c r="O12" s="487"/>
      <c r="P12" s="502">
        <f>IF(P8=0,0,1/P8*P11)</f>
        <v>68.399999999999991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32</v>
      </c>
      <c r="L13" s="418"/>
      <c r="M13" s="499">
        <v>32</v>
      </c>
      <c r="N13" s="784"/>
      <c r="O13" s="499">
        <v>32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1.1519999999999999</v>
      </c>
      <c r="L14" s="418"/>
      <c r="M14" s="815">
        <f>M13*$G14</f>
        <v>1.1519999999999999</v>
      </c>
      <c r="N14" s="784"/>
      <c r="O14" s="513">
        <f>O13*$G14</f>
        <v>1.1519999999999999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3575.04</v>
      </c>
      <c r="L15" s="418"/>
      <c r="M15" s="816">
        <f>M$11*M13</f>
        <v>4468.8</v>
      </c>
      <c r="N15" s="784"/>
      <c r="O15" s="497">
        <f>O$11*O13</f>
        <v>5362.56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128.70143999999999</v>
      </c>
      <c r="L16" s="417"/>
      <c r="M16" s="817">
        <f>M$11*M14</f>
        <v>160.8768</v>
      </c>
      <c r="N16" s="428"/>
      <c r="O16" s="498">
        <f>O$11*O14</f>
        <v>193.05215999999999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483.64598799999993</v>
      </c>
      <c r="M17" s="2600">
        <f>K17</f>
        <v>1</v>
      </c>
      <c r="N17" s="2591">
        <f>M17*(N33*(1-$AC$14)+N34*(1-$AC$15)+N35*(1-$AC$16)+N36*(1-$AC$17))</f>
        <v>604.55748499999993</v>
      </c>
      <c r="O17" s="2601">
        <f>K17</f>
        <v>1</v>
      </c>
      <c r="P17" s="2590">
        <f>O17*(P33*(1-$AC$14)+P34*(1-$AC$15)+P35*(1-$AC$16)+P36*(1-$AC$17))</f>
        <v>725.46898199999987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565.88307999999995</v>
      </c>
      <c r="M31" s="819"/>
      <c r="N31" s="786">
        <f>SUM(N33:N36)</f>
        <v>707.35384999999997</v>
      </c>
      <c r="O31" s="334"/>
      <c r="P31" s="325">
        <f>SUM(P33:P36)</f>
        <v>848.82461999999987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>
        <v>0</v>
      </c>
      <c r="I33"/>
      <c r="J33" s="172"/>
      <c r="K33" s="336">
        <f>G33*$K$9+H33</f>
        <v>159.6</v>
      </c>
      <c r="L33" s="337">
        <f>K33*$E33</f>
        <v>274.12363999999997</v>
      </c>
      <c r="M33" s="820">
        <f>G33*$M$9+H33</f>
        <v>199.5</v>
      </c>
      <c r="N33" s="791">
        <f>M33*$E33</f>
        <v>342.65455000000003</v>
      </c>
      <c r="O33" s="336">
        <f>G33*$O$9+H33</f>
        <v>239.39999999999998</v>
      </c>
      <c r="P33" s="337">
        <f>O33*$E33</f>
        <v>411.18545999999998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0.59</v>
      </c>
      <c r="H34" s="386"/>
      <c r="I34"/>
      <c r="J34" s="172"/>
      <c r="K34" s="336">
        <f>G34*$K$9+H34</f>
        <v>67.259999999999991</v>
      </c>
      <c r="L34" s="337">
        <f>K34*$E34</f>
        <v>76.037429999999972</v>
      </c>
      <c r="M34" s="820">
        <f>G34*$M$9+H34</f>
        <v>84.074999999999989</v>
      </c>
      <c r="N34" s="791">
        <f>M34*$E34</f>
        <v>95.046787499999979</v>
      </c>
      <c r="O34" s="336">
        <f>G34*$O$9+H34</f>
        <v>100.89</v>
      </c>
      <c r="P34" s="337">
        <f>O34*$E34</f>
        <v>114.05614499999999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1.67</v>
      </c>
      <c r="H35" s="386"/>
      <c r="I35"/>
      <c r="J35" s="172"/>
      <c r="K35" s="336">
        <f>G35*$K$9+H35</f>
        <v>190.38</v>
      </c>
      <c r="L35" s="337">
        <f>K35*$E35</f>
        <v>200.12110999999999</v>
      </c>
      <c r="M35" s="820">
        <f>G35*$M$9+H35</f>
        <v>237.97499999999999</v>
      </c>
      <c r="N35" s="791">
        <f>M35*$E35</f>
        <v>250.15138749999997</v>
      </c>
      <c r="O35" s="336">
        <f>G35*$O$9+H35</f>
        <v>285.57</v>
      </c>
      <c r="P35" s="337">
        <f>O35*$E35</f>
        <v>300.18166499999995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0.23</v>
      </c>
      <c r="H36" s="387"/>
      <c r="I36" s="36"/>
      <c r="J36" s="36"/>
      <c r="K36" s="338">
        <f>G36*$K$9+H36</f>
        <v>26.220000000000002</v>
      </c>
      <c r="L36" s="333">
        <f>K36*$E36</f>
        <v>15.600900000000001</v>
      </c>
      <c r="M36" s="821">
        <f>G36*$M$9+H36</f>
        <v>32.774999999999999</v>
      </c>
      <c r="N36" s="792">
        <f>M36*$E36</f>
        <v>19.501124999999998</v>
      </c>
      <c r="O36" s="338">
        <f>G36*$O$9+H36</f>
        <v>39.33</v>
      </c>
      <c r="P36" s="333">
        <f>O36*$E36</f>
        <v>23.401349999999997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342.38736544208723</v>
      </c>
      <c r="M42" s="823"/>
      <c r="N42" s="786">
        <f>SUM(W45:W55)</f>
        <v>379.84702040543704</v>
      </c>
      <c r="O42" s="425"/>
      <c r="P42" s="325">
        <f>SUM(Z45:Z55)</f>
        <v>417.03829865453076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1.03</v>
      </c>
      <c r="N50" s="791">
        <f t="shared" si="1"/>
        <v>4.6071335947279994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0.2266</v>
      </c>
      <c r="V50" s="1350" t="e">
        <f>M50*#REF!</f>
        <v>#REF!</v>
      </c>
      <c r="W50" s="827">
        <f t="shared" si="6"/>
        <v>4.6071335947279994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0.69090909090909092</v>
      </c>
      <c r="L51" s="337">
        <f t="shared" si="0"/>
        <v>111.10590951365819</v>
      </c>
      <c r="M51" s="375">
        <f>N9/500</f>
        <v>0.86363636363636365</v>
      </c>
      <c r="N51" s="791">
        <f t="shared" si="1"/>
        <v>138.88238689207273</v>
      </c>
      <c r="O51" s="375">
        <f>P9/500</f>
        <v>1.0363636363636362</v>
      </c>
      <c r="P51" s="337">
        <f t="shared" si="2"/>
        <v>166.65886427048724</v>
      </c>
      <c r="Q51" s="528"/>
      <c r="R51" s="1348">
        <f t="shared" si="3"/>
        <v>5.4443636363636365</v>
      </c>
      <c r="S51" s="471" t="e">
        <f>K51*#REF!</f>
        <v>#REF!</v>
      </c>
      <c r="T51" s="258">
        <f t="shared" si="4"/>
        <v>111.10590951365819</v>
      </c>
      <c r="U51" s="1349">
        <f t="shared" si="5"/>
        <v>6.8054545454545456</v>
      </c>
      <c r="V51" s="1350" t="e">
        <f>M51*#REF!</f>
        <v>#REF!</v>
      </c>
      <c r="W51" s="827">
        <f t="shared" si="6"/>
        <v>138.88238689207273</v>
      </c>
      <c r="X51" s="1351">
        <f t="shared" si="7"/>
        <v>8.166545454545453</v>
      </c>
      <c r="Y51" s="471" t="e">
        <f>O51*#REF!</f>
        <v>#REF!</v>
      </c>
      <c r="Z51" s="258">
        <f t="shared" si="8"/>
        <v>166.65886427048724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0.69090909090909092</v>
      </c>
      <c r="L52" s="337">
        <f t="shared" si="0"/>
        <v>38.195956911229082</v>
      </c>
      <c r="M52" s="375">
        <f>N9/500</f>
        <v>0.86363636363636365</v>
      </c>
      <c r="N52" s="791">
        <f t="shared" si="1"/>
        <v>47.744946139036351</v>
      </c>
      <c r="O52" s="375">
        <f>P9/500</f>
        <v>1.0363636363636362</v>
      </c>
      <c r="P52" s="337">
        <f t="shared" si="2"/>
        <v>57.293935366843613</v>
      </c>
      <c r="Q52" s="528"/>
      <c r="R52" s="1348">
        <f t="shared" si="3"/>
        <v>1.4716363636363636</v>
      </c>
      <c r="S52" s="471" t="e">
        <f>K52*#REF!</f>
        <v>#REF!</v>
      </c>
      <c r="T52" s="258">
        <f t="shared" si="4"/>
        <v>38.195956911229082</v>
      </c>
      <c r="U52" s="1349">
        <f t="shared" si="5"/>
        <v>1.8395454545454544</v>
      </c>
      <c r="V52" s="1350" t="e">
        <f>M52*#REF!</f>
        <v>#REF!</v>
      </c>
      <c r="W52" s="827">
        <f t="shared" si="6"/>
        <v>47.744946139036351</v>
      </c>
      <c r="X52" s="1351">
        <f t="shared" si="7"/>
        <v>2.2074545454545449</v>
      </c>
      <c r="Y52" s="471" t="e">
        <f>O52*#REF!</f>
        <v>#REF!</v>
      </c>
      <c r="Z52" s="258">
        <f t="shared" si="8"/>
        <v>57.293935366843613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11.475999999999999</v>
      </c>
      <c r="L56" s="341"/>
      <c r="M56" s="797">
        <f>SUM($U$45:$U$55)</f>
        <v>13.211600000000001</v>
      </c>
      <c r="N56" s="798"/>
      <c r="O56" s="340">
        <f>SUM($X$45:$X$55)</f>
        <v>14.933999999999997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20.656799999999997</v>
      </c>
      <c r="L57" s="343"/>
      <c r="M57" s="799">
        <f>IF(M56+(M56*$G$57/100)&gt;M56+10,M56+10,M56+(M56*$G$57/100))</f>
        <v>23.211600000000001</v>
      </c>
      <c r="N57" s="800"/>
      <c r="O57" s="342">
        <f>IF(O56+(O56*$G$57/100)&gt;O56+10,O56+10,O56+(O56*$G$57/100))</f>
        <v>24.933999999999997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323.39331818181824</v>
      </c>
      <c r="M58" s="826"/>
      <c r="N58" s="786">
        <f>SUM(N60:N62)</f>
        <v>378.21039772727272</v>
      </c>
      <c r="O58" s="344"/>
      <c r="P58" s="325">
        <f>SUM(P60:P62)</f>
        <v>433.02747727272731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556</v>
      </c>
      <c r="E60" s="3020"/>
      <c r="F60" s="3020"/>
      <c r="G60" s="3021"/>
      <c r="H60" s="3012">
        <v>175</v>
      </c>
      <c r="I60" s="3022"/>
      <c r="J60" s="3013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1177"/>
      <c r="L61" s="258">
        <f>K61*J61</f>
        <v>0</v>
      </c>
      <c r="M61" s="1177"/>
      <c r="N61" s="827">
        <f>M61*J61</f>
        <v>0</v>
      </c>
      <c r="O61" s="1177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25.390909090909091</v>
      </c>
      <c r="L62" s="308">
        <f>K62*I62</f>
        <v>135.9683181818182</v>
      </c>
      <c r="M62" s="2626">
        <f>M11/($V$63)/10*($V$65*M17)</f>
        <v>31.738636363636367</v>
      </c>
      <c r="N62" s="828">
        <f>M62*I62</f>
        <v>169.96039772727275</v>
      </c>
      <c r="O62" s="2626">
        <f>O11/($V$63)/10*($V$65*O17)</f>
        <v>38.086363636363636</v>
      </c>
      <c r="P62" s="308">
        <f>O62*I62</f>
        <v>203.95247727272729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0.33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18.232703999999998</v>
      </c>
      <c r="M65" s="1357"/>
      <c r="N65" s="786">
        <f>M66*$H66/100</f>
        <v>22.790880000000001</v>
      </c>
      <c r="O65" s="347"/>
      <c r="P65" s="325">
        <f>O66*$H66/100</f>
        <v>27.349056000000001</v>
      </c>
      <c r="Q65" s="529"/>
      <c r="R65" s="542"/>
      <c r="S65" s="1167"/>
      <c r="T65" s="2598"/>
      <c r="U65" s="2598"/>
      <c r="V65" s="2599">
        <v>0.75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</v>
      </c>
      <c r="I66" s="74"/>
      <c r="J66" s="361" t="s">
        <v>266</v>
      </c>
      <c r="K66" s="3181">
        <f>K15*0.3</f>
        <v>1072.5119999999999</v>
      </c>
      <c r="L66" s="348"/>
      <c r="M66" s="3181">
        <f>M15*0.3</f>
        <v>1340.64</v>
      </c>
      <c r="N66" s="789"/>
      <c r="O66" s="3181">
        <f>O15*0.3</f>
        <v>1608.768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74&amp;9
&amp;R&amp;12&amp;F
&amp;A</oddFooter>
  </headerFooter>
  <rowBreaks count="1" manualBreakCount="1">
    <brk id="36" min="2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0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Q38" sqref="Q3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'28)Silomais Biogas ex Silo (a)'!J2</f>
        <v>2022</v>
      </c>
      <c r="K2" s="2504" t="s">
        <v>858</v>
      </c>
      <c r="L2" s="2502"/>
      <c r="M2" s="2505"/>
      <c r="N2" s="2529"/>
      <c r="O2" s="2530" t="str">
        <f>'28)Silomais Biogas ex Silo (a)'!M2</f>
        <v>Silomais Biogas ex Silo (einsiliert)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2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'28)Silomais Biogas ex Silo (a)'!H3</f>
        <v>Silage für Biogasanlage;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'28)Silomais Biogas ex Silo (a)'!K5</f>
        <v>120</v>
      </c>
      <c r="N6" s="1735">
        <f>'28)Silomais Biogas ex Silo (a)'!M5</f>
        <v>150</v>
      </c>
      <c r="O6" s="1743">
        <f>'28)Silomais Biogas ex Silo (a)'!O5</f>
        <v>180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'28)Silomais Biogas ex Silo (a)'!K9</f>
        <v>114</v>
      </c>
      <c r="N7" s="1736">
        <f>'28)Silomais Biogas ex Silo (a)'!M9</f>
        <v>142.5</v>
      </c>
      <c r="O7" s="1744">
        <f>'28)Silomais Biogas ex Silo (a)'!O9</f>
        <v>171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'28)Silomais Biogas ex Silo (a)'!L9</f>
        <v>345.45454545454544</v>
      </c>
      <c r="N8" s="1737">
        <f>'28)Silomais Biogas ex Silo (a)'!N9</f>
        <v>431.81818181818181</v>
      </c>
      <c r="O8" s="1583">
        <f>'28)Silomais Biogas ex Silo (a)'!P9</f>
        <v>518.18181818181813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'28)Silomais Biogas ex Silo (a)'!K11</f>
        <v>111.72</v>
      </c>
      <c r="N9" s="1562">
        <f>'28)Silomais Biogas ex Silo (a)'!M11</f>
        <v>139.65</v>
      </c>
      <c r="O9" s="1747">
        <f>'28)Silomais Biogas ex Silo (a)'!O11</f>
        <v>167.58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'28)Silomais Biogas ex Silo (a)'!L11</f>
        <v>319.20000000000005</v>
      </c>
      <c r="N10" s="1582">
        <f>'28)Silomais Biogas ex Silo (a)'!N11</f>
        <v>399</v>
      </c>
      <c r="O10" s="2014">
        <f>'28)Silomais Biogas ex Silo (a)'!P11</f>
        <v>478.8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'28)Silomais Biogas ex Silo (a)'!L12</f>
        <v>45.6</v>
      </c>
      <c r="N11" s="1818">
        <f>'28)Silomais Biogas ex Silo (a)'!N12</f>
        <v>57</v>
      </c>
      <c r="O11" s="1819">
        <f>'28)Silomais Biogas ex Silo (a)'!P12</f>
        <v>68.399999999999991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'28)Silomais Biogas ex Silo (a)'!K15</f>
        <v>3575.04</v>
      </c>
      <c r="N12" s="1738">
        <f>'28)Silomais Biogas ex Silo (a)'!M15</f>
        <v>4468.8</v>
      </c>
      <c r="O12" s="1745">
        <f>'28)Silomais Biogas ex Silo (a)'!O15</f>
        <v>5362.56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'28)Silomais Biogas ex Silo (a)'!K16</f>
        <v>128.70143999999999</v>
      </c>
      <c r="N13" s="2077">
        <f>'28)Silomais Biogas ex Silo (a)'!M16</f>
        <v>160.8768</v>
      </c>
      <c r="O13" s="2078">
        <f>'28)Silomais Biogas ex Silo (a)'!O16</f>
        <v>193.05215999999999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'28)Silomais Biogas ex Silo (a)'!L24</f>
        <v>270</v>
      </c>
      <c r="N15" s="3338">
        <f>'28)Silomais Biogas ex Silo (a)'!N24</f>
        <v>270</v>
      </c>
      <c r="O15" s="3341">
        <f>'28)Silomais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'28)Silomais Biogas ex Silo (a)'!L18</f>
        <v>0</v>
      </c>
      <c r="N16" s="1736">
        <f>'28)Silomais Biogas ex Silo (a)'!N18</f>
        <v>0</v>
      </c>
      <c r="O16" s="3343">
        <f>'28)Silomais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'28)Silomais Biogas ex Silo (a)'!L27</f>
        <v>214</v>
      </c>
      <c r="N19" s="2072">
        <f>'28)Silomais Biogas ex Silo (a)'!N27</f>
        <v>214</v>
      </c>
      <c r="O19" s="2073">
        <f>'28)Silomais Biogas ex Silo 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'28)Silomais Biogas ex Silo (a)'!L31-'28)Silomais Biogas ex Silo (a)'!L17</f>
        <v>82.237092000000018</v>
      </c>
      <c r="N20" s="1567">
        <f>'28)Silomais Biogas ex Silo (a)'!N31-'28)Silomais Biogas ex Silo (a)'!N17</f>
        <v>102.79636500000004</v>
      </c>
      <c r="O20" s="1574">
        <f>'28)Silomais Biogas ex Silo (a)'!P31-'28)Silomais Biogas ex Silo (a)'!P17</f>
        <v>123.355638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'28)Silomais Biogas ex Silo (a)'!L37</f>
        <v>84.585200000000015</v>
      </c>
      <c r="N21" s="1567">
        <f>'28)Silomais Biogas ex Silo (a)'!N37</f>
        <v>84.585200000000015</v>
      </c>
      <c r="O21" s="1574">
        <f>'28)Silomais Biogas ex Silo 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'28)Silomais Biogas ex Silo (a)'!L65</f>
        <v>18.232703999999998</v>
      </c>
      <c r="N22" s="1567">
        <f>'28)Silomais Biogas ex Silo (a)'!N65</f>
        <v>22.790880000000001</v>
      </c>
      <c r="O22" s="1574">
        <f>'28)Silomais Biogas ex Silo (a)'!P65</f>
        <v>27.349056000000001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'28)Silomais Biogas ex Silo (a)'!L67</f>
        <v>59.5</v>
      </c>
      <c r="N23" s="1567">
        <f>'28)Silomais Biogas ex Silo (a)'!N67</f>
        <v>59.5</v>
      </c>
      <c r="O23" s="1574">
        <f>'28)Silomais Biogas ex Silo 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'28)Silomais Biogas ex Silo (a)'!L42</f>
        <v>342.38736544208723</v>
      </c>
      <c r="N24" s="1567">
        <f>'28)Silomais Biogas ex Silo (a)'!N42</f>
        <v>379.84702040543704</v>
      </c>
      <c r="O24" s="1574">
        <f>'28)Silomais Biogas ex Silo (a)'!P42</f>
        <v>417.03829865453076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'28)Silomais Biogas ex Silo (a)'!L58</f>
        <v>323.39331818181824</v>
      </c>
      <c r="N25" s="1567">
        <f>'28)Silomais Biogas ex Silo (a)'!N58</f>
        <v>378.21039772727272</v>
      </c>
      <c r="O25" s="1574">
        <f>'28)Silomais Biogas ex Silo (a)'!P58</f>
        <v>433.02747727272731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'28)Silomais Biogas ex Silo (a)'!L63</f>
        <v>0</v>
      </c>
      <c r="N26" s="1980">
        <f>'28)Silomais Biogas ex Silo (a)'!N63</f>
        <v>0</v>
      </c>
      <c r="O26" s="1981">
        <f>'28)Silomais Biogas ex Silo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1124.3356796239054</v>
      </c>
      <c r="N27" s="1775">
        <f>SUM(N19:N26)</f>
        <v>1241.7298631327099</v>
      </c>
      <c r="O27" s="2055">
        <f>SUM(O19:O26)</f>
        <v>1358.8556699272581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-1124.3356796239054</v>
      </c>
      <c r="N28" s="2060">
        <f>-N27</f>
        <v>-1241.7298631327099</v>
      </c>
      <c r="O28" s="2061">
        <f>-O27</f>
        <v>-1358.8556699272581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M27*'28)Silomais Biogas ex Silo (a)'!$L$70*'28)Silomais Biogas ex Silo (a)'!$P$70/12/100</f>
        <v>7.0270979976494088</v>
      </c>
      <c r="N30" s="1980">
        <f>N27*'28)Silomais Biogas ex Silo (a)'!$L$70*'28)Silomais Biogas ex Silo (a)'!$P$70/12/100</f>
        <v>7.7608116445794364</v>
      </c>
      <c r="O30" s="1981">
        <f>O27*'28)Silomais Biogas ex Silo (a)'!$L$70*'28)Silomais Biogas ex Silo (a)'!$P$70/12/100</f>
        <v>8.4928479370453616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-861.36277762155487</v>
      </c>
      <c r="N31" s="1769">
        <f>N28+N29-N30</f>
        <v>-979.49067477728931</v>
      </c>
      <c r="O31" s="1776">
        <f>O28+O29-O30</f>
        <v>-1097.3485178643034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-0.24093794128780513</v>
      </c>
      <c r="N32" s="1561">
        <f>IF(N12=0,0,N31/N12)</f>
        <v>-0.21918427201425197</v>
      </c>
      <c r="O32" s="2047">
        <f>IF(O12=0,0,O31/O12)</f>
        <v>-0.20463146666224777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-6.6927205913279213</v>
      </c>
      <c r="N33" s="1576">
        <f>IF(N13=0,0,N31/N13)</f>
        <v>-6.0884520003958889</v>
      </c>
      <c r="O33" s="2052">
        <f>IF(O13=0,0,O31/O13)</f>
        <v>-5.6842074072846609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'28)Silomais Biogas ex Silo (a)'!K57</f>
        <v>20.656799999999997</v>
      </c>
      <c r="N35" s="2396">
        <f>'28)Silomais Biogas ex Silo (a)'!M57</f>
        <v>23.211600000000001</v>
      </c>
      <c r="O35" s="2398">
        <f>'28)Silomais Biogas ex Silo (a)'!O57</f>
        <v>24.933999999999997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'28)Silomais Biogas ex Silo (a)'!L10</f>
        <v>49.350649350649348</v>
      </c>
      <c r="N36" s="2431">
        <f>'28)Silomais Biogas ex Silo (a)'!N10</f>
        <v>61.688311688311686</v>
      </c>
      <c r="O36" s="2432">
        <f>'28)Silomais Biogas ex Silo (a)'!P10</f>
        <v>74.025974025974008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361.49399999999997</v>
      </c>
      <c r="N37" s="1567">
        <f>$J$37*N35</f>
        <v>406.20300000000003</v>
      </c>
      <c r="O37" s="1574">
        <f>$J$37*O35</f>
        <v>436.34499999999997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239.80303030303031</v>
      </c>
      <c r="N38" s="2433">
        <f>N36*$I$36</f>
        <v>299.75378787878788</v>
      </c>
      <c r="O38" s="2429">
        <f>O36*$I$36</f>
        <v>359.70454545454538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'Sonst-Festk'!$L39</f>
        <v>310</v>
      </c>
      <c r="O41" s="1574">
        <f>'Sonst-Festk'!$L39</f>
        <v>310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1584.0401743539562</v>
      </c>
      <c r="N43" s="1991">
        <f>SUM(N37:N42)</f>
        <v>1688.6999319297138</v>
      </c>
      <c r="O43" s="1994">
        <f>SUM(O37:O42)</f>
        <v>1778.7926895054711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2715.4029519755113</v>
      </c>
      <c r="N46" s="2041">
        <f>N27+N30+N43</f>
        <v>2938.1906067070031</v>
      </c>
      <c r="O46" s="2080">
        <f>O27+O30+O43</f>
        <v>3146.1412073697747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-2715.4029519755113</v>
      </c>
      <c r="N47" s="2227">
        <f>N45-N46</f>
        <v>-2938.1906067070031</v>
      </c>
      <c r="O47" s="2228">
        <f>O45-O46</f>
        <v>-3146.1412073697747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-2445.4029519755113</v>
      </c>
      <c r="N49" s="1991">
        <f>N47+N48</f>
        <v>-2668.1906067070031</v>
      </c>
      <c r="O49" s="1994">
        <f>O47+O48</f>
        <v>-2876.1412073697747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2445.4029519755113</v>
      </c>
      <c r="N51" s="1771">
        <f>N46-N48</f>
        <v>2668.1906067070031</v>
      </c>
      <c r="O51" s="3358">
        <f>O46-O48</f>
        <v>2876.1412073697747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7.6610368169658862</v>
      </c>
      <c r="N52" s="2335">
        <f>IF(N10=0,0,N$51/N10)</f>
        <v>6.6871945030250703</v>
      </c>
      <c r="O52" s="2336">
        <f>IF(O10=0,0,O$51/O10)</f>
        <v>6.0069782944230887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21.888676619902537</v>
      </c>
      <c r="N53" s="2335">
        <f>IF(N9=0,0,N$51/N9)</f>
        <v>19.106270008643058</v>
      </c>
      <c r="O53" s="2336">
        <f>IF(O9=0,0,O$51/O9)</f>
        <v>17.162795126923108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53.627257718761214</v>
      </c>
      <c r="N54" s="2335">
        <f t="shared" si="3"/>
        <v>46.810361521175494</v>
      </c>
      <c r="O54" s="2336">
        <f t="shared" si="3"/>
        <v>42.048848060961625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0.68402114437195427</v>
      </c>
      <c r="N55" s="2219">
        <f t="shared" si="3"/>
        <v>0.59707093777009557</v>
      </c>
      <c r="O55" s="2220">
        <f t="shared" si="3"/>
        <v>0.53633734771634711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19.000587343665398</v>
      </c>
      <c r="N56" s="2219">
        <f>IF(N13=0,0,N$51/N13)</f>
        <v>16.585303826947101</v>
      </c>
      <c r="O56" s="2220">
        <f>IF(O13=0,0,O$51/O13)</f>
        <v>14.898259658787422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0.19000587343665398</v>
      </c>
      <c r="N57" s="2222">
        <f>N51/$N$12*10/$F$57</f>
        <v>0.16585303826947101</v>
      </c>
      <c r="O57" s="2223">
        <f>O51/$O$12*10/$F$57</f>
        <v>0.14898259658787419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2205.5999216724808</v>
      </c>
      <c r="N58" s="1769">
        <f>N51-N38</f>
        <v>2368.4368188282151</v>
      </c>
      <c r="O58" s="1776">
        <f>O51-O38</f>
        <v>2516.4366619152293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19.74221197343789</v>
      </c>
      <c r="N59" s="3416">
        <f>N58/N9</f>
        <v>16.959805362178411</v>
      </c>
      <c r="O59" s="3417">
        <f>O58/O9</f>
        <v>15.016330480458462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0.61694412416993405</v>
      </c>
      <c r="N60" s="2130">
        <f>IF(N12=0,0,N$58/N12)</f>
        <v>0.52999391756807535</v>
      </c>
      <c r="O60" s="2217">
        <f>IF(O12=0,0,O$58/O12)</f>
        <v>0.46926032751432695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0.17137336782498169</v>
      </c>
      <c r="N61" s="2130">
        <f>N58/$N$12*10/$F$57</f>
        <v>0.14722053265779872</v>
      </c>
      <c r="O61" s="3422">
        <f>O58/$O$12*10/$F$57</f>
        <v>0.13035009097620193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17.137336782498167</v>
      </c>
      <c r="N62" s="1874">
        <f>IF(N13=0,0,N$58/N13)</f>
        <v>14.72205326577987</v>
      </c>
      <c r="O62" s="2032">
        <f>IF(O13=0,0,O$58/O13)</f>
        <v>13.035009097620195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465.58209399764951</v>
      </c>
      <c r="N64" s="1772">
        <f>SUM(N19:N23)+N30</f>
        <v>491.4332566445795</v>
      </c>
      <c r="O64" s="1773">
        <f>SUM(O19:O23)+O30</f>
        <v>517.28274193704533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0.13023129643238943</v>
      </c>
      <c r="N65" s="2031">
        <f>IF(N12=0,0,N64/N12)</f>
        <v>0.10996984797811034</v>
      </c>
      <c r="O65" s="2032">
        <f>IF(O12=0,0,O64/O12)</f>
        <v>9.6461902885384088E-2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1539.6574826381811</v>
      </c>
      <c r="N66" s="2038">
        <f>N24+N25+N26+N39+N37</f>
        <v>1639.1835621836356</v>
      </c>
      <c r="O66" s="2039">
        <f>O24+O25+O26+O39+O37</f>
        <v>1761.333919978184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0.43066860304728932</v>
      </c>
      <c r="N67" s="2168">
        <f>IF(N12=0,0,N66/N12)</f>
        <v>0.36680620349615906</v>
      </c>
      <c r="O67" s="2187">
        <f>IF(O12=0,0,O66/O12)</f>
        <v>0.32845020288410459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11.4</v>
      </c>
      <c r="N72" s="2877">
        <f>N7/10</f>
        <v>14.25</v>
      </c>
      <c r="O72" s="2877">
        <f>O7/10</f>
        <v>17.100000000000001</v>
      </c>
    </row>
    <row r="73" spans="2:41" x14ac:dyDescent="0.2">
      <c r="K73" s="7" t="s">
        <v>263</v>
      </c>
      <c r="M73" s="2725">
        <f>M6</f>
        <v>120</v>
      </c>
      <c r="N73" s="2725">
        <f>N6</f>
        <v>150</v>
      </c>
      <c r="O73" s="2725">
        <f>O6</f>
        <v>180</v>
      </c>
    </row>
    <row r="74" spans="2:41" x14ac:dyDescent="0.2">
      <c r="K74" s="7" t="s">
        <v>419</v>
      </c>
      <c r="M74" s="2941">
        <f>M9/10</f>
        <v>11.172000000000001</v>
      </c>
      <c r="N74" s="2941">
        <f>N9/10</f>
        <v>13.965</v>
      </c>
      <c r="O74" s="2941">
        <f>O9/10</f>
        <v>16.758000000000003</v>
      </c>
    </row>
    <row r="75" spans="2:41" x14ac:dyDescent="0.2">
      <c r="M75" s="2666">
        <f>M53*10</f>
        <v>218.88676619902537</v>
      </c>
      <c r="N75" s="2666">
        <f>N53*10</f>
        <v>191.0627000864306</v>
      </c>
      <c r="O75" s="2666">
        <f>O53*10</f>
        <v>171.62795126923106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75&amp;9
&amp;R&amp;12&amp;F
&amp;A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3">
    <pageSetUpPr fitToPage="1"/>
  </sheetPr>
  <dimension ref="A1:CA73"/>
  <sheetViews>
    <sheetView showGridLines="0" showZeros="0" zoomScaleNormal="100" workbookViewId="0">
      <pane xSplit="10" ySplit="5" topLeftCell="M21" activePane="bottomRight" state="frozen"/>
      <selection activeCell="G1" sqref="G1:I1"/>
      <selection pane="topRight" activeCell="G1" sqref="G1:I1"/>
      <selection pane="bottomLeft" activeCell="G1" sqref="G1:I1"/>
      <selection pane="bottomRight" activeCell="Q44" sqref="Q44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726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1152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120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271.42857142857144</v>
      </c>
      <c r="M9" s="809">
        <f>M5*(100-M6)/100</f>
        <v>114</v>
      </c>
      <c r="N9" s="810">
        <f>IF(M7=0,0,M9/M7*100)</f>
        <v>325.71428571428572</v>
      </c>
      <c r="O9" s="720">
        <f>O5*(100-O6)/100</f>
        <v>133</v>
      </c>
      <c r="P9" s="721">
        <f>IF(O7=0,0,O9/O7*100)</f>
        <v>380</v>
      </c>
      <c r="Q9" s="525"/>
      <c r="R9" s="563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93.1</v>
      </c>
      <c r="L11" s="709">
        <f>IF(L7=0,0,K11/L7*100)</f>
        <v>251.62162162162161</v>
      </c>
      <c r="M11" s="812">
        <f>M9*(100-N6)/100</f>
        <v>111.72</v>
      </c>
      <c r="N11" s="813">
        <f>IF(N7=0,0,M11/N7*100)</f>
        <v>301.94594594594594</v>
      </c>
      <c r="O11" s="708">
        <f>O9*(100-P6)/100</f>
        <v>130.34</v>
      </c>
      <c r="P11" s="709">
        <f>IF(P7=0,0,O11/P7*100)</f>
        <v>352.27027027027032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38.71101871101871</v>
      </c>
      <c r="M12" s="801"/>
      <c r="N12" s="814">
        <f>IF(N8=0,0,1/N8*N11)</f>
        <v>46.453222453222452</v>
      </c>
      <c r="O12" s="487"/>
      <c r="P12" s="502">
        <f>IF(P8=0,0,1/P8*P11)</f>
        <v>54.195426195426208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2793</v>
      </c>
      <c r="L15" s="418"/>
      <c r="M15" s="816">
        <f>M$11*M13</f>
        <v>3351.6</v>
      </c>
      <c r="N15" s="784"/>
      <c r="O15" s="497">
        <f>O$11*O13</f>
        <v>3910.2000000000003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100.54799999999997</v>
      </c>
      <c r="L16" s="417"/>
      <c r="M16" s="817">
        <f>M$11*M14</f>
        <v>120.65759999999999</v>
      </c>
      <c r="N16" s="428"/>
      <c r="O16" s="498">
        <f>O$11*O14</f>
        <v>140.76719999999997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336.50877516666662</v>
      </c>
      <c r="M17" s="2600">
        <f>K17</f>
        <v>1</v>
      </c>
      <c r="N17" s="2591">
        <f>M17*(N33*(1-$AC$14)+N34*(1-$AC$15)+N35*(1-$AC$16)+N36*(1-$AC$17))</f>
        <v>403.81053019999996</v>
      </c>
      <c r="O17" s="2601">
        <f>K17</f>
        <v>1</v>
      </c>
      <c r="P17" s="2590">
        <f>O17*(P33*(1-$AC$14)+P34*(1-$AC$15)+P35*(1-$AC$16)+P36*(1-$AC$17))</f>
        <v>471.1122852333333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22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SUM(J19:J23)</f>
        <v>0</v>
      </c>
      <c r="M18" s="785"/>
      <c r="N18" s="786">
        <f>SUM(J19:J23)</f>
        <v>0</v>
      </c>
      <c r="O18" s="326"/>
      <c r="P18" s="325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109.14</v>
      </c>
      <c r="M27" s="804"/>
      <c r="N27" s="786">
        <f>SUM(N29:N30)</f>
        <v>109.14</v>
      </c>
      <c r="O27" s="330"/>
      <c r="P27" s="325">
        <f>SUM(P29:P30)</f>
        <v>109.14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60</v>
      </c>
      <c r="I29" s="711">
        <f>H29*($H$27+100)/100</f>
        <v>64.2</v>
      </c>
      <c r="J29" s="91"/>
      <c r="K29" s="440">
        <v>1.7</v>
      </c>
      <c r="L29" s="337">
        <f>$I29*K29</f>
        <v>109.14</v>
      </c>
      <c r="M29" s="440">
        <v>1.7</v>
      </c>
      <c r="N29" s="791">
        <f>$I29*M29</f>
        <v>109.14</v>
      </c>
      <c r="O29" s="440">
        <v>1.7</v>
      </c>
      <c r="P29" s="337">
        <f>$I29*O29</f>
        <v>109.14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390.84399666666661</v>
      </c>
      <c r="M31" s="819"/>
      <c r="N31" s="786">
        <f>SUM(N33:N36)</f>
        <v>469.01279600000004</v>
      </c>
      <c r="O31" s="334"/>
      <c r="P31" s="325">
        <f>SUM(P33:P36)</f>
        <v>547.18159533333323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1.1100000000000001</v>
      </c>
      <c r="H33" s="386">
        <v>0</v>
      </c>
      <c r="I33"/>
      <c r="J33" s="172"/>
      <c r="K33" s="336">
        <f>G33*$K$9+H33</f>
        <v>105.45</v>
      </c>
      <c r="L33" s="337">
        <f>K33*$E33</f>
        <v>181.11740500000002</v>
      </c>
      <c r="M33" s="820">
        <f>G33*$M$9+H33</f>
        <v>126.54</v>
      </c>
      <c r="N33" s="791">
        <f>M33*$E33</f>
        <v>217.34088600000001</v>
      </c>
      <c r="O33" s="336">
        <f>G33*$O$9+H33</f>
        <v>147.63000000000002</v>
      </c>
      <c r="P33" s="337">
        <f>O33*$E33</f>
        <v>253.56436700000003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</v>
      </c>
      <c r="H34" s="386"/>
      <c r="I34"/>
      <c r="J34" s="172"/>
      <c r="K34" s="336">
        <f>G34*$K$9+H34</f>
        <v>57</v>
      </c>
      <c r="L34" s="337">
        <f>K34*$E34</f>
        <v>64.438499999999991</v>
      </c>
      <c r="M34" s="820">
        <f>G34*$M$9+H34</f>
        <v>68.399999999999991</v>
      </c>
      <c r="N34" s="791">
        <f>M34*$E34</f>
        <v>77.326199999999986</v>
      </c>
      <c r="O34" s="336">
        <f>G34*$O$9+H34</f>
        <v>79.8</v>
      </c>
      <c r="P34" s="337">
        <f>O34*$E34</f>
        <v>90.213899999999981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1.37</v>
      </c>
      <c r="H35" s="386"/>
      <c r="I35"/>
      <c r="J35" s="172"/>
      <c r="K35" s="336">
        <f>G35*$K$9+H35</f>
        <v>130.15</v>
      </c>
      <c r="L35" s="337">
        <f>K35*$E35</f>
        <v>136.80934166666665</v>
      </c>
      <c r="M35" s="820">
        <f>G35*$M$9+H35</f>
        <v>156.18</v>
      </c>
      <c r="N35" s="791">
        <f>M35*$E35</f>
        <v>164.17121</v>
      </c>
      <c r="O35" s="336">
        <f>G35*$O$9+H35</f>
        <v>182.21</v>
      </c>
      <c r="P35" s="337">
        <f>O35*$E35</f>
        <v>191.53307833333332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14.25</v>
      </c>
      <c r="L36" s="333">
        <f>K36*$E36</f>
        <v>8.4787499999999998</v>
      </c>
      <c r="M36" s="821">
        <f>G36*$M$9+H36</f>
        <v>17.099999999999998</v>
      </c>
      <c r="N36" s="792">
        <f>M36*$E36</f>
        <v>10.174499999999998</v>
      </c>
      <c r="O36" s="338">
        <f>G36*$O$9+H36</f>
        <v>19.95</v>
      </c>
      <c r="P36" s="333">
        <f>O36*$E36</f>
        <v>11.870249999999999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115.37883000000002</v>
      </c>
      <c r="M58" s="826"/>
      <c r="N58" s="786">
        <f>SUM(N60:N62)</f>
        <v>138.45459600000001</v>
      </c>
      <c r="O58" s="344"/>
      <c r="P58" s="325">
        <f>SUM(P60:P62)</f>
        <v>161.53036200000003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21.546000000000003</v>
      </c>
      <c r="L62" s="308">
        <f>K62*I62</f>
        <v>115.37883000000002</v>
      </c>
      <c r="M62" s="2626">
        <f>M11/($V$63)/10*($V$65*M17)</f>
        <v>25.8552</v>
      </c>
      <c r="N62" s="828">
        <f>M62*I62</f>
        <v>138.45459600000001</v>
      </c>
      <c r="O62" s="2626">
        <f>O11/($V$63)/10*($V$65*O17)</f>
        <v>30.164400000000004</v>
      </c>
      <c r="P62" s="308">
        <f>O62*I62</f>
        <v>161.53036200000003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10.054799999999998</v>
      </c>
      <c r="M65" s="1357"/>
      <c r="N65" s="786">
        <f>M66*$H66/100</f>
        <v>12.065759999999997</v>
      </c>
      <c r="O65" s="347"/>
      <c r="P65" s="325">
        <f>O66*$H66/100</f>
        <v>14.076719999999998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837.9</v>
      </c>
      <c r="L66" s="348"/>
      <c r="M66" s="3181">
        <f>M15*0.3</f>
        <v>1005.4799999999999</v>
      </c>
      <c r="N66" s="789"/>
      <c r="O66" s="3181">
        <f>O15*0.3</f>
        <v>1173.06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76&amp;9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6" r:id="rId30" name="Check Box 30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140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'29)Triticale-GPS Biogas Feld(a)'!J2</f>
        <v>2022</v>
      </c>
      <c r="K2" s="2504" t="s">
        <v>858</v>
      </c>
      <c r="L2" s="2502"/>
      <c r="M2" s="2505"/>
      <c r="N2" s="2529"/>
      <c r="O2" s="2530" t="str">
        <f>'29)Triticale-GPS Biogas Feld(a)'!M2</f>
        <v>GPS Triticale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4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'29)Triticale-GPS Biogas Feld(a)'!H3</f>
        <v>GPS für Verkauf an Biogasanlage ab Feld (ohne Kosten Ernte, Lagerraum und Abdeckung); Rücklieferung Gärrest unter 100% Anrechung der Netto-Nährstoffe (30% N-Verluste) und Kosten der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'29)Triticale-GPS Biogas Feld(a)'!K5</f>
        <v>100</v>
      </c>
      <c r="N6" s="1735">
        <f>'29)Triticale-GPS Biogas Feld(a)'!M5</f>
        <v>120</v>
      </c>
      <c r="O6" s="1743">
        <f>'29)Triticale-GPS Biogas Feld(a)'!O5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'29)Triticale-GPS Biogas Feld(a)'!K9</f>
        <v>95</v>
      </c>
      <c r="N7" s="1736">
        <f>'29)Triticale-GPS Biogas Feld(a)'!M9</f>
        <v>114</v>
      </c>
      <c r="O7" s="1744">
        <f>'29)Triticale-GPS Biogas Feld(a)'!O9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'29)Triticale-GPS Biogas Feld(a)'!L9</f>
        <v>271.42857142857144</v>
      </c>
      <c r="N8" s="1737">
        <f>'29)Triticale-GPS Biogas Feld(a)'!N9</f>
        <v>325.71428571428572</v>
      </c>
      <c r="O8" s="1583">
        <f>'29)Triticale-GPS Biogas Feld(a)'!P9</f>
        <v>380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'29)Triticale-GPS Biogas Feld(a)'!K11</f>
        <v>93.1</v>
      </c>
      <c r="N9" s="1562">
        <f>'29)Triticale-GPS Biogas Feld(a)'!M11</f>
        <v>111.72</v>
      </c>
      <c r="O9" s="1747">
        <f>'29)Triticale-GPS Biogas Feld(a)'!O11</f>
        <v>130.34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'29)Triticale-GPS Biogas Feld(a)'!L11</f>
        <v>251.62162162162161</v>
      </c>
      <c r="N10" s="1582">
        <f>'29)Triticale-GPS Biogas Feld(a)'!N11</f>
        <v>301.94594594594594</v>
      </c>
      <c r="O10" s="2014">
        <f>'29)Triticale-GPS Biogas Feld(a)'!P11</f>
        <v>352.27027027027032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'29)Triticale-GPS Biogas Feld(a)'!L12</f>
        <v>38.71101871101871</v>
      </c>
      <c r="N11" s="1818">
        <f>'29)Triticale-GPS Biogas Feld(a)'!N12</f>
        <v>46.453222453222452</v>
      </c>
      <c r="O11" s="1819">
        <f>'29)Triticale-GPS Biogas Feld(a)'!P12</f>
        <v>54.195426195426208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'29)Triticale-GPS Biogas Feld(a)'!K15</f>
        <v>2793</v>
      </c>
      <c r="N12" s="1738">
        <f>'29)Triticale-GPS Biogas Feld(a)'!M15</f>
        <v>3351.6</v>
      </c>
      <c r="O12" s="1745">
        <f>'29)Triticale-GPS Biogas Feld(a)'!O15</f>
        <v>3910.2000000000003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'29)Triticale-GPS Biogas Feld(a)'!K16</f>
        <v>100.54799999999997</v>
      </c>
      <c r="N13" s="2077">
        <f>'29)Triticale-GPS Biogas Feld(a)'!M16</f>
        <v>120.65759999999999</v>
      </c>
      <c r="O13" s="2078">
        <f>'29)Triticale-GPS Biogas Feld(a)'!O16</f>
        <v>140.76719999999997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'29)Triticale-GPS Biogas Feld(a)'!L24</f>
        <v>270</v>
      </c>
      <c r="N15" s="3338">
        <f>'29)Triticale-GPS Biogas Feld(a)'!N24</f>
        <v>270</v>
      </c>
      <c r="O15" s="3341">
        <f>'29)Triticale-GPS Biogas Feld(a)'!P24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'29)Triticale-GPS Biogas Feld(a)'!L18</f>
        <v>0</v>
      </c>
      <c r="N16" s="1736">
        <f>'29)Triticale-GPS Biogas Feld(a)'!N18</f>
        <v>0</v>
      </c>
      <c r="O16" s="3343">
        <f>'29)Triticale-GPS Biogas Feld(a)'!P18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'29)Triticale-GPS Biogas Feld(a)'!L27</f>
        <v>109.14</v>
      </c>
      <c r="N19" s="2072">
        <f>'29)Triticale-GPS Biogas Feld(a)'!N27</f>
        <v>109.14</v>
      </c>
      <c r="O19" s="2073">
        <f>'29)Triticale-GPS Biogas Feld(a)'!P27</f>
        <v>109.14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'29)Triticale-GPS Biogas Feld(a)'!L31-'29)Triticale-GPS Biogas Feld(a)'!L17</f>
        <v>54.335221499999989</v>
      </c>
      <c r="N20" s="1567">
        <f>'29)Triticale-GPS Biogas Feld(a)'!N31-'29)Triticale-GPS Biogas Feld(a)'!N17</f>
        <v>65.202265800000077</v>
      </c>
      <c r="O20" s="1574">
        <f>'29)Triticale-GPS Biogas Feld(a)'!P31-'29)Triticale-GPS Biogas Feld(a)'!P17</f>
        <v>76.069310099999939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'29)Triticale-GPS Biogas Feld(a)'!L37</f>
        <v>45.517500000000005</v>
      </c>
      <c r="N21" s="1567">
        <f>'29)Triticale-GPS Biogas Feld(a)'!N37</f>
        <v>91.035000000000011</v>
      </c>
      <c r="O21" s="1574">
        <f>'29)Triticale-GPS Biogas Feld(a)'!P37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'29)Triticale-GPS Biogas Feld(a)'!L65</f>
        <v>10.054799999999998</v>
      </c>
      <c r="N22" s="1567">
        <f>'29)Triticale-GPS Biogas Feld(a)'!N65</f>
        <v>12.065759999999997</v>
      </c>
      <c r="O22" s="1574">
        <f>'29)Triticale-GPS Biogas Feld(a)'!P65</f>
        <v>14.076719999999998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'29)Triticale-GPS Biogas Feld(a)'!L67</f>
        <v>0</v>
      </c>
      <c r="N23" s="1567">
        <f>'29)Triticale-GPS Biogas Feld(a)'!N67</f>
        <v>0</v>
      </c>
      <c r="O23" s="1574">
        <f>'29)Triticale-GPS Biogas Feld(a)'!P67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'29)Triticale-GPS Biogas Feld(a)'!L42</f>
        <v>188.10247435119999</v>
      </c>
      <c r="N24" s="1567">
        <f>'29)Triticale-GPS Biogas Feld(a)'!N42</f>
        <v>188.10247435119999</v>
      </c>
      <c r="O24" s="1574">
        <f>'29)Triticale-GPS Biogas Feld(a)'!P42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'29)Triticale-GPS Biogas Feld(a)'!L58</f>
        <v>115.37883000000002</v>
      </c>
      <c r="N25" s="1567">
        <f>'29)Triticale-GPS Biogas Feld(a)'!N58</f>
        <v>138.45459600000001</v>
      </c>
      <c r="O25" s="1574">
        <f>'29)Triticale-GPS Biogas Feld(a)'!P58</f>
        <v>161.53036200000003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'29)Triticale-GPS Biogas Feld(a)'!L63</f>
        <v>0</v>
      </c>
      <c r="N26" s="1980">
        <f>'29)Triticale-GPS Biogas Feld(a)'!N63</f>
        <v>0</v>
      </c>
      <c r="O26" s="1981">
        <f>'29)Triticale-GPS Biogas Feld(a)'!P63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522.52882585119994</v>
      </c>
      <c r="N27" s="1775">
        <f>SUM(N19:N26)</f>
        <v>604.00009615120007</v>
      </c>
      <c r="O27" s="2055">
        <f>SUM(O19:O26)</f>
        <v>650.06886645119994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-522.52882585119994</v>
      </c>
      <c r="N28" s="2060">
        <f>-N27</f>
        <v>-604.00009615120007</v>
      </c>
      <c r="O28" s="2061">
        <f>-O27</f>
        <v>-650.06886645119994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M27*'29)Triticale-GPS Biogas Feld(a)'!$L$70*'29)Triticale-GPS Biogas Feld(a)'!$P$70/12/100</f>
        <v>3.265805161569999</v>
      </c>
      <c r="N30" s="1980">
        <f>N27*'29)Triticale-GPS Biogas Feld(a)'!$L$70*'29)Triticale-GPS Biogas Feld(a)'!$P$70/12/100</f>
        <v>3.7750006009450003</v>
      </c>
      <c r="O30" s="1981">
        <f>O27*'29)Triticale-GPS Biogas Feld(a)'!$L$70*'29)Triticale-GPS Biogas Feld(a)'!$P$70/12/100</f>
        <v>4.0629304153199994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'29)Triticale-GPS Biogas Feld(a)'!Q18+'29)Triticale-GPS Biogas Feld(a)'!Q24</f>
        <v>0</v>
      </c>
      <c r="AA30" s="3309">
        <f>'29)Triticale-GPS Biogas Feld(a)'!R18+'29)Triticale-GPS Biogas Feld(a)'!R24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-255.79463101276994</v>
      </c>
      <c r="N31" s="1769">
        <f>N28+N29-N30</f>
        <v>-337.77509675214509</v>
      </c>
      <c r="O31" s="1776">
        <f>O28+O29-O30</f>
        <v>-384.13179686651995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-9.1584185826269218E-2</v>
      </c>
      <c r="N32" s="1561">
        <f>IF(N12=0,0,N31/N12)</f>
        <v>-0.10078025323789984</v>
      </c>
      <c r="O32" s="2047">
        <f>IF(O12=0,0,O31/O12)</f>
        <v>-9.8238401326407834E-2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-2.5440051618408126</v>
      </c>
      <c r="N33" s="1576">
        <f>IF(N13=0,0,N31/N13)</f>
        <v>-2.7994514788305511</v>
      </c>
      <c r="O33" s="2052">
        <f>IF(O13=0,0,O31/O13)</f>
        <v>-2.7288444812891073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'29)Triticale-GPS Biogas Feld(a)'!K57</f>
        <v>7.29</v>
      </c>
      <c r="N35" s="2396">
        <f>'29)Triticale-GPS Biogas Feld(a)'!M57</f>
        <v>7.29</v>
      </c>
      <c r="O35" s="2398">
        <f>'29)Triticale-GPS Biogas Feld(a)'!O57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'29)Triticale-GPS Biogas Feld(a)'!L10</f>
        <v>0</v>
      </c>
      <c r="N36" s="2431">
        <f>'29)Triticale-GPS Biogas Feld(a)'!N10</f>
        <v>0</v>
      </c>
      <c r="O36" s="2432">
        <f>'29)Triticale-GPS Biogas Feld(a)'!P10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'Festk-Masch-Geb'!$W$44-'Festk-Masch-Geb'!$W$24</f>
        <v>428.17724884259258</v>
      </c>
      <c r="N39" s="1567">
        <f>'Festk-Masch-Geb'!$W$44-'Festk-Masch-Geb'!$W$24</f>
        <v>428.17724884259258</v>
      </c>
      <c r="O39" s="1574">
        <f>'Festk-Masch-Geb'!$W$44-'Festk-Masch-Geb'!$W$24</f>
        <v>428.17724884259258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1063.5722488425927</v>
      </c>
      <c r="N43" s="1991">
        <f>SUM(N37:N42)</f>
        <v>753.57224884259267</v>
      </c>
      <c r="O43" s="1994">
        <f>SUM(O37:O42)</f>
        <v>753.57224884259267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1589.3668798553626</v>
      </c>
      <c r="N46" s="2041">
        <f>N27+N30+N43</f>
        <v>1361.3473455947378</v>
      </c>
      <c r="O46" s="2080">
        <f>O27+O30+O43</f>
        <v>1407.7040457091125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-1589.3668798553626</v>
      </c>
      <c r="N47" s="2227">
        <f>N45-N46</f>
        <v>-1361.3473455947378</v>
      </c>
      <c r="O47" s="2228">
        <f>O45-O46</f>
        <v>-1407.7040457091125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-1319.3668798553626</v>
      </c>
      <c r="N49" s="1991">
        <f>N47+N48</f>
        <v>-1091.3473455947378</v>
      </c>
      <c r="O49" s="1994">
        <f>O47+O48</f>
        <v>-1137.7040457091125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1319.3668798553626</v>
      </c>
      <c r="N51" s="1771">
        <f>N46-N48</f>
        <v>1091.3473455947378</v>
      </c>
      <c r="O51" s="3358">
        <f>O46-O48</f>
        <v>1137.7040457091125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4.8608253468355462</v>
      </c>
      <c r="N52" s="2335">
        <f>IF(N8=0,0,N$51/N8)</f>
        <v>3.3506278154224405</v>
      </c>
      <c r="O52" s="2336">
        <f>IF(O8=0,0,O$51/O8)</f>
        <v>2.9939580150239804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13.888072419530133</v>
      </c>
      <c r="N53" s="2335">
        <f>IF(N7=0,0,N$51/N7)</f>
        <v>9.5732223297784014</v>
      </c>
      <c r="O53" s="2336">
        <f>IF(O7=0,0,O$51/O7)</f>
        <v>8.5541657572113721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34.082463437724464</v>
      </c>
      <c r="N54" s="2335">
        <f t="shared" si="3"/>
        <v>23.493469084813324</v>
      </c>
      <c r="O54" s="2336">
        <f t="shared" si="3"/>
        <v>20.99262106744219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0.47238341563027664</v>
      </c>
      <c r="N55" s="2219">
        <f t="shared" si="3"/>
        <v>0.32561980713531979</v>
      </c>
      <c r="O55" s="2220">
        <f t="shared" si="3"/>
        <v>0.29095801895276774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13.121761545285466</v>
      </c>
      <c r="N56" s="2219">
        <f>IF(N13=0,0,N$51/N13)</f>
        <v>9.0449946426477723</v>
      </c>
      <c r="O56" s="2220">
        <f>IF(O13=0,0,O$51/O13)</f>
        <v>8.0821671931324399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0.13121761545285462</v>
      </c>
      <c r="N57" s="2222">
        <f>N51/$N$12*10/$F$57</f>
        <v>9.0449946426477718E-2</v>
      </c>
      <c r="O57" s="2223">
        <f>O51/$O$12*10/$F$57</f>
        <v>8.0821671931324363E-2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1319.3668798553626</v>
      </c>
      <c r="N58" s="1769">
        <f>N51-N38</f>
        <v>1091.3473455947378</v>
      </c>
      <c r="O58" s="1776">
        <f>O51-O38</f>
        <v>1137.7040457091125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13.888072419530133</v>
      </c>
      <c r="N59" s="3416">
        <f>N58/N7</f>
        <v>9.5732223297784014</v>
      </c>
      <c r="O59" s="3417">
        <f>O58/O7</f>
        <v>8.5541657572113721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0.47238341563027664</v>
      </c>
      <c r="N60" s="2130">
        <f>IF(N12=0,0,N$58/N12)</f>
        <v>0.32561980713531979</v>
      </c>
      <c r="O60" s="2217">
        <f>IF(O12=0,0,O$58/O12)</f>
        <v>0.29095801895276774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0.13121761545285462</v>
      </c>
      <c r="N61" s="2130">
        <f>N58/$N$12*10/$F$57</f>
        <v>9.0449946426477718E-2</v>
      </c>
      <c r="O61" s="3422">
        <f>O58/$O$12*10/$F$57</f>
        <v>8.0821671931324363E-2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13.121761545285466</v>
      </c>
      <c r="N62" s="1874">
        <f>IF(N13=0,0,N$58/N13)</f>
        <v>9.0449946426477723</v>
      </c>
      <c r="O62" s="2032">
        <f>IF(O13=0,0,O$58/O13)</f>
        <v>8.0821671931324399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222.31332666156999</v>
      </c>
      <c r="N64" s="1772">
        <f>SUM(N19:N23)+N30</f>
        <v>281.21802640094512</v>
      </c>
      <c r="O64" s="1773">
        <f>SUM(O19:O23)+O30</f>
        <v>304.49896051531994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7.9596608185309697E-2</v>
      </c>
      <c r="N65" s="2031">
        <f>IF(N12=0,0,N64/N12)</f>
        <v>8.39056052037669E-2</v>
      </c>
      <c r="O65" s="2032">
        <f>IF(O12=0,0,O64/O12)</f>
        <v>7.7872988725722445E-2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859.23355319379266</v>
      </c>
      <c r="N66" s="2038">
        <f>N24+N25+N26+N39+N37</f>
        <v>882.30931919379259</v>
      </c>
      <c r="O66" s="2039">
        <f>O24+O25+O26+O39+O37</f>
        <v>905.38508519379263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0.30763822169487742</v>
      </c>
      <c r="N67" s="2168">
        <f>IF(N12=0,0,N66/N12)</f>
        <v>0.2632501847457312</v>
      </c>
      <c r="O67" s="2187">
        <f>IF(O12=0,0,O66/O12)</f>
        <v>0.23154444406776956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77&amp;9
&amp;R&amp;12&amp;F
&amp;A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7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S37" sqref="S37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0.285156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740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120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271.42857142857144</v>
      </c>
      <c r="M9" s="809">
        <f>M5*(100-M6)/100</f>
        <v>114</v>
      </c>
      <c r="N9" s="810">
        <f>IF(M7=0,0,M9/M7*100)</f>
        <v>325.71428571428572</v>
      </c>
      <c r="O9" s="720">
        <f>O5*(100-O6)/100</f>
        <v>133</v>
      </c>
      <c r="P9" s="721">
        <f>IF(O7=0,0,O9/O7*100)</f>
        <v>380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41.758241758241766</v>
      </c>
      <c r="M10" s="286"/>
      <c r="N10" s="811">
        <f>IF(R10=TRUE,IF(M8=0,0,1/M8*N9),0)</f>
        <v>50.109890109890117</v>
      </c>
      <c r="O10" s="173"/>
      <c r="P10" s="722">
        <f>IF(R10=TRUE,IF(O8=0,0,1/O8*P9),0)</f>
        <v>58.461538461538467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93.1</v>
      </c>
      <c r="L11" s="709">
        <f>IF(L7=0,0,K11/L7*100)</f>
        <v>251.62162162162161</v>
      </c>
      <c r="M11" s="812">
        <f>M9*(100-N6)/100</f>
        <v>111.72</v>
      </c>
      <c r="N11" s="813">
        <f>IF(N7=0,0,M11/N7*100)</f>
        <v>301.94594594594594</v>
      </c>
      <c r="O11" s="708">
        <f>O9*(100-P6)/100</f>
        <v>130.34</v>
      </c>
      <c r="P11" s="709">
        <f>IF(P7=0,0,O11/P7*100)</f>
        <v>352.27027027027032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38.71101871101871</v>
      </c>
      <c r="M12" s="801"/>
      <c r="N12" s="814">
        <f>IF(N8=0,0,1/N8*N11)</f>
        <v>46.453222453222452</v>
      </c>
      <c r="O12" s="487"/>
      <c r="P12" s="502">
        <f>IF(P8=0,0,1/P8*P11)</f>
        <v>54.195426195426208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2793</v>
      </c>
      <c r="L15" s="418"/>
      <c r="M15" s="816">
        <f>M$11*M13</f>
        <v>3351.6</v>
      </c>
      <c r="N15" s="784"/>
      <c r="O15" s="497">
        <f>O$11*O13</f>
        <v>3910.2000000000003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100.54799999999997</v>
      </c>
      <c r="L16" s="417"/>
      <c r="M16" s="817">
        <f>M$11*M14</f>
        <v>120.65759999999999</v>
      </c>
      <c r="N16" s="428"/>
      <c r="O16" s="498">
        <f>O$11*O14</f>
        <v>140.76719999999997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336.50877516666662</v>
      </c>
      <c r="M17" s="2600">
        <f>K17</f>
        <v>1</v>
      </c>
      <c r="N17" s="2591">
        <f>M17*(N33*(1-$AC$14)+N34*(1-$AC$15)+N35*(1-$AC$16)+N36*(1-$AC$17))</f>
        <v>403.81053019999996</v>
      </c>
      <c r="O17" s="2601">
        <f>K17</f>
        <v>1</v>
      </c>
      <c r="P17" s="2590">
        <f>O17*(P33*(1-$AC$14)+P34*(1-$AC$15)+P35*(1-$AC$16)+P36*(1-$AC$17))</f>
        <v>471.1122852333333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SUM(J19:J23)</f>
        <v>0</v>
      </c>
      <c r="M18" s="785"/>
      <c r="N18" s="786">
        <f>SUM(J19:J23)</f>
        <v>0</v>
      </c>
      <c r="O18" s="326"/>
      <c r="P18" s="325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109.14</v>
      </c>
      <c r="M27" s="804"/>
      <c r="N27" s="786">
        <f>SUM(N29:N30)</f>
        <v>109.14</v>
      </c>
      <c r="O27" s="330"/>
      <c r="P27" s="325">
        <f>SUM(P29:P30)</f>
        <v>109.14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60</v>
      </c>
      <c r="I29" s="711">
        <f>H29*($H$27+100)/100</f>
        <v>64.2</v>
      </c>
      <c r="J29" s="91"/>
      <c r="K29" s="440">
        <v>1.7</v>
      </c>
      <c r="L29" s="337">
        <f>$I29*K29</f>
        <v>109.14</v>
      </c>
      <c r="M29" s="440">
        <v>1.7</v>
      </c>
      <c r="N29" s="791">
        <f>$I29*M29</f>
        <v>109.14</v>
      </c>
      <c r="O29" s="440">
        <v>1.7</v>
      </c>
      <c r="P29" s="337">
        <f>$I29*O29</f>
        <v>109.14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390.84399666666661</v>
      </c>
      <c r="M31" s="819"/>
      <c r="N31" s="786">
        <f>SUM(N33:N36)</f>
        <v>469.01279600000004</v>
      </c>
      <c r="O31" s="334"/>
      <c r="P31" s="325">
        <f>SUM(P33:P36)</f>
        <v>547.18159533333323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1.1100000000000001</v>
      </c>
      <c r="H33" s="386">
        <v>0</v>
      </c>
      <c r="I33"/>
      <c r="J33" s="172"/>
      <c r="K33" s="336">
        <f>G33*$K$9+H33</f>
        <v>105.45</v>
      </c>
      <c r="L33" s="337">
        <f>K33*$E33</f>
        <v>181.11740500000002</v>
      </c>
      <c r="M33" s="820">
        <f>G33*$M$9+H33</f>
        <v>126.54</v>
      </c>
      <c r="N33" s="791">
        <f>M33*$E33</f>
        <v>217.34088600000001</v>
      </c>
      <c r="O33" s="336">
        <f>G33*$O$9+H33</f>
        <v>147.63000000000002</v>
      </c>
      <c r="P33" s="337">
        <f>O33*$E33</f>
        <v>253.56436700000003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</v>
      </c>
      <c r="H34" s="386"/>
      <c r="I34"/>
      <c r="J34" s="172"/>
      <c r="K34" s="336">
        <f>G34*$K$9+H34</f>
        <v>57</v>
      </c>
      <c r="L34" s="337">
        <f>K34*$E34</f>
        <v>64.438499999999991</v>
      </c>
      <c r="M34" s="820">
        <f>G34*$M$9+H34</f>
        <v>68.399999999999991</v>
      </c>
      <c r="N34" s="791">
        <f>M34*$E34</f>
        <v>77.326199999999986</v>
      </c>
      <c r="O34" s="336">
        <f>G34*$O$9+H34</f>
        <v>79.8</v>
      </c>
      <c r="P34" s="337">
        <f>O34*$E34</f>
        <v>90.213899999999981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1.37</v>
      </c>
      <c r="H35" s="386"/>
      <c r="I35"/>
      <c r="J35" s="172"/>
      <c r="K35" s="336">
        <f>G35*$K$9+H35</f>
        <v>130.15</v>
      </c>
      <c r="L35" s="337">
        <f>K35*$E35</f>
        <v>136.80934166666665</v>
      </c>
      <c r="M35" s="820">
        <f>G35*$M$9+H35</f>
        <v>156.18</v>
      </c>
      <c r="N35" s="791">
        <f>M35*$E35</f>
        <v>164.17121</v>
      </c>
      <c r="O35" s="336">
        <f>G35*$O$9+H35</f>
        <v>182.21</v>
      </c>
      <c r="P35" s="337">
        <f>O35*$E35</f>
        <v>191.53307833333332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14.25</v>
      </c>
      <c r="L36" s="333">
        <f>K36*$E36</f>
        <v>8.4787499999999998</v>
      </c>
      <c r="M36" s="821">
        <f>G36*$M$9+H36</f>
        <v>17.099999999999998</v>
      </c>
      <c r="N36" s="792">
        <f>M36*$E36</f>
        <v>10.174499999999998</v>
      </c>
      <c r="O36" s="338">
        <f>G36*$O$9+H36</f>
        <v>19.95</v>
      </c>
      <c r="P36" s="333">
        <f>O36*$E36</f>
        <v>11.870249999999999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70.804999999999993</v>
      </c>
      <c r="O37" s="339"/>
      <c r="P37" s="325">
        <f>SUM(P39:P41)</f>
        <v>91.035000000000011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0.7</v>
      </c>
      <c r="N39" s="791">
        <f>$I39*M39</f>
        <v>70.804999999999993</v>
      </c>
      <c r="O39" s="165">
        <v>0.9</v>
      </c>
      <c r="P39" s="337">
        <f>$I39*O39</f>
        <v>91.035000000000011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305.41108368504001</v>
      </c>
      <c r="M42" s="823"/>
      <c r="N42" s="786">
        <f>SUM(W45:W55)</f>
        <v>328.87280555180803</v>
      </c>
      <c r="O42" s="425"/>
      <c r="P42" s="325">
        <f>SUM(Z45:Z55)</f>
        <v>352.33452741857599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0.54285714285714293</v>
      </c>
      <c r="L50" s="337">
        <f t="shared" si="0"/>
        <v>87.297500332160013</v>
      </c>
      <c r="M50" s="375">
        <f>N9/500</f>
        <v>0.65142857142857147</v>
      </c>
      <c r="N50" s="791">
        <f t="shared" si="1"/>
        <v>104.75700039859201</v>
      </c>
      <c r="O50" s="375">
        <f>P9/500</f>
        <v>0.76</v>
      </c>
      <c r="P50" s="337">
        <f t="shared" si="2"/>
        <v>122.21650046502401</v>
      </c>
      <c r="Q50" s="528"/>
      <c r="R50" s="1348">
        <f t="shared" si="3"/>
        <v>4.2777142857142865</v>
      </c>
      <c r="S50" s="471" t="e">
        <f>K50*#REF!</f>
        <v>#REF!</v>
      </c>
      <c r="T50" s="258">
        <f t="shared" si="4"/>
        <v>87.297500332160013</v>
      </c>
      <c r="U50" s="1349">
        <f t="shared" si="5"/>
        <v>5.1332571428571434</v>
      </c>
      <c r="V50" s="1350" t="e">
        <f>M50*#REF!</f>
        <v>#REF!</v>
      </c>
      <c r="W50" s="827">
        <f t="shared" si="6"/>
        <v>104.75700039859201</v>
      </c>
      <c r="X50" s="1351">
        <f t="shared" si="7"/>
        <v>5.9888000000000003</v>
      </c>
      <c r="Y50" s="471" t="e">
        <f>O50*#REF!</f>
        <v>#REF!</v>
      </c>
      <c r="Z50" s="258">
        <f t="shared" si="8"/>
        <v>122.21650046502401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0.54285714285714293</v>
      </c>
      <c r="L51" s="337">
        <f t="shared" si="0"/>
        <v>30.011109001679998</v>
      </c>
      <c r="M51" s="375">
        <f>N9/500</f>
        <v>0.65142857142857147</v>
      </c>
      <c r="N51" s="791">
        <f t="shared" si="1"/>
        <v>36.013330802015993</v>
      </c>
      <c r="O51" s="375">
        <f>P9/500</f>
        <v>0.76</v>
      </c>
      <c r="P51" s="337">
        <f t="shared" si="2"/>
        <v>42.015552602351988</v>
      </c>
      <c r="Q51" s="528"/>
      <c r="R51" s="1348">
        <f t="shared" si="3"/>
        <v>1.1562857142857144</v>
      </c>
      <c r="S51" s="471" t="e">
        <f>K51*#REF!</f>
        <v>#REF!</v>
      </c>
      <c r="T51" s="258">
        <f t="shared" si="4"/>
        <v>30.011109001679998</v>
      </c>
      <c r="U51" s="1349">
        <f t="shared" si="5"/>
        <v>1.3875428571428572</v>
      </c>
      <c r="V51" s="1350" t="e">
        <f>M51*#REF!</f>
        <v>#REF!</v>
      </c>
      <c r="W51" s="827">
        <f t="shared" si="6"/>
        <v>36.013330802015993</v>
      </c>
      <c r="X51" s="1351">
        <f t="shared" si="7"/>
        <v>1.6188</v>
      </c>
      <c r="Y51" s="471" t="e">
        <f>O51*#REF!</f>
        <v>#REF!</v>
      </c>
      <c r="Z51" s="258">
        <f t="shared" si="8"/>
        <v>42.015552602351988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9.484</v>
      </c>
      <c r="L56" s="341"/>
      <c r="M56" s="797">
        <f>SUM($U$45:$U$55)</f>
        <v>10.570800000000002</v>
      </c>
      <c r="N56" s="798"/>
      <c r="O56" s="340">
        <f>SUM($X$45:$X$55)</f>
        <v>11.6576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17.071200000000001</v>
      </c>
      <c r="L57" s="343"/>
      <c r="M57" s="799">
        <f>IF(M56+(M56*$G$57/100)&gt;M56+10,M56+10,M56+(M56*$G$57/100))</f>
        <v>19.027440000000006</v>
      </c>
      <c r="N57" s="800"/>
      <c r="O57" s="342">
        <f>IF(O56+(O56*$G$57/100)&gt;O56+10,O56+10,O56+(O56*$G$57/100))</f>
        <v>20.98368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281.38382999999999</v>
      </c>
      <c r="M58" s="826"/>
      <c r="N58" s="786">
        <f>SUM(N60:N62)</f>
        <v>322.90459599999997</v>
      </c>
      <c r="O58" s="344"/>
      <c r="P58" s="325">
        <f>SUM(P60:P62)</f>
        <v>364.42536200000006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755</v>
      </c>
      <c r="E60" s="3017"/>
      <c r="F60" s="3017"/>
      <c r="G60" s="60"/>
      <c r="H60" s="3012">
        <v>155</v>
      </c>
      <c r="I60" s="3013">
        <f>H60*($H$58+100)/100</f>
        <v>184.45</v>
      </c>
      <c r="J60" s="400"/>
      <c r="K60" s="3014">
        <v>0.9</v>
      </c>
      <c r="L60" s="3015">
        <f>K60*I60</f>
        <v>166.005</v>
      </c>
      <c r="M60" s="3014">
        <v>1</v>
      </c>
      <c r="N60" s="3016">
        <f>M60*I60</f>
        <v>184.45</v>
      </c>
      <c r="O60" s="3014">
        <v>1.1000000000000001</v>
      </c>
      <c r="P60" s="3015">
        <f>O60*I60</f>
        <v>202.89500000000001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21.546000000000003</v>
      </c>
      <c r="L62" s="308">
        <f>K62*I62</f>
        <v>115.37883000000002</v>
      </c>
      <c r="M62" s="2626">
        <f>M11/($V$63)/10*($V$65*M17)</f>
        <v>25.8552</v>
      </c>
      <c r="N62" s="828">
        <f>M62*I62</f>
        <v>138.45459600000001</v>
      </c>
      <c r="O62" s="2626">
        <f>O11/($V$63)/10*($V$65*O17)</f>
        <v>30.164400000000004</v>
      </c>
      <c r="P62" s="308">
        <f>O62*I62</f>
        <v>161.53036200000003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10.054799999999998</v>
      </c>
      <c r="M65" s="1357"/>
      <c r="N65" s="786">
        <f>M66*$H66/100</f>
        <v>12.065759999999997</v>
      </c>
      <c r="O65" s="347"/>
      <c r="P65" s="325">
        <f>O66*$H66/100</f>
        <v>14.076719999999998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837.9</v>
      </c>
      <c r="L66" s="348"/>
      <c r="M66" s="3181">
        <f>M15*0.3</f>
        <v>1005.4799999999999</v>
      </c>
      <c r="N66" s="789"/>
      <c r="O66" s="3181">
        <f>O15*0.3</f>
        <v>1173.06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78&amp;9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4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8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V9" sqref="V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'30)Tritic-GPS Biogas ex Silo(a)'!J2</f>
        <v>2022</v>
      </c>
      <c r="K2" s="2504" t="s">
        <v>858</v>
      </c>
      <c r="L2" s="2502"/>
      <c r="M2" s="2505"/>
      <c r="N2" s="2529"/>
      <c r="O2" s="2530" t="str">
        <f>'30)Tritic-GPS Biogas ex Silo(a)'!M2</f>
        <v>GPS Triticale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5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'30)Tritic-GPS Biogas ex Silo(a)'!H3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'30)Tritic-GPS Biogas ex Silo(a)'!K5</f>
        <v>100</v>
      </c>
      <c r="N6" s="1735">
        <f>'30)Tritic-GPS Biogas ex Silo(a)'!M5</f>
        <v>120</v>
      </c>
      <c r="O6" s="1743">
        <f>'30)Tritic-GPS Biogas ex Silo(a)'!O5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'30)Tritic-GPS Biogas ex Silo(a)'!K9</f>
        <v>95</v>
      </c>
      <c r="N7" s="1736">
        <f>'30)Tritic-GPS Biogas ex Silo(a)'!M9</f>
        <v>114</v>
      </c>
      <c r="O7" s="1744">
        <f>'30)Tritic-GPS Biogas ex Silo(a)'!O9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'30)Tritic-GPS Biogas ex Silo(a)'!L9</f>
        <v>271.42857142857144</v>
      </c>
      <c r="N8" s="1737">
        <f>'30)Tritic-GPS Biogas ex Silo(a)'!N9</f>
        <v>325.71428571428572</v>
      </c>
      <c r="O8" s="1583">
        <f>'30)Tritic-GPS Biogas ex Silo(a)'!P9</f>
        <v>380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'30)Tritic-GPS Biogas ex Silo(a)'!K11</f>
        <v>93.1</v>
      </c>
      <c r="N9" s="1562">
        <f>'30)Tritic-GPS Biogas ex Silo(a)'!M11</f>
        <v>111.72</v>
      </c>
      <c r="O9" s="1747">
        <f>'30)Tritic-GPS Biogas ex Silo(a)'!O11</f>
        <v>130.34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'30)Tritic-GPS Biogas ex Silo(a)'!L11</f>
        <v>251.62162162162161</v>
      </c>
      <c r="N10" s="1582">
        <f>'30)Tritic-GPS Biogas ex Silo(a)'!N11</f>
        <v>301.94594594594594</v>
      </c>
      <c r="O10" s="2014">
        <f>'30)Tritic-GPS Biogas ex Silo(a)'!P11</f>
        <v>352.27027027027032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'30)Tritic-GPS Biogas ex Silo(a)'!L12</f>
        <v>38.71101871101871</v>
      </c>
      <c r="N11" s="1818">
        <f>'30)Tritic-GPS Biogas ex Silo(a)'!N12</f>
        <v>46.453222453222452</v>
      </c>
      <c r="O11" s="1819">
        <f>'30)Tritic-GPS Biogas ex Silo(a)'!P12</f>
        <v>54.195426195426208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'30)Tritic-GPS Biogas ex Silo(a)'!K15</f>
        <v>2793</v>
      </c>
      <c r="N12" s="1738">
        <f>'30)Tritic-GPS Biogas ex Silo(a)'!M15</f>
        <v>3351.6</v>
      </c>
      <c r="O12" s="1745">
        <f>'30)Tritic-GPS Biogas ex Silo(a)'!O15</f>
        <v>3910.2000000000003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'30)Tritic-GPS Biogas ex Silo(a)'!K16</f>
        <v>100.54799999999997</v>
      </c>
      <c r="N13" s="2077">
        <f>'30)Tritic-GPS Biogas ex Silo(a)'!M16</f>
        <v>120.65759999999999</v>
      </c>
      <c r="O13" s="2078">
        <f>'30)Tritic-GPS Biogas ex Silo(a)'!O16</f>
        <v>140.76719999999997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'30)Tritic-GPS Biogas ex Silo(a)'!L24</f>
        <v>270</v>
      </c>
      <c r="N15" s="3338">
        <f>'30)Tritic-GPS Biogas ex Silo(a)'!N24</f>
        <v>270</v>
      </c>
      <c r="O15" s="3341">
        <f>'30)Tritic-GPS Biogas ex Silo(a)'!P24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'30)Tritic-GPS Biogas ex Silo(a)'!L18</f>
        <v>0</v>
      </c>
      <c r="N16" s="1736">
        <f>'30)Tritic-GPS Biogas ex Silo(a)'!N18</f>
        <v>0</v>
      </c>
      <c r="O16" s="3343">
        <f>'30)Tritic-GPS Biogas ex Silo(a)'!P18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'30)Tritic-GPS Biogas ex Silo(a)'!L27</f>
        <v>109.14</v>
      </c>
      <c r="N19" s="2072">
        <f>'30)Tritic-GPS Biogas ex Silo(a)'!N27</f>
        <v>109.14</v>
      </c>
      <c r="O19" s="2073">
        <f>'30)Tritic-GPS Biogas ex Silo(a)'!P27</f>
        <v>109.14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'30)Tritic-GPS Biogas ex Silo(a)'!L31-'30)Tritic-GPS Biogas ex Silo(a)'!L17</f>
        <v>54.335221499999989</v>
      </c>
      <c r="N20" s="1567">
        <f>'30)Tritic-GPS Biogas ex Silo(a)'!N31-'30)Tritic-GPS Biogas ex Silo(a)'!N17</f>
        <v>65.202265800000077</v>
      </c>
      <c r="O20" s="1574">
        <f>'30)Tritic-GPS Biogas ex Silo(a)'!P31-'30)Tritic-GPS Biogas ex Silo(a)'!P17</f>
        <v>76.069310099999939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'30)Tritic-GPS Biogas ex Silo(a)'!L37</f>
        <v>45.517500000000005</v>
      </c>
      <c r="N21" s="1567">
        <f>'30)Tritic-GPS Biogas ex Silo(a)'!N37</f>
        <v>70.804999999999993</v>
      </c>
      <c r="O21" s="1574">
        <f>'30)Tritic-GPS Biogas ex Silo(a)'!P37</f>
        <v>91.035000000000011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'30)Tritic-GPS Biogas ex Silo(a)'!L65</f>
        <v>10.054799999999998</v>
      </c>
      <c r="N22" s="1567">
        <f>'30)Tritic-GPS Biogas ex Silo(a)'!N65</f>
        <v>12.065759999999997</v>
      </c>
      <c r="O22" s="1574">
        <f>'30)Tritic-GPS Biogas ex Silo(a)'!P65</f>
        <v>14.076719999999998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'30)Tritic-GPS Biogas ex Silo(a)'!L67</f>
        <v>59.5</v>
      </c>
      <c r="N23" s="1567">
        <f>'30)Tritic-GPS Biogas ex Silo(a)'!N67</f>
        <v>59.5</v>
      </c>
      <c r="O23" s="1574">
        <f>'30)Tritic-GPS Biogas ex Silo(a)'!P67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'30)Tritic-GPS Biogas ex Silo(a)'!L42</f>
        <v>305.41108368504001</v>
      </c>
      <c r="N24" s="1567">
        <f>'30)Tritic-GPS Biogas ex Silo(a)'!N42</f>
        <v>328.87280555180803</v>
      </c>
      <c r="O24" s="1574">
        <f>'30)Tritic-GPS Biogas ex Silo(a)'!P42</f>
        <v>352.33452741857599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'30)Tritic-GPS Biogas ex Silo(a)'!L58</f>
        <v>281.38382999999999</v>
      </c>
      <c r="N25" s="1567">
        <f>'30)Tritic-GPS Biogas ex Silo(a)'!N58</f>
        <v>322.90459599999997</v>
      </c>
      <c r="O25" s="1574">
        <f>'30)Tritic-GPS Biogas ex Silo(a)'!P58</f>
        <v>364.42536200000006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'30)Tritic-GPS Biogas ex Silo(a)'!L63</f>
        <v>0</v>
      </c>
      <c r="N26" s="1980">
        <f>'30)Tritic-GPS Biogas ex Silo(a)'!N63</f>
        <v>0</v>
      </c>
      <c r="O26" s="1981">
        <f>'30)Tritic-GPS Biogas ex Silo(a)'!P63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865.34243518504002</v>
      </c>
      <c r="N27" s="1775">
        <f>SUM(N19:N26)</f>
        <v>968.49042735180808</v>
      </c>
      <c r="O27" s="2055">
        <f>SUM(O19:O26)</f>
        <v>1066.5809195185761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-865.34243518504002</v>
      </c>
      <c r="N28" s="2060">
        <f>-N27</f>
        <v>-968.49042735180808</v>
      </c>
      <c r="O28" s="2061">
        <f>-O27</f>
        <v>-1066.5809195185761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M27*'30)Tritic-GPS Biogas ex Silo(a)'!$L$70*'30)Tritic-GPS Biogas ex Silo(a)'!$P$70/12/100</f>
        <v>5.4083902199065008</v>
      </c>
      <c r="N30" s="1980">
        <f>N27*'30)Tritic-GPS Biogas ex Silo(a)'!$L$70*'30)Tritic-GPS Biogas ex Silo(a)'!$P$70/12/100</f>
        <v>6.0530651709487993</v>
      </c>
      <c r="O30" s="1981">
        <f>O27*'30)Tritic-GPS Biogas ex Silo(a)'!$L$70*'30)Tritic-GPS Biogas ex Silo(a)'!$P$70/12/100</f>
        <v>6.6661307469911018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'30)Tritic-GPS Biogas ex Silo(a)'!Q18+'30)Tritic-GPS Biogas ex Silo(a)'!Q24</f>
        <v>0</v>
      </c>
      <c r="AA30" s="3309">
        <f>'30)Tritic-GPS Biogas ex Silo(a)'!R18+'30)Tritic-GPS Biogas ex Silo(a)'!R24</f>
        <v>0</v>
      </c>
      <c r="AB30" s="3309">
        <f>'30)Tritic-GPS Biogas ex Silo(a)'!S18+'30)Tritic-GPS Biogas ex Silo(a)'!S24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-600.75082540494657</v>
      </c>
      <c r="N31" s="1769">
        <f>N28+N29-N30</f>
        <v>-704.54349252275688</v>
      </c>
      <c r="O31" s="1776">
        <f>O28+O29-O30</f>
        <v>-803.24705026556728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-0.21509159520406251</v>
      </c>
      <c r="N32" s="1561">
        <f>IF(N12=0,0,N31/N12)</f>
        <v>-0.21021109097826618</v>
      </c>
      <c r="O32" s="2047">
        <f>IF(O12=0,0,O31/O12)</f>
        <v>-0.2054235206039505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-5.9747665334461821</v>
      </c>
      <c r="N33" s="1576">
        <f>IF(N13=0,0,N31/N13)</f>
        <v>-5.839196971618505</v>
      </c>
      <c r="O33" s="2052">
        <f>IF(O13=0,0,O31/O13)</f>
        <v>-5.7062089056652932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'30)Tritic-GPS Biogas ex Silo(a)'!K57</f>
        <v>17.071200000000001</v>
      </c>
      <c r="N35" s="2396">
        <f>'30)Tritic-GPS Biogas ex Silo(a)'!M57</f>
        <v>19.027440000000006</v>
      </c>
      <c r="O35" s="2398">
        <f>'30)Tritic-GPS Biogas ex Silo(a)'!O57</f>
        <v>20.98368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'30)Tritic-GPS Biogas ex Silo(a)'!L10</f>
        <v>41.758241758241766</v>
      </c>
      <c r="N36" s="2431">
        <f>'30)Tritic-GPS Biogas ex Silo(a)'!N10</f>
        <v>50.109890109890117</v>
      </c>
      <c r="O36" s="2432">
        <f>'30)Tritic-GPS Biogas ex Silo(a)'!P10</f>
        <v>58.461538461538467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298.74600000000004</v>
      </c>
      <c r="N37" s="1567">
        <f>$J$37*N35</f>
        <v>332.98020000000008</v>
      </c>
      <c r="O37" s="1574">
        <f>$J$37*O35</f>
        <v>367.21440000000001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202.91025641025647</v>
      </c>
      <c r="N38" s="2433">
        <f>N36*$I$36</f>
        <v>243.49230769230775</v>
      </c>
      <c r="O38" s="2429">
        <f>O36*$I$36</f>
        <v>284.07435897435903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</f>
        <v>462.14197384259256</v>
      </c>
      <c r="N39" s="1567">
        <f>'Festk-Masch-Geb'!$W$44</f>
        <v>462.14197384259256</v>
      </c>
      <c r="O39" s="1574">
        <f>'Festk-Masch-Geb'!$W$44</f>
        <v>462.14197384259256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428">
        <f>'Sonst-Festk'!$L39</f>
        <v>310</v>
      </c>
      <c r="N41" s="1567">
        <v>250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1471.6182302528491</v>
      </c>
      <c r="N43" s="1991">
        <f>SUM(N37:N42)</f>
        <v>1486.4344815349002</v>
      </c>
      <c r="O43" s="1994">
        <f>SUM(O37:O42)</f>
        <v>1311.2507328169515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2342.3690556577958</v>
      </c>
      <c r="N46" s="2041">
        <f>N27+N30+N43</f>
        <v>2460.9779740576569</v>
      </c>
      <c r="O46" s="2080">
        <f>O27+O30+O43</f>
        <v>2384.4977830825187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-2342.3690556577958</v>
      </c>
      <c r="N47" s="2227">
        <f>N45-N46</f>
        <v>-2460.9779740576569</v>
      </c>
      <c r="O47" s="2228">
        <f>O45-O46</f>
        <v>-2384.4977830825187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-2072.3690556577958</v>
      </c>
      <c r="N49" s="1991">
        <f>N47+N48</f>
        <v>-2190.9779740576569</v>
      </c>
      <c r="O49" s="1994">
        <f>O47+O48</f>
        <v>-2114.4977830825187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2072.3690556577958</v>
      </c>
      <c r="N51" s="1771">
        <f>N46-N48</f>
        <v>2190.9779740576569</v>
      </c>
      <c r="O51" s="3358">
        <f>O46-O48</f>
        <v>2114.4977830825187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8.2360531750095003</v>
      </c>
      <c r="N52" s="2335">
        <f>IF(N10=0,0,N$51/N10)</f>
        <v>7.2561927175199878</v>
      </c>
      <c r="O52" s="2336">
        <f>IF(O10=0,0,O$51/O10)</f>
        <v>6.0024871853654425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22.259603175701354</v>
      </c>
      <c r="N53" s="2335">
        <f>IF(N9=0,0,N$51/N9)</f>
        <v>19.611331668972941</v>
      </c>
      <c r="O53" s="2336">
        <f>IF(O9=0,0,O$51/O9)</f>
        <v>16.222938338825521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53.534345637561749</v>
      </c>
      <c r="N54" s="2335">
        <f t="shared" si="3"/>
        <v>47.165252663879926</v>
      </c>
      <c r="O54" s="2336">
        <f t="shared" si="3"/>
        <v>39.016166704875374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0.74198677252337841</v>
      </c>
      <c r="N55" s="2219">
        <f t="shared" si="3"/>
        <v>0.65371105563243137</v>
      </c>
      <c r="O55" s="2220">
        <f t="shared" si="3"/>
        <v>0.54076461129418407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20.610743681204962</v>
      </c>
      <c r="N56" s="2219">
        <f>IF(N13=0,0,N$51/N13)</f>
        <v>18.158640434234204</v>
      </c>
      <c r="O56" s="2220">
        <f>IF(O13=0,0,O$51/O13)</f>
        <v>15.021239202616227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0.20610743681204957</v>
      </c>
      <c r="N57" s="2222">
        <f>N51/$N$12*10/$F$57</f>
        <v>0.18158640434234205</v>
      </c>
      <c r="O57" s="2223">
        <f>O51/$O$12*10/$F$57</f>
        <v>0.15021239202616224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1869.4587992475394</v>
      </c>
      <c r="N58" s="1769">
        <f>N51-N38</f>
        <v>1947.4856663653491</v>
      </c>
      <c r="O58" s="1776">
        <f>O51-O38</f>
        <v>1830.4234241081597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20.080115996214175</v>
      </c>
      <c r="N59" s="3416">
        <f>N58/N9</f>
        <v>17.431844489485758</v>
      </c>
      <c r="O59" s="3417">
        <f>O58/O9</f>
        <v>14.043451159338343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0.6693371998738058</v>
      </c>
      <c r="N60" s="2130">
        <f>IF(N12=0,0,N$58/N12)</f>
        <v>0.58106148298285865</v>
      </c>
      <c r="O60" s="2217">
        <f>IF(O12=0,0,O$58/O12)</f>
        <v>0.4681150386446114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0.18592699996494608</v>
      </c>
      <c r="N61" s="2130">
        <f>N58/$N$12*10/$F$57</f>
        <v>0.1614059674952385</v>
      </c>
      <c r="O61" s="3422">
        <f>O58/$O$12*10/$F$57</f>
        <v>0.13003195517905872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18.592699996494609</v>
      </c>
      <c r="N62" s="1874">
        <f>IF(N13=0,0,N$58/N13)</f>
        <v>16.140596749523851</v>
      </c>
      <c r="O62" s="2032">
        <f>IF(O13=0,0,O$58/O13)</f>
        <v>13.003195517905876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283.95591171990651</v>
      </c>
      <c r="N64" s="1772">
        <f>SUM(N19:N23)+N30</f>
        <v>322.76609097094888</v>
      </c>
      <c r="O64" s="1773">
        <f>SUM(O19:O23)+O30</f>
        <v>356.48716084699106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0.10166699309699481</v>
      </c>
      <c r="N65" s="2031">
        <f>IF(N12=0,0,N64/N12)</f>
        <v>9.6302091828066858E-2</v>
      </c>
      <c r="O65" s="2032">
        <f>IF(O12=0,0,O64/O12)</f>
        <v>9.1168523565799964E-2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1371.1446093944007</v>
      </c>
      <c r="N66" s="2038">
        <f>N24+N25+N26+N39+N37</f>
        <v>1446.8995753944005</v>
      </c>
      <c r="O66" s="2039">
        <f>O24+O25+O26+O39+O37</f>
        <v>1546.1162632611686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0.4909218078748302</v>
      </c>
      <c r="N67" s="2168">
        <f>IF(N12=0,0,N66/N12)</f>
        <v>0.43170413396419638</v>
      </c>
      <c r="O67" s="2187">
        <f>IF(O12=0,0,O66/O12)</f>
        <v>0.39540592891953569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79&amp;9
&amp;R&amp;12&amp;F
&amp;A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2">
    <pageSetUpPr fitToPage="1"/>
  </sheetPr>
  <dimension ref="A1:CA73"/>
  <sheetViews>
    <sheetView showGridLines="0" showZeros="0" zoomScaleNormal="100" workbookViewId="0">
      <pane xSplit="10" ySplit="5" topLeftCell="M26" activePane="bottomRight" state="frozen"/>
      <selection activeCell="G1" sqref="G1:I1"/>
      <selection pane="topRight" activeCell="G1" sqref="G1:I1"/>
      <selection pane="bottomLeft" activeCell="G1" sqref="G1:I1"/>
      <selection pane="bottomRight" activeCell="G36" sqref="G36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9.285156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680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1152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100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217.14285714285714</v>
      </c>
      <c r="M9" s="809">
        <f>M5*(100-M6)/100</f>
        <v>95</v>
      </c>
      <c r="N9" s="810">
        <f>IF(M7=0,0,M9/M7*100)</f>
        <v>271.42857142857144</v>
      </c>
      <c r="O9" s="720">
        <f>O5*(100-O6)/100</f>
        <v>114</v>
      </c>
      <c r="P9" s="721">
        <f>IF(O7=0,0,O9/O7*100)</f>
        <v>325.71428571428572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74.48</v>
      </c>
      <c r="L11" s="709">
        <f>IF(L7=0,0,K11/L7*100)</f>
        <v>201.29729729729732</v>
      </c>
      <c r="M11" s="812">
        <f>M9*(100-N6)/100</f>
        <v>93.1</v>
      </c>
      <c r="N11" s="813">
        <f>IF(N7=0,0,M11/N7*100)</f>
        <v>251.62162162162161</v>
      </c>
      <c r="O11" s="708">
        <f>O9*(100-P6)/100</f>
        <v>111.72</v>
      </c>
      <c r="P11" s="709">
        <f>IF(P7=0,0,O11/P7*100)</f>
        <v>301.94594594594594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30.968814968814975</v>
      </c>
      <c r="M12" s="801"/>
      <c r="N12" s="814">
        <f>IF(N8=0,0,1/N8*N11)</f>
        <v>38.71101871101871</v>
      </c>
      <c r="O12" s="487"/>
      <c r="P12" s="502">
        <f>IF(P8=0,0,1/P8*P11)</f>
        <v>46.453222453222452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2234.4</v>
      </c>
      <c r="L15" s="418"/>
      <c r="M15" s="816">
        <f>M$11*M13</f>
        <v>2793</v>
      </c>
      <c r="N15" s="784"/>
      <c r="O15" s="497">
        <f>O$11*O13</f>
        <v>3351.6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80.438399999999987</v>
      </c>
      <c r="L16" s="417"/>
      <c r="M16" s="817">
        <f>M$11*M14</f>
        <v>100.54799999999997</v>
      </c>
      <c r="N16" s="428"/>
      <c r="O16" s="498">
        <f>O$11*O14</f>
        <v>120.65759999999999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413.78741880000001</v>
      </c>
      <c r="M17" s="2600">
        <f>K17</f>
        <v>1</v>
      </c>
      <c r="N17" s="2591">
        <f>M17*(N33*(1-$AC$14)+N34*(1-$AC$15)+N35*(1-$AC$16)+N36*(1-$AC$17))</f>
        <v>517.23427349999997</v>
      </c>
      <c r="O17" s="2601">
        <f>K17</f>
        <v>1</v>
      </c>
      <c r="P17" s="2590">
        <f>O17*(P33*(1-$AC$14)+P34*(1-$AC$15)+P35*(1-$AC$16)+P36*(1-$AC$17))</f>
        <v>620.68112819999999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112.77800000000001</v>
      </c>
      <c r="M27" s="804"/>
      <c r="N27" s="786">
        <f>SUM(N29:N30)</f>
        <v>112.77800000000001</v>
      </c>
      <c r="O27" s="330"/>
      <c r="P27" s="325">
        <f>SUM(P29:P30)</f>
        <v>112.77800000000001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62</v>
      </c>
      <c r="I29" s="711">
        <f>H29*($H$27+100)/100</f>
        <v>66.34</v>
      </c>
      <c r="J29" s="91"/>
      <c r="K29" s="440">
        <v>1.7</v>
      </c>
      <c r="L29" s="337">
        <f>$I29*K29</f>
        <v>112.77800000000001</v>
      </c>
      <c r="M29" s="440">
        <v>1.7</v>
      </c>
      <c r="N29" s="791">
        <f>$I29*M29</f>
        <v>112.77800000000001</v>
      </c>
      <c r="O29" s="440">
        <v>1.7</v>
      </c>
      <c r="P29" s="337">
        <f>$I29*O29</f>
        <v>112.77800000000001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472.919804</v>
      </c>
      <c r="M31" s="819"/>
      <c r="N31" s="786">
        <f>SUM(N33:N36)</f>
        <v>591.14975499999991</v>
      </c>
      <c r="O31" s="334"/>
      <c r="P31" s="325">
        <f>SUM(P33:P36)</f>
        <v>709.37970600000006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1.51</v>
      </c>
      <c r="H33" s="386">
        <v>0</v>
      </c>
      <c r="I33"/>
      <c r="J33" s="172"/>
      <c r="K33" s="336">
        <f>G33*$K$9+H33</f>
        <v>114.76</v>
      </c>
      <c r="L33" s="337">
        <f>K33*$E33</f>
        <v>197.10795066666668</v>
      </c>
      <c r="M33" s="820">
        <f>G33*$M$9+H33</f>
        <v>143.44999999999999</v>
      </c>
      <c r="N33" s="791">
        <f>M33*$E33</f>
        <v>246.38493833333331</v>
      </c>
      <c r="O33" s="336">
        <f>G33*$O$9+H33</f>
        <v>172.14000000000001</v>
      </c>
      <c r="P33" s="337">
        <f>O33*$E33</f>
        <v>295.66192600000005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47.88</v>
      </c>
      <c r="L34" s="337">
        <f>K34*$E34</f>
        <v>54.128339999999994</v>
      </c>
      <c r="M34" s="820">
        <f>G34*$M$9+H34</f>
        <v>59.85</v>
      </c>
      <c r="N34" s="791">
        <f>M34*$E34</f>
        <v>67.660424999999989</v>
      </c>
      <c r="O34" s="336">
        <f>G34*$O$9+H34</f>
        <v>71.820000000000007</v>
      </c>
      <c r="P34" s="337">
        <f>O34*$E34</f>
        <v>81.192509999999999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2.69</v>
      </c>
      <c r="H35" s="386"/>
      <c r="I35"/>
      <c r="J35" s="172"/>
      <c r="K35" s="336">
        <f>G35*$K$9+H35</f>
        <v>204.44</v>
      </c>
      <c r="L35" s="337">
        <f>K35*$E35</f>
        <v>214.90051333333332</v>
      </c>
      <c r="M35" s="820">
        <f>G35*$M$9+H35</f>
        <v>255.54999999999998</v>
      </c>
      <c r="N35" s="791">
        <f>M35*$E35</f>
        <v>268.62564166666664</v>
      </c>
      <c r="O35" s="336">
        <f>G35*$O$9+H35</f>
        <v>306.65999999999997</v>
      </c>
      <c r="P35" s="337">
        <f>O35*$E35</f>
        <v>322.35076999999995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11.4</v>
      </c>
      <c r="L36" s="333">
        <f>K36*$E36</f>
        <v>6.7829999999999995</v>
      </c>
      <c r="M36" s="821">
        <f>G36*$M$9+H36</f>
        <v>14.25</v>
      </c>
      <c r="N36" s="792">
        <f>M36*$E36</f>
        <v>8.4787499999999998</v>
      </c>
      <c r="O36" s="338">
        <f>G36*$O$9+H36</f>
        <v>17.099999999999998</v>
      </c>
      <c r="P36" s="333">
        <f>O36*$E36</f>
        <v>10.174499999999998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92.30306400000002</v>
      </c>
      <c r="M58" s="826"/>
      <c r="N58" s="786">
        <f>SUM(N60:N62)</f>
        <v>115.37883000000002</v>
      </c>
      <c r="O58" s="344"/>
      <c r="P58" s="325">
        <f>SUM(P60:P62)</f>
        <v>138.45459600000001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17.236800000000002</v>
      </c>
      <c r="L62" s="308">
        <f>K62*I62</f>
        <v>92.30306400000002</v>
      </c>
      <c r="M62" s="2626">
        <f>M11/($V$63)/10*($V$65*M17)</f>
        <v>21.546000000000003</v>
      </c>
      <c r="N62" s="828">
        <f>M62*I62</f>
        <v>115.37883000000002</v>
      </c>
      <c r="O62" s="2626">
        <f>O11/($V$63)/10*($V$65*O17)</f>
        <v>25.8552</v>
      </c>
      <c r="P62" s="308">
        <f>O62*I62</f>
        <v>138.45459600000001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8.0438399999999994</v>
      </c>
      <c r="M65" s="1357"/>
      <c r="N65" s="786">
        <f>M66*$H66/100</f>
        <v>10.054799999999998</v>
      </c>
      <c r="O65" s="347"/>
      <c r="P65" s="325">
        <f>O66*$H66/100</f>
        <v>12.065759999999997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670.32</v>
      </c>
      <c r="L66" s="348"/>
      <c r="M66" s="3181">
        <f>M15*0.3</f>
        <v>837.9</v>
      </c>
      <c r="N66" s="789"/>
      <c r="O66" s="3181">
        <f>O15*0.3</f>
        <v>1005.4799999999999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80&amp;9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30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2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3">
    <tabColor rgb="FFFFC00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U15" sqref="U15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'31)Hafer-GPS Biogas ab Feld (a)'!J2</f>
        <v>2022</v>
      </c>
      <c r="K2" s="2504" t="s">
        <v>858</v>
      </c>
      <c r="L2" s="2502"/>
      <c r="M2" s="2505"/>
      <c r="N2" s="2529"/>
      <c r="O2" s="2530" t="str">
        <f>'31)Hafer-GPS Biogas ab Feld (a)'!M2</f>
        <v>GPS Hafer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52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'31)Hafer-GPS Biogas ab Feld (a)'!H3</f>
        <v>GPS für Verkauf an Biogasanlage ab Feld (ohne Kosten Ernte, Lagerraum und Abdeckung); Rücklieferung Gärrest unter 100% Anrechung der Netto-Nährstoffe (30% N-Verluste) und Kosten der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'31)Hafer-GPS Biogas ab Feld (a)'!K5</f>
        <v>80</v>
      </c>
      <c r="N6" s="1735">
        <f>'31)Hafer-GPS Biogas ab Feld (a)'!M5</f>
        <v>100</v>
      </c>
      <c r="O6" s="1743">
        <f>'31)Hafer-GPS Biogas ab Feld 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'31)Hafer-GPS Biogas ab Feld (a)'!K9</f>
        <v>76</v>
      </c>
      <c r="N7" s="1736">
        <f>'31)Hafer-GPS Biogas ab Feld (a)'!M9</f>
        <v>95</v>
      </c>
      <c r="O7" s="1744">
        <f>'31)Hafer-GPS Biogas ab Feld 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'31)Hafer-GPS Biogas ab Feld (a)'!L9</f>
        <v>217.14285714285714</v>
      </c>
      <c r="N8" s="1737">
        <f>'31)Hafer-GPS Biogas ab Feld (a)'!N9</f>
        <v>271.42857142857144</v>
      </c>
      <c r="O8" s="1583">
        <f>'31)Hafer-GPS Biogas ab Feld (a)'!P9</f>
        <v>325.71428571428572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'31)Hafer-GPS Biogas ab Feld (a)'!K11</f>
        <v>74.48</v>
      </c>
      <c r="N9" s="1562">
        <f>'31)Hafer-GPS Biogas ab Feld (a)'!M11</f>
        <v>93.1</v>
      </c>
      <c r="O9" s="1747">
        <f>'31)Hafer-GPS Biogas ab Feld 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'31)Hafer-GPS Biogas ab Feld (a)'!L11</f>
        <v>201.29729729729732</v>
      </c>
      <c r="N10" s="1582">
        <f>'31)Hafer-GPS Biogas ab Feld (a)'!N11</f>
        <v>251.62162162162161</v>
      </c>
      <c r="O10" s="2014">
        <f>'31)Hafer-GPS Biogas ab Feld (a)'!P11</f>
        <v>301.94594594594594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'31)Hafer-GPS Biogas ab Feld (a)'!L12</f>
        <v>30.968814968814975</v>
      </c>
      <c r="N11" s="1818">
        <f>'31)Hafer-GPS Biogas ab Feld (a)'!N12</f>
        <v>38.71101871101871</v>
      </c>
      <c r="O11" s="1819">
        <f>'31)Hafer-GPS Biogas ab Feld (a)'!P12</f>
        <v>46.453222453222452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'31)Hafer-GPS Biogas ab Feld (a)'!K15</f>
        <v>2234.4</v>
      </c>
      <c r="N12" s="1738">
        <f>'31)Hafer-GPS Biogas ab Feld (a)'!M15</f>
        <v>2793</v>
      </c>
      <c r="O12" s="1745">
        <f>'31)Hafer-GPS Biogas ab Feld (a)'!O15</f>
        <v>3351.6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'31)Hafer-GPS Biogas ab Feld (a)'!K16</f>
        <v>80.438399999999987</v>
      </c>
      <c r="N13" s="2077">
        <f>'31)Hafer-GPS Biogas ab Feld (a)'!M16</f>
        <v>100.54799999999997</v>
      </c>
      <c r="O13" s="2078">
        <f>'31)Hafer-GPS Biogas ab Feld (a)'!O16</f>
        <v>120.65759999999999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'31)Hafer-GPS Biogas ab Feld (a)'!L24</f>
        <v>270</v>
      </c>
      <c r="N15" s="3338">
        <f>'31)Hafer-GPS Biogas ab Feld (a)'!N24</f>
        <v>270</v>
      </c>
      <c r="O15" s="3341">
        <f>'31)Hafer-GPS Biogas ab Feld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'31)Hafer-GPS Biogas ab Feld (a)'!L18</f>
        <v>0</v>
      </c>
      <c r="N16" s="1736">
        <f>'31)Hafer-GPS Biogas ab Feld (a)'!N18</f>
        <v>0</v>
      </c>
      <c r="O16" s="3343">
        <f>'31)Hafer-GPS Biogas ab Feld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'31)Hafer-GPS Biogas ab Feld (a)'!L27</f>
        <v>112.77800000000001</v>
      </c>
      <c r="N19" s="2072">
        <f>'31)Hafer-GPS Biogas ab Feld (a)'!N27</f>
        <v>112.77800000000001</v>
      </c>
      <c r="O19" s="2073">
        <f>'31)Hafer-GPS Biogas ab Feld (a)'!P27</f>
        <v>112.77800000000001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'31)Hafer-GPS Biogas ab Feld (a)'!L31-'31)Hafer-GPS Biogas ab Feld (a)'!L17</f>
        <v>59.132385199999987</v>
      </c>
      <c r="N20" s="1567">
        <f>'31)Hafer-GPS Biogas ab Feld (a)'!N31-'31)Hafer-GPS Biogas ab Feld (a)'!N17</f>
        <v>73.915481499999942</v>
      </c>
      <c r="O20" s="1574">
        <f>'31)Hafer-GPS Biogas ab Feld (a)'!P31-'31)Hafer-GPS Biogas ab Feld (a)'!P17</f>
        <v>88.698577800000066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'31)Hafer-GPS Biogas ab Feld (a)'!L37</f>
        <v>45.517500000000005</v>
      </c>
      <c r="N21" s="1567">
        <f>'31)Hafer-GPS Biogas ab Feld (a)'!N37</f>
        <v>91.035000000000011</v>
      </c>
      <c r="O21" s="1574">
        <f>'31)Hafer-GPS Biogas ab Feld 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'31)Hafer-GPS Biogas ab Feld (a)'!L65</f>
        <v>8.0438399999999994</v>
      </c>
      <c r="N22" s="1567">
        <f>'31)Hafer-GPS Biogas ab Feld (a)'!N65</f>
        <v>10.054799999999998</v>
      </c>
      <c r="O22" s="1574">
        <f>'31)Hafer-GPS Biogas ab Feld (a)'!P65</f>
        <v>12.065759999999997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'31)Hafer-GPS Biogas ab Feld (a)'!L67</f>
        <v>0</v>
      </c>
      <c r="N23" s="1567">
        <f>'31)Hafer-GPS Biogas ab Feld (a)'!N67</f>
        <v>0</v>
      </c>
      <c r="O23" s="1574">
        <f>'31)Hafer-GPS Biogas ab Feld 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'31)Hafer-GPS Biogas ab Feld (a)'!L42</f>
        <v>188.10247435119999</v>
      </c>
      <c r="N24" s="1567">
        <f>'31)Hafer-GPS Biogas ab Feld (a)'!N42</f>
        <v>188.10247435119999</v>
      </c>
      <c r="O24" s="1574">
        <f>'31)Hafer-GPS Biogas ab Feld 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'31)Hafer-GPS Biogas ab Feld (a)'!L58</f>
        <v>92.30306400000002</v>
      </c>
      <c r="N25" s="1567">
        <f>'31)Hafer-GPS Biogas ab Feld (a)'!N58</f>
        <v>115.37883000000002</v>
      </c>
      <c r="O25" s="1574">
        <f>'31)Hafer-GPS Biogas ab Feld (a)'!P58</f>
        <v>138.45459600000001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'31)Hafer-GPS Biogas ab Feld (a)'!L63</f>
        <v>0</v>
      </c>
      <c r="N26" s="1980">
        <f>'31)Hafer-GPS Biogas ab Feld (a)'!N63</f>
        <v>0</v>
      </c>
      <c r="O26" s="1981">
        <f>'31)Hafer-GPS Biogas ab Feld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505.87726355119997</v>
      </c>
      <c r="N27" s="1775">
        <f>SUM(N19:N26)</f>
        <v>591.26458585119997</v>
      </c>
      <c r="O27" s="2055">
        <f>SUM(O19:O26)</f>
        <v>641.2494081512001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-505.87726355119997</v>
      </c>
      <c r="N28" s="2060">
        <f>-N27</f>
        <v>-591.26458585119997</v>
      </c>
      <c r="O28" s="2061">
        <f>-O27</f>
        <v>-641.2494081512001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M27*'31)Hafer-GPS Biogas ab Feld (a)'!$L$70*'31)Hafer-GPS Biogas ab Feld (a)'!$P$70/12/100</f>
        <v>3.1617328971949998</v>
      </c>
      <c r="N30" s="1980">
        <f>N27*'31)Hafer-GPS Biogas ab Feld (a)'!$L$70*'31)Hafer-GPS Biogas ab Feld (a)'!$P$70/12/100</f>
        <v>3.6954036615699994</v>
      </c>
      <c r="O30" s="1981">
        <f>O27*'31)Hafer-GPS Biogas ab Feld (a)'!$L$70*'31)Hafer-GPS Biogas ab Feld (a)'!$P$70/12/100</f>
        <v>4.0078088009450008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'31)Hafer-GPS Biogas ab Feld (a)'!Q18+'31)Hafer-GPS Biogas ab Feld (a)'!Q24</f>
        <v>0</v>
      </c>
      <c r="AA30" s="3309">
        <f>'31)Hafer-GPS Biogas ab Feld (a)'!R18+'31)Hafer-GPS Biogas ab Feld (a)'!R24</f>
        <v>0</v>
      </c>
      <c r="AB30" s="3309">
        <f>'31)Hafer-GPS Biogas ab Feld (a)'!S18+'31)Hafer-GPS Biogas ab Feld (a)'!S24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-239.03899644839498</v>
      </c>
      <c r="N31" s="1769">
        <f>N28+N29-N30</f>
        <v>-324.95998951276999</v>
      </c>
      <c r="O31" s="1776">
        <f>O28+O29-O30</f>
        <v>-375.25721695214509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-0.10698129092749506</v>
      </c>
      <c r="N32" s="1561">
        <f>IF(N12=0,0,N31/N12)</f>
        <v>-0.11634800913453992</v>
      </c>
      <c r="O32" s="2047">
        <f>IF(O12=0,0,O31/O12)</f>
        <v>-0.11196360453280377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-2.9717025257637526</v>
      </c>
      <c r="N33" s="1576">
        <f>IF(N13=0,0,N31/N13)</f>
        <v>-3.2318891426261098</v>
      </c>
      <c r="O33" s="2052">
        <f>IF(O13=0,0,O31/O13)</f>
        <v>-3.1101001259112158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'31)Hafer-GPS Biogas ab Feld (a)'!K57</f>
        <v>7.29</v>
      </c>
      <c r="N35" s="2396">
        <f>'31)Hafer-GPS Biogas ab Feld (a)'!M57</f>
        <v>7.29</v>
      </c>
      <c r="O35" s="2398">
        <f>'31)Hafer-GPS Biogas ab Feld 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'31)Hafer-GPS Biogas ab Feld (a)'!L10</f>
        <v>0</v>
      </c>
      <c r="N36" s="2431">
        <f>'31)Hafer-GPS Biogas ab Feld (a)'!N10</f>
        <v>0</v>
      </c>
      <c r="O36" s="2432">
        <f>'31)Hafer-GPS Biogas ab Feld 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'Festk-Masch-Geb'!$W$44-'Festk-Masch-Geb'!$W$24</f>
        <v>428.17724884259258</v>
      </c>
      <c r="N39" s="1567">
        <f>'Festk-Masch-Geb'!$W$44-'Festk-Masch-Geb'!$W$24</f>
        <v>428.17724884259258</v>
      </c>
      <c r="O39" s="1574">
        <f>'Festk-Masch-Geb'!$W$44-'Festk-Masch-Geb'!$W$24</f>
        <v>428.17724884259258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1063.5722488425927</v>
      </c>
      <c r="N43" s="1991">
        <f>SUM(N37:N42)</f>
        <v>753.57224884259267</v>
      </c>
      <c r="O43" s="1994">
        <f>SUM(O37:O42)</f>
        <v>753.57224884259267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1572.6112452909877</v>
      </c>
      <c r="N46" s="2041">
        <f>N27+N30+N43</f>
        <v>1348.5322383553626</v>
      </c>
      <c r="O46" s="2080">
        <f>O27+O30+O43</f>
        <v>1398.8294657947376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-1572.6112452909877</v>
      </c>
      <c r="N47" s="2227">
        <f>N45-N46</f>
        <v>-1348.5322383553626</v>
      </c>
      <c r="O47" s="2228">
        <f>O45-O46</f>
        <v>-1398.8294657947376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-1302.6112452909877</v>
      </c>
      <c r="N49" s="1991">
        <f>N47+N48</f>
        <v>-1078.5322383553626</v>
      </c>
      <c r="O49" s="1994">
        <f>O47+O48</f>
        <v>-1128.8294657947376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1302.6112452909877</v>
      </c>
      <c r="N51" s="1771">
        <f>N46-N48</f>
        <v>1078.5322383553626</v>
      </c>
      <c r="O51" s="3358">
        <f>O46-O48</f>
        <v>1128.8294657947376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6.4710816428257969</v>
      </c>
      <c r="N52" s="2335">
        <f>IF(N10=0,0,N$51/N10)</f>
        <v>4.2863257593070268</v>
      </c>
      <c r="O52" s="2336">
        <f>IF(O10=0,0,O$51/O10)</f>
        <v>3.7385150585754827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17.48940984547513</v>
      </c>
      <c r="N53" s="2335">
        <f>IF(N9=0,0,N$51/N9)</f>
        <v>11.584664214343315</v>
      </c>
      <c r="O53" s="2336">
        <f>IF(O9=0,0,O$51/O9)</f>
        <v>10.104094752906709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42.062030678367677</v>
      </c>
      <c r="N54" s="2335">
        <f t="shared" si="3"/>
        <v>27.861117435495672</v>
      </c>
      <c r="O54" s="2336">
        <f t="shared" si="3"/>
        <v>24.300347880740638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0.58298032818250434</v>
      </c>
      <c r="N55" s="2219">
        <f t="shared" si="3"/>
        <v>0.38615547381144383</v>
      </c>
      <c r="O55" s="2220">
        <f t="shared" si="3"/>
        <v>0.33680315843022368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16.193898005069567</v>
      </c>
      <c r="N56" s="2219">
        <f>IF(N13=0,0,N$51/N13)</f>
        <v>10.726540939206775</v>
      </c>
      <c r="O56" s="2220">
        <f>IF(O13=0,0,O$51/O13)</f>
        <v>9.3556432897284356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0.16193898005069565</v>
      </c>
      <c r="N57" s="2222">
        <f>N51/$N$12*10/$F$57</f>
        <v>0.10726540939206773</v>
      </c>
      <c r="O57" s="2223">
        <f>O51/$O$12*10/$F$57</f>
        <v>9.3556432897284367E-2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1302.6112452909877</v>
      </c>
      <c r="N58" s="1769">
        <f>N51-N38</f>
        <v>1078.5322383553626</v>
      </c>
      <c r="O58" s="1776">
        <f>O51-O38</f>
        <v>1128.8294657947376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17.139621648565626</v>
      </c>
      <c r="N59" s="3416">
        <f>N58/N7</f>
        <v>11.352970930056449</v>
      </c>
      <c r="O59" s="3417">
        <f>O58/O7</f>
        <v>9.9020128578485753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0.58298032818250434</v>
      </c>
      <c r="N60" s="2130">
        <f>IF(N12=0,0,N$58/N12)</f>
        <v>0.38615547381144383</v>
      </c>
      <c r="O60" s="2217">
        <f>IF(O12=0,0,O$58/O12)</f>
        <v>0.33680315843022368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0.16193898005069565</v>
      </c>
      <c r="N61" s="2130">
        <f>N58/$N$12*10/$F$57</f>
        <v>0.10726540939206773</v>
      </c>
      <c r="O61" s="3422">
        <f>O58/$O$12*10/$F$57</f>
        <v>9.3556432897284367E-2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16.193898005069567</v>
      </c>
      <c r="N62" s="1874">
        <f>IF(N13=0,0,N$58/N13)</f>
        <v>10.726540939206775</v>
      </c>
      <c r="O62" s="2032">
        <f>IF(O13=0,0,O$58/O13)</f>
        <v>9.3556432897284356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228.63345809719502</v>
      </c>
      <c r="N64" s="1772">
        <f>SUM(N19:N23)+N30</f>
        <v>291.47868516157001</v>
      </c>
      <c r="O64" s="1773">
        <f>SUM(O19:O23)+O30</f>
        <v>318.70014660094506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0.10232431887629566</v>
      </c>
      <c r="N65" s="2031">
        <f>IF(N12=0,0,N64/N12)</f>
        <v>0.10436043149358039</v>
      </c>
      <c r="O65" s="2032">
        <f>IF(O12=0,0,O64/O12)</f>
        <v>9.5088956498670801E-2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836.15778719379261</v>
      </c>
      <c r="N66" s="2038">
        <f>N24+N25+N26+N39+N37</f>
        <v>859.23355319379266</v>
      </c>
      <c r="O66" s="2039">
        <f>O24+O25+O26+O39+O37</f>
        <v>882.30931919379259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0.37422027711859673</v>
      </c>
      <c r="N67" s="2168">
        <f>IF(N12=0,0,N66/N12)</f>
        <v>0.30763822169487742</v>
      </c>
      <c r="O67" s="2187">
        <f>IF(O12=0,0,O66/O12)</f>
        <v>0.2632501847457312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81&amp;9
&amp;R&amp;12&amp;F
&amp;A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0">
    <pageSetUpPr fitToPage="1"/>
  </sheetPr>
  <dimension ref="A1:CA73"/>
  <sheetViews>
    <sheetView showGridLines="0" showZeros="0" zoomScaleNormal="100" workbookViewId="0">
      <pane xSplit="10" ySplit="5" topLeftCell="K27" activePane="bottomRight" state="frozen"/>
      <selection activeCell="G1" sqref="G1:I1"/>
      <selection pane="topRight" activeCell="G1" sqref="G1:I1"/>
      <selection pane="bottomLeft" activeCell="G1" sqref="G1:I1"/>
      <selection pane="bottomRight" activeCell="G34" sqref="G34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9.42578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741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100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217.14285714285714</v>
      </c>
      <c r="M9" s="809">
        <f>M5*(100-M6)/100</f>
        <v>95</v>
      </c>
      <c r="N9" s="810">
        <f>IF(M7=0,0,M9/M7*100)</f>
        <v>271.42857142857144</v>
      </c>
      <c r="O9" s="720">
        <f>O5*(100-O6)/100</f>
        <v>114</v>
      </c>
      <c r="P9" s="721">
        <f>IF(O7=0,0,O9/O7*100)</f>
        <v>325.71428571428572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33.406593406593409</v>
      </c>
      <c r="M10" s="286"/>
      <c r="N10" s="811">
        <f>IF(R10=TRUE,IF(M8=0,0,1/M8*N9),0)</f>
        <v>41.758241758241766</v>
      </c>
      <c r="O10" s="173"/>
      <c r="P10" s="722">
        <f>IF(R10=TRUE,IF(O8=0,0,1/O8*P9),0)</f>
        <v>50.109890109890117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74.48</v>
      </c>
      <c r="L11" s="709">
        <f>IF(L7=0,0,K11/L7*100)</f>
        <v>201.29729729729732</v>
      </c>
      <c r="M11" s="812">
        <f>M9*(100-N6)/100</f>
        <v>93.1</v>
      </c>
      <c r="N11" s="813">
        <f>IF(N7=0,0,M11/N7*100)</f>
        <v>251.62162162162161</v>
      </c>
      <c r="O11" s="708">
        <f>O9*(100-P6)/100</f>
        <v>111.72</v>
      </c>
      <c r="P11" s="709">
        <f>IF(P7=0,0,O11/P7*100)</f>
        <v>301.94594594594594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30.968814968814975</v>
      </c>
      <c r="M12" s="801"/>
      <c r="N12" s="814">
        <f>IF(N8=0,0,1/N8*N11)</f>
        <v>38.71101871101871</v>
      </c>
      <c r="O12" s="487"/>
      <c r="P12" s="502">
        <f>IF(P8=0,0,1/P8*P11)</f>
        <v>46.453222453222452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2234.4</v>
      </c>
      <c r="L15" s="418"/>
      <c r="M15" s="816">
        <f>M$11*M13</f>
        <v>2793</v>
      </c>
      <c r="N15" s="784"/>
      <c r="O15" s="497">
        <f>O$11*O13</f>
        <v>3351.6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80.438399999999987</v>
      </c>
      <c r="L16" s="417"/>
      <c r="M16" s="817">
        <f>M$11*M14</f>
        <v>100.54799999999997</v>
      </c>
      <c r="N16" s="428"/>
      <c r="O16" s="498">
        <f>O$11*O14</f>
        <v>120.65759999999999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413.78741880000001</v>
      </c>
      <c r="M17" s="2600">
        <f>K17</f>
        <v>1</v>
      </c>
      <c r="N17" s="2591">
        <f>M17*(N33*(1-$AC$14)+N34*(1-$AC$15)+N35*(1-$AC$16)+N36*(1-$AC$17))</f>
        <v>517.23427349999997</v>
      </c>
      <c r="O17" s="2601">
        <f>K17</f>
        <v>1</v>
      </c>
      <c r="P17" s="2590">
        <f>O17*(P33*(1-$AC$14)+P34*(1-$AC$15)+P35*(1-$AC$16)+P36*(1-$AC$17))</f>
        <v>620.68112819999999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>
        <v>3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112.77800000000001</v>
      </c>
      <c r="M27" s="804"/>
      <c r="N27" s="786">
        <f>SUM(N29:N30)</f>
        <v>112.77800000000001</v>
      </c>
      <c r="O27" s="330"/>
      <c r="P27" s="325">
        <f>SUM(P29:P30)</f>
        <v>112.77800000000001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62</v>
      </c>
      <c r="I29" s="711">
        <f>H29*($H$27+100)/100</f>
        <v>66.34</v>
      </c>
      <c r="J29" s="91"/>
      <c r="K29" s="440">
        <v>1.7</v>
      </c>
      <c r="L29" s="337">
        <f>$I29*K29</f>
        <v>112.77800000000001</v>
      </c>
      <c r="M29" s="440">
        <v>1.7</v>
      </c>
      <c r="N29" s="791">
        <f>$I29*M29</f>
        <v>112.77800000000001</v>
      </c>
      <c r="O29" s="440">
        <v>1.7</v>
      </c>
      <c r="P29" s="337">
        <f>$I29*O29</f>
        <v>112.77800000000001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472.919804</v>
      </c>
      <c r="M31" s="819"/>
      <c r="N31" s="786">
        <f>SUM(N33:N36)</f>
        <v>591.14975499999991</v>
      </c>
      <c r="O31" s="334"/>
      <c r="P31" s="325">
        <f>SUM(P33:P36)</f>
        <v>709.37970600000006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1.51</v>
      </c>
      <c r="H33" s="386">
        <v>0</v>
      </c>
      <c r="I33"/>
      <c r="J33" s="172"/>
      <c r="K33" s="336">
        <f>G33*$K$9+H33</f>
        <v>114.76</v>
      </c>
      <c r="L33" s="337">
        <f>K33*$E33</f>
        <v>197.10795066666668</v>
      </c>
      <c r="M33" s="820">
        <f>G33*$M$9+H33</f>
        <v>143.44999999999999</v>
      </c>
      <c r="N33" s="791">
        <f>M33*$E33</f>
        <v>246.38493833333331</v>
      </c>
      <c r="O33" s="336">
        <f>G33*$O$9+H33</f>
        <v>172.14000000000001</v>
      </c>
      <c r="P33" s="337">
        <f>O33*$E33</f>
        <v>295.66192600000005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47.88</v>
      </c>
      <c r="L34" s="337">
        <f>K34*$E34</f>
        <v>54.128339999999994</v>
      </c>
      <c r="M34" s="820">
        <f>G34*$M$9+H34</f>
        <v>59.85</v>
      </c>
      <c r="N34" s="791">
        <f>M34*$E34</f>
        <v>67.660424999999989</v>
      </c>
      <c r="O34" s="336">
        <f>G34*$O$9+H34</f>
        <v>71.820000000000007</v>
      </c>
      <c r="P34" s="337">
        <f>O34*$E34</f>
        <v>81.192509999999999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2.69</v>
      </c>
      <c r="H35" s="386"/>
      <c r="I35"/>
      <c r="J35" s="172"/>
      <c r="K35" s="336">
        <f>G35*$K$9+H35</f>
        <v>204.44</v>
      </c>
      <c r="L35" s="337">
        <f>K35*$E35</f>
        <v>214.90051333333332</v>
      </c>
      <c r="M35" s="820">
        <f>G35*$M$9+H35</f>
        <v>255.54999999999998</v>
      </c>
      <c r="N35" s="791">
        <f>M35*$E35</f>
        <v>268.62564166666664</v>
      </c>
      <c r="O35" s="336">
        <f>G35*$O$9+H35</f>
        <v>306.65999999999997</v>
      </c>
      <c r="P35" s="337">
        <f>O35*$E35</f>
        <v>322.35076999999995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11.4</v>
      </c>
      <c r="L36" s="333">
        <f>K36*$E36</f>
        <v>6.7829999999999995</v>
      </c>
      <c r="M36" s="821">
        <f>G36*$M$9+H36</f>
        <v>14.25</v>
      </c>
      <c r="N36" s="792">
        <f>M36*$E36</f>
        <v>8.4787499999999998</v>
      </c>
      <c r="O36" s="338">
        <f>G36*$O$9+H36</f>
        <v>17.099999999999998</v>
      </c>
      <c r="P36" s="333">
        <f>O36*$E36</f>
        <v>10.174499999999998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281.949361818272</v>
      </c>
      <c r="M42" s="823"/>
      <c r="N42" s="786">
        <f>SUM(W45:W55)</f>
        <v>305.41108368504001</v>
      </c>
      <c r="O42" s="425"/>
      <c r="P42" s="325">
        <f>SUM(Z45:Z55)</f>
        <v>328.87280555180803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0.43428571428571427</v>
      </c>
      <c r="L50" s="337">
        <f t="shared" si="0"/>
        <v>69.838000265727999</v>
      </c>
      <c r="M50" s="375">
        <f>N9/500</f>
        <v>0.54285714285714293</v>
      </c>
      <c r="N50" s="791">
        <f t="shared" si="1"/>
        <v>87.297500332160013</v>
      </c>
      <c r="O50" s="375">
        <f>P9/500</f>
        <v>0.65142857142857147</v>
      </c>
      <c r="P50" s="337">
        <f t="shared" si="2"/>
        <v>104.75700039859201</v>
      </c>
      <c r="Q50" s="528"/>
      <c r="R50" s="1348">
        <f t="shared" si="3"/>
        <v>3.4221714285714286</v>
      </c>
      <c r="S50" s="471" t="e">
        <f>K50*#REF!</f>
        <v>#REF!</v>
      </c>
      <c r="T50" s="258">
        <f t="shared" si="4"/>
        <v>69.838000265727999</v>
      </c>
      <c r="U50" s="1349">
        <f t="shared" si="5"/>
        <v>4.2777142857142865</v>
      </c>
      <c r="V50" s="1350" t="e">
        <f>M50*#REF!</f>
        <v>#REF!</v>
      </c>
      <c r="W50" s="827">
        <f t="shared" si="6"/>
        <v>87.297500332160013</v>
      </c>
      <c r="X50" s="1351">
        <f t="shared" si="7"/>
        <v>5.1332571428571434</v>
      </c>
      <c r="Y50" s="471" t="e">
        <f>O50*#REF!</f>
        <v>#REF!</v>
      </c>
      <c r="Z50" s="258">
        <f t="shared" si="8"/>
        <v>104.75700039859201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0.43428571428571427</v>
      </c>
      <c r="L51" s="337">
        <f t="shared" si="0"/>
        <v>24.008887201343995</v>
      </c>
      <c r="M51" s="375">
        <f>N9/500</f>
        <v>0.54285714285714293</v>
      </c>
      <c r="N51" s="791">
        <f t="shared" si="1"/>
        <v>30.011109001679998</v>
      </c>
      <c r="O51" s="375">
        <f>P9/500</f>
        <v>0.65142857142857147</v>
      </c>
      <c r="P51" s="337">
        <f t="shared" si="2"/>
        <v>36.013330802015993</v>
      </c>
      <c r="Q51" s="528"/>
      <c r="R51" s="1348">
        <f t="shared" si="3"/>
        <v>0.92502857142857131</v>
      </c>
      <c r="S51" s="471" t="e">
        <f>K51*#REF!</f>
        <v>#REF!</v>
      </c>
      <c r="T51" s="258">
        <f t="shared" si="4"/>
        <v>24.008887201343995</v>
      </c>
      <c r="U51" s="1349">
        <f t="shared" si="5"/>
        <v>1.1562857142857144</v>
      </c>
      <c r="V51" s="1350" t="e">
        <f>M51*#REF!</f>
        <v>#REF!</v>
      </c>
      <c r="W51" s="827">
        <f t="shared" si="6"/>
        <v>30.011109001679998</v>
      </c>
      <c r="X51" s="1351">
        <f t="shared" si="7"/>
        <v>1.3875428571428572</v>
      </c>
      <c r="Y51" s="471" t="e">
        <f>O51*#REF!</f>
        <v>#REF!</v>
      </c>
      <c r="Z51" s="258">
        <f t="shared" si="8"/>
        <v>36.013330802015993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8.3971999999999998</v>
      </c>
      <c r="L56" s="341"/>
      <c r="M56" s="797">
        <f>SUM($U$45:$U$55)</f>
        <v>9.484</v>
      </c>
      <c r="N56" s="798"/>
      <c r="O56" s="340">
        <f>SUM($X$45:$X$55)</f>
        <v>10.570800000000002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15.11496</v>
      </c>
      <c r="L57" s="343"/>
      <c r="M57" s="799">
        <f>IF(M56+(M56*$G$57/100)&gt;M56+10,M56+10,M56+(M56*$G$57/100))</f>
        <v>17.071200000000001</v>
      </c>
      <c r="N57" s="800"/>
      <c r="O57" s="342">
        <f>IF(O56+(O56*$G$57/100)&gt;O56+10,O56+10,O56+(O56*$G$57/100))</f>
        <v>19.027440000000006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252.95306400000004</v>
      </c>
      <c r="M58" s="826"/>
      <c r="N58" s="786">
        <f>SUM(N60:N62)</f>
        <v>293.87882999999999</v>
      </c>
      <c r="O58" s="344"/>
      <c r="P58" s="325">
        <f>SUM(P60:P62)</f>
        <v>334.80459600000006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755</v>
      </c>
      <c r="E60" s="3017"/>
      <c r="F60" s="3017"/>
      <c r="G60" s="60"/>
      <c r="H60" s="3012">
        <v>150</v>
      </c>
      <c r="I60" s="3013">
        <f>H60*($H$58+100)/100</f>
        <v>178.5</v>
      </c>
      <c r="J60" s="400"/>
      <c r="K60" s="3014">
        <v>0.9</v>
      </c>
      <c r="L60" s="3015">
        <f>K60*I60</f>
        <v>160.65</v>
      </c>
      <c r="M60" s="3014">
        <v>1</v>
      </c>
      <c r="N60" s="3016">
        <f>M60*I60</f>
        <v>178.5</v>
      </c>
      <c r="O60" s="3014">
        <v>1.1000000000000001</v>
      </c>
      <c r="P60" s="3015">
        <f>O60*I60</f>
        <v>196.35000000000002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17.236800000000002</v>
      </c>
      <c r="L62" s="308">
        <f>K62*I62</f>
        <v>92.30306400000002</v>
      </c>
      <c r="M62" s="2626">
        <f>M11/($V$63)/10*($V$65*M17)</f>
        <v>21.546000000000003</v>
      </c>
      <c r="N62" s="828">
        <f>M62*I62</f>
        <v>115.37883000000002</v>
      </c>
      <c r="O62" s="2626">
        <f>O11/($V$63)/10*($V$65*O17)</f>
        <v>25.8552</v>
      </c>
      <c r="P62" s="308">
        <f>O62*I62</f>
        <v>138.45459600000001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8.0438399999999994</v>
      </c>
      <c r="M65" s="1357"/>
      <c r="N65" s="786">
        <f>M66*$H66/100</f>
        <v>10.054799999999998</v>
      </c>
      <c r="O65" s="347"/>
      <c r="P65" s="325">
        <f>O66*$H66/100</f>
        <v>12.065759999999997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670.32</v>
      </c>
      <c r="L66" s="348"/>
      <c r="M66" s="3181">
        <f>M15*0.3</f>
        <v>837.9</v>
      </c>
      <c r="N66" s="789"/>
      <c r="O66" s="3181">
        <f>O15*0.3</f>
        <v>1005.4799999999999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82&amp;9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118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2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3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4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5" r:id="rId33" name="Check Box 3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1">
    <tabColor rgb="FFFFC000"/>
    <pageSetUpPr fitToPage="1"/>
  </sheetPr>
  <dimension ref="A1:BP91"/>
  <sheetViews>
    <sheetView showGridLines="0" showZeros="0" zoomScaleNormal="100" workbookViewId="0">
      <pane xSplit="12" ySplit="6" topLeftCell="M28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'32)Hafer-GPS Biogas ex Silo (a)'!J2</f>
        <v>2022</v>
      </c>
      <c r="K2" s="2504" t="s">
        <v>858</v>
      </c>
      <c r="L2" s="2502"/>
      <c r="M2" s="2505"/>
      <c r="N2" s="2529"/>
      <c r="O2" s="2530" t="str">
        <f>'32)Hafer-GPS Biogas ex Silo (a)'!M2</f>
        <v>GPS Hafer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8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'32)Hafer-GPS Biogas ex Silo 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'32)Hafer-GPS Biogas ex Silo (a)'!K5</f>
        <v>80</v>
      </c>
      <c r="N6" s="1735">
        <f>'32)Hafer-GPS Biogas ex Silo (a)'!M5</f>
        <v>100</v>
      </c>
      <c r="O6" s="1743">
        <f>'32)Hafer-GPS Biogas ex Silo 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'32)Hafer-GPS Biogas ex Silo (a)'!K9</f>
        <v>76</v>
      </c>
      <c r="N7" s="1736">
        <f>'32)Hafer-GPS Biogas ex Silo (a)'!M9</f>
        <v>95</v>
      </c>
      <c r="O7" s="1744">
        <f>'32)Hafer-GPS Biogas ex Silo 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'32)Hafer-GPS Biogas ex Silo (a)'!L9</f>
        <v>217.14285714285714</v>
      </c>
      <c r="N8" s="1737">
        <f>'32)Hafer-GPS Biogas ex Silo (a)'!N9</f>
        <v>271.42857142857144</v>
      </c>
      <c r="O8" s="1583">
        <f>'32)Hafer-GPS Biogas ex Silo (a)'!P9</f>
        <v>325.71428571428572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'32)Hafer-GPS Biogas ex Silo (a)'!K11</f>
        <v>74.48</v>
      </c>
      <c r="N9" s="1562">
        <f>'32)Hafer-GPS Biogas ex Silo (a)'!M11</f>
        <v>93.1</v>
      </c>
      <c r="O9" s="1747">
        <f>'32)Hafer-GPS Biogas ex Silo 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'32)Hafer-GPS Biogas ex Silo (a)'!L11</f>
        <v>201.29729729729732</v>
      </c>
      <c r="N10" s="1582">
        <f>'32)Hafer-GPS Biogas ex Silo (a)'!N11</f>
        <v>251.62162162162161</v>
      </c>
      <c r="O10" s="2014">
        <f>'32)Hafer-GPS Biogas ex Silo (a)'!P11</f>
        <v>301.94594594594594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'32)Hafer-GPS Biogas ex Silo (a)'!L12</f>
        <v>30.968814968814975</v>
      </c>
      <c r="N11" s="1818">
        <f>'32)Hafer-GPS Biogas ex Silo (a)'!N12</f>
        <v>38.71101871101871</v>
      </c>
      <c r="O11" s="1819">
        <f>'32)Hafer-GPS Biogas ex Silo (a)'!P12</f>
        <v>46.453222453222452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'32)Hafer-GPS Biogas ex Silo (a)'!K15</f>
        <v>2234.4</v>
      </c>
      <c r="N12" s="1738">
        <f>'32)Hafer-GPS Biogas ex Silo (a)'!M15</f>
        <v>2793</v>
      </c>
      <c r="O12" s="1745">
        <f>'32)Hafer-GPS Biogas ex Silo (a)'!O15</f>
        <v>3351.6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'32)Hafer-GPS Biogas ex Silo (a)'!K16</f>
        <v>80.438399999999987</v>
      </c>
      <c r="N13" s="2077">
        <f>'32)Hafer-GPS Biogas ex Silo (a)'!M16</f>
        <v>100.54799999999997</v>
      </c>
      <c r="O13" s="2078">
        <f>'32)Hafer-GPS Biogas ex Silo (a)'!O16</f>
        <v>120.65759999999999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'32)Hafer-GPS Biogas ex Silo (a)'!L24</f>
        <v>270</v>
      </c>
      <c r="N15" s="3338">
        <f>'32)Hafer-GPS Biogas ex Silo (a)'!N24</f>
        <v>270</v>
      </c>
      <c r="O15" s="3341">
        <f>'32)Hafer-GPS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'32)Hafer-GPS Biogas ex Silo (a)'!L18</f>
        <v>0</v>
      </c>
      <c r="N16" s="1736">
        <f>'32)Hafer-GPS Biogas ex Silo (a)'!N18</f>
        <v>0</v>
      </c>
      <c r="O16" s="3343">
        <f>'32)Hafer-GPS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'32)Hafer-GPS Biogas ex Silo (a)'!L27</f>
        <v>112.77800000000001</v>
      </c>
      <c r="N19" s="2072">
        <f>'32)Hafer-GPS Biogas ex Silo (a)'!N27</f>
        <v>112.77800000000001</v>
      </c>
      <c r="O19" s="2073">
        <f>'32)Hafer-GPS Biogas ex Silo (a)'!P27</f>
        <v>112.77800000000001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'32)Hafer-GPS Biogas ex Silo (a)'!L31-'32)Hafer-GPS Biogas ex Silo (a)'!L17</f>
        <v>59.132385199999987</v>
      </c>
      <c r="N20" s="1567">
        <f>'32)Hafer-GPS Biogas ex Silo (a)'!N31-'32)Hafer-GPS Biogas ex Silo (a)'!N17</f>
        <v>73.915481499999942</v>
      </c>
      <c r="O20" s="1574">
        <f>'32)Hafer-GPS Biogas ex Silo (a)'!P31-'32)Hafer-GPS Biogas ex Silo (a)'!P17</f>
        <v>88.698577800000066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'32)Hafer-GPS Biogas ex Silo (a)'!L37</f>
        <v>45.517500000000005</v>
      </c>
      <c r="N21" s="1567">
        <f>'32)Hafer-GPS Biogas ex Silo (a)'!N37</f>
        <v>91.035000000000011</v>
      </c>
      <c r="O21" s="1574">
        <f>'32)Hafer-GPS Biogas ex Silo 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'32)Hafer-GPS Biogas ex Silo (a)'!L65</f>
        <v>8.0438399999999994</v>
      </c>
      <c r="N22" s="1567">
        <f>'32)Hafer-GPS Biogas ex Silo (a)'!N65</f>
        <v>10.054799999999998</v>
      </c>
      <c r="O22" s="1574">
        <f>'32)Hafer-GPS Biogas ex Silo (a)'!P65</f>
        <v>12.065759999999997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'32)Hafer-GPS Biogas ex Silo (a)'!L67</f>
        <v>59.5</v>
      </c>
      <c r="N23" s="1567">
        <f>'32)Hafer-GPS Biogas ex Silo (a)'!N67</f>
        <v>59.5</v>
      </c>
      <c r="O23" s="1574">
        <f>'32)Hafer-GPS Biogas ex Silo 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'32)Hafer-GPS Biogas ex Silo (a)'!L42</f>
        <v>281.949361818272</v>
      </c>
      <c r="N24" s="1567">
        <f>'32)Hafer-GPS Biogas ex Silo (a)'!N42</f>
        <v>305.41108368504001</v>
      </c>
      <c r="O24" s="1574">
        <f>'32)Hafer-GPS Biogas ex Silo (a)'!P42</f>
        <v>328.87280555180803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'32)Hafer-GPS Biogas ex Silo (a)'!L58</f>
        <v>252.95306400000004</v>
      </c>
      <c r="N25" s="1567">
        <f>'32)Hafer-GPS Biogas ex Silo (a)'!N58</f>
        <v>293.87882999999999</v>
      </c>
      <c r="O25" s="1574">
        <f>'32)Hafer-GPS Biogas ex Silo (a)'!P58</f>
        <v>334.80459600000006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'32)Hafer-GPS Biogas ex Silo (a)'!L63</f>
        <v>0</v>
      </c>
      <c r="N26" s="1980">
        <f>'32)Hafer-GPS Biogas ex Silo (a)'!N63</f>
        <v>0</v>
      </c>
      <c r="O26" s="1981">
        <f>'32)Hafer-GPS Biogas ex Silo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819.87415101827207</v>
      </c>
      <c r="N27" s="1775">
        <f>SUM(N19:N26)</f>
        <v>946.57319518503994</v>
      </c>
      <c r="O27" s="2055">
        <f>SUM(O19:O26)</f>
        <v>1037.8697393518082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-819.87415101827207</v>
      </c>
      <c r="N28" s="2060">
        <f>-N27</f>
        <v>-946.57319518503994</v>
      </c>
      <c r="O28" s="2061">
        <f>-O27</f>
        <v>-1037.8697393518082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M27*'32)Hafer-GPS Biogas ex Silo (a)'!$L$70*'32)Hafer-GPS Biogas ex Silo (a)'!$P$70/12/100</f>
        <v>5.1242134438642006</v>
      </c>
      <c r="N30" s="1980">
        <f>N27*'32)Hafer-GPS Biogas ex Silo (a)'!$L$70*'32)Hafer-GPS Biogas ex Silo (a)'!$P$70/12/100</f>
        <v>5.9160824699064998</v>
      </c>
      <c r="O30" s="1981">
        <f>O27*'32)Hafer-GPS Biogas ex Silo (a)'!$L$70*'32)Hafer-GPS Biogas ex Silo (a)'!$P$70/12/100</f>
        <v>6.4866858709488007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'32)Hafer-GPS Biogas ex Silo (a)'!Q18+'32)Hafer-GPS Biogas ex Silo (a)'!Q24</f>
        <v>0</v>
      </c>
      <c r="AA30" s="3309">
        <f>'32)Hafer-GPS Biogas ex Silo (a)'!R18+'32)Hafer-GPS Biogas ex Silo 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-554.99836446213624</v>
      </c>
      <c r="N31" s="1769">
        <f>N28+N29-N30</f>
        <v>-682.48927765494648</v>
      </c>
      <c r="O31" s="1776">
        <f>O28+O29-O30</f>
        <v>-774.35642522275703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-0.24838809723511288</v>
      </c>
      <c r="N32" s="1561">
        <f>IF(N12=0,0,N31/N12)</f>
        <v>-0.24435706324917525</v>
      </c>
      <c r="O32" s="2047">
        <f>IF(O12=0,0,O31/O12)</f>
        <v>-0.23104082385211752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-6.8996693676420255</v>
      </c>
      <c r="N33" s="1576">
        <f>IF(N13=0,0,N31/N13)</f>
        <v>-6.7876962013659812</v>
      </c>
      <c r="O33" s="2052">
        <f>IF(O13=0,0,O31/O13)</f>
        <v>-6.41780066255882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'32)Hafer-GPS Biogas ex Silo (a)'!K57</f>
        <v>15.11496</v>
      </c>
      <c r="N35" s="2396">
        <f>'32)Hafer-GPS Biogas ex Silo (a)'!M57</f>
        <v>17.071200000000001</v>
      </c>
      <c r="O35" s="2398">
        <f>'32)Hafer-GPS Biogas ex Silo (a)'!O57</f>
        <v>19.027440000000006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'32)Hafer-GPS Biogas ex Silo (a)'!L10</f>
        <v>33.406593406593409</v>
      </c>
      <c r="N36" s="2431">
        <f>'32)Hafer-GPS Biogas ex Silo (a)'!N10</f>
        <v>41.758241758241766</v>
      </c>
      <c r="O36" s="2432">
        <f>'32)Hafer-GPS Biogas ex Silo (a)'!P10</f>
        <v>50.109890109890117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264.51179999999999</v>
      </c>
      <c r="N37" s="1567">
        <f>$J$37*N35</f>
        <v>298.74600000000004</v>
      </c>
      <c r="O37" s="1574">
        <f>$J$37*O35</f>
        <v>332.98020000000008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162.32820512820516</v>
      </c>
      <c r="N38" s="2433">
        <f>N36*$I$36</f>
        <v>202.91025641025647</v>
      </c>
      <c r="O38" s="2429">
        <f>O36*$I$36</f>
        <v>243.49230769230775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</f>
        <v>462.14197384259256</v>
      </c>
      <c r="N39" s="1567">
        <f>'Festk-Masch-Geb'!$W$44</f>
        <v>462.14197384259256</v>
      </c>
      <c r="O39" s="1574">
        <f>'Festk-Masch-Geb'!$W$44</f>
        <v>462.14197384259256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1396.8019789707976</v>
      </c>
      <c r="N43" s="1991">
        <f>SUM(N37:N42)</f>
        <v>1161.6182302528491</v>
      </c>
      <c r="O43" s="1994">
        <f>SUM(O37:O42)</f>
        <v>1236.4344815349002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2221.8003434329339</v>
      </c>
      <c r="N46" s="2041">
        <f>N27+N30+N43</f>
        <v>2114.1075079077955</v>
      </c>
      <c r="O46" s="2080">
        <f>O27+O30+O43</f>
        <v>2280.7909067576575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-2221.8003434329339</v>
      </c>
      <c r="N47" s="2227">
        <f>N45-N46</f>
        <v>-2114.1075079077955</v>
      </c>
      <c r="O47" s="2228">
        <f>O45-O46</f>
        <v>-2280.7909067576575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-1951.8003434329339</v>
      </c>
      <c r="N49" s="1991">
        <f>N47+N48</f>
        <v>-1844.1075079077955</v>
      </c>
      <c r="O49" s="1994">
        <f>O47+O48</f>
        <v>-2010.7909067576575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1951.8003434329339</v>
      </c>
      <c r="N51" s="1771">
        <f>N46-N48</f>
        <v>1844.1075079077955</v>
      </c>
      <c r="O51" s="3358">
        <f>O46-O48</f>
        <v>2010.7909067576575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9.6961080433698363</v>
      </c>
      <c r="N52" s="2335">
        <f>IF(N10=0,0,N$51/N10)</f>
        <v>7.3288912773994026</v>
      </c>
      <c r="O52" s="2336">
        <f>IF(O10=0,0,O$51/O10)</f>
        <v>6.6594399883667501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26.205697414513075</v>
      </c>
      <c r="N53" s="2335">
        <f>IF(N9=0,0,N$51/N9)</f>
        <v>19.807814263241628</v>
      </c>
      <c r="O53" s="2336">
        <f>IF(O9=0,0,O$51/O9)</f>
        <v>17.998486455045271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63.024702281903934</v>
      </c>
      <c r="N54" s="2335">
        <f t="shared" si="3"/>
        <v>47.637793303096117</v>
      </c>
      <c r="O54" s="2336">
        <f t="shared" si="3"/>
        <v>43.286359924383873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0.87352324715043583</v>
      </c>
      <c r="N55" s="2219">
        <f t="shared" si="3"/>
        <v>0.66026047544138755</v>
      </c>
      <c r="O55" s="2220">
        <f t="shared" si="3"/>
        <v>0.59994954850150894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24.264534643067666</v>
      </c>
      <c r="N56" s="2219">
        <f>IF(N13=0,0,N$51/N13)</f>
        <v>18.340568762260769</v>
      </c>
      <c r="O56" s="2220">
        <f>IF(O13=0,0,O$51/O13)</f>
        <v>16.665265236153029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0.24264534643067664</v>
      </c>
      <c r="N57" s="2222">
        <f>N51/$N$12*10/$F$57</f>
        <v>0.18340568762260767</v>
      </c>
      <c r="O57" s="2223">
        <f>O51/$O$12*10/$F$57</f>
        <v>0.16665265236153026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1789.4721383047288</v>
      </c>
      <c r="N58" s="1769">
        <f>N51-N38</f>
        <v>1641.1972514975391</v>
      </c>
      <c r="O58" s="1776">
        <f>O51-O38</f>
        <v>1767.2985990653497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24.026210235025896</v>
      </c>
      <c r="N59" s="3416">
        <f>N58/N9</f>
        <v>17.628327083754449</v>
      </c>
      <c r="O59" s="3417">
        <f>O58/O9</f>
        <v>15.818999275558088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0.80087367450086322</v>
      </c>
      <c r="N60" s="2130">
        <f>IF(N12=0,0,N$58/N12)</f>
        <v>0.58761090279181494</v>
      </c>
      <c r="O60" s="2217">
        <f>IF(O12=0,0,O$58/O12)</f>
        <v>0.52729997585193633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0.22246490958357309</v>
      </c>
      <c r="N61" s="2130">
        <f>N58/$N$12*10/$F$57</f>
        <v>0.16322525077550415</v>
      </c>
      <c r="O61" s="3422">
        <f>O58/$O$12*10/$F$57</f>
        <v>0.14647221551442677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22.246490958357317</v>
      </c>
      <c r="N62" s="1874">
        <f>IF(N13=0,0,N$58/N13)</f>
        <v>16.32252507755042</v>
      </c>
      <c r="O62" s="2032">
        <f>IF(O13=0,0,O$58/O13)</f>
        <v>14.647221551442676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290.09593864386426</v>
      </c>
      <c r="N64" s="1772">
        <f>SUM(N19:N23)+N30</f>
        <v>353.19936396990647</v>
      </c>
      <c r="O64" s="1773">
        <f>SUM(O19:O23)+O30</f>
        <v>380.67902367094888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0.12983169470276773</v>
      </c>
      <c r="N65" s="2031">
        <f>IF(N12=0,0,N64/N12)</f>
        <v>0.12645877693158125</v>
      </c>
      <c r="O65" s="2032">
        <f>IF(O12=0,0,O64/O12)</f>
        <v>0.11358128167769092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1285.0179215276326</v>
      </c>
      <c r="N66" s="2038">
        <f>N24+N25+N26+N39+N37</f>
        <v>1360.1778875276327</v>
      </c>
      <c r="O66" s="2039">
        <f>O24+O25+O26+O39+O37</f>
        <v>1458.7995753944006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0.57510648117061958</v>
      </c>
      <c r="N67" s="2168">
        <f>IF(N12=0,0,N66/N12)</f>
        <v>0.48699530523724766</v>
      </c>
      <c r="O67" s="2187">
        <f>IF(O12=0,0,O66/O12)</f>
        <v>0.43525467698842363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83&amp;9
&amp;R&amp;12&amp;F
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AG82"/>
  <sheetViews>
    <sheetView showGridLines="0" zoomScaleNormal="100" workbookViewId="0"/>
  </sheetViews>
  <sheetFormatPr baseColWidth="10" defaultRowHeight="12.75" x14ac:dyDescent="0.2"/>
  <cols>
    <col min="1" max="1" width="5.140625" customWidth="1"/>
    <col min="2" max="7" width="8.140625" customWidth="1"/>
    <col min="8" max="8" width="7.42578125" customWidth="1"/>
    <col min="9" max="12" width="10" customWidth="1"/>
    <col min="14" max="14" width="11.7109375" customWidth="1"/>
  </cols>
  <sheetData>
    <row r="1" spans="1:33" s="530" customFormat="1" ht="48.75" customHeight="1" x14ac:dyDescent="0.2">
      <c r="A1" s="542"/>
      <c r="B1" s="4192"/>
      <c r="C1" s="4192"/>
      <c r="D1" s="4192"/>
      <c r="E1" s="4193"/>
      <c r="F1" s="4193"/>
      <c r="G1" s="4193"/>
      <c r="H1" s="4193"/>
      <c r="I1" s="3716"/>
      <c r="J1" s="951"/>
      <c r="K1" s="3716"/>
      <c r="L1" s="4192"/>
      <c r="M1" s="4192"/>
      <c r="N1" s="4192"/>
      <c r="O1" s="3761"/>
      <c r="P1" s="3761"/>
      <c r="Q1" s="3753"/>
      <c r="R1" s="3753"/>
      <c r="S1" s="542"/>
      <c r="T1" s="542"/>
      <c r="Y1" s="526"/>
      <c r="AE1" s="526"/>
      <c r="AF1" s="526"/>
      <c r="AG1" s="526"/>
    </row>
    <row r="2" spans="1:33" ht="20.25" x14ac:dyDescent="0.3">
      <c r="B2" s="635" t="s">
        <v>867</v>
      </c>
      <c r="G2" s="2629"/>
    </row>
    <row r="3" spans="1:33" ht="19.5" customHeight="1" x14ac:dyDescent="0.2"/>
    <row r="4" spans="1:33" ht="21.75" customHeight="1" x14ac:dyDescent="0.2">
      <c r="B4" s="634" t="s">
        <v>1039</v>
      </c>
    </row>
    <row r="5" spans="1:33" ht="12.75" customHeight="1" x14ac:dyDescent="0.2"/>
    <row r="6" spans="1:33" s="429" customFormat="1" ht="24.75" customHeight="1" x14ac:dyDescent="0.2">
      <c r="B6" s="750" t="s">
        <v>1040</v>
      </c>
      <c r="C6" s="748"/>
      <c r="D6" s="748"/>
      <c r="E6" s="748"/>
      <c r="F6" s="748"/>
      <c r="G6" s="748"/>
      <c r="H6" s="304"/>
      <c r="I6" s="750" t="s">
        <v>495</v>
      </c>
      <c r="J6" s="749"/>
      <c r="K6" s="749"/>
      <c r="L6" s="749"/>
      <c r="M6" s="749"/>
      <c r="N6" s="748"/>
    </row>
    <row r="7" spans="1:33" s="8" customFormat="1" ht="19.5" customHeight="1" x14ac:dyDescent="0.2">
      <c r="B7" s="1501" t="s">
        <v>1041</v>
      </c>
      <c r="C7" s="1502" t="s">
        <v>1042</v>
      </c>
      <c r="D7" s="1503"/>
      <c r="E7" s="1503"/>
      <c r="F7" s="1503"/>
      <c r="G7" s="1504"/>
      <c r="H7"/>
      <c r="I7" s="1501" t="s">
        <v>1041</v>
      </c>
      <c r="J7" s="1502" t="s">
        <v>1042</v>
      </c>
      <c r="K7" s="1503"/>
      <c r="L7" s="1503"/>
      <c r="M7" s="1503"/>
      <c r="N7" s="1504"/>
    </row>
    <row r="8" spans="1:33" s="8" customFormat="1" ht="19.5" customHeight="1" x14ac:dyDescent="0.2">
      <c r="B8" s="1505" t="s">
        <v>1043</v>
      </c>
      <c r="C8" s="1506" t="s">
        <v>1044</v>
      </c>
      <c r="D8" s="1507" t="s">
        <v>135</v>
      </c>
      <c r="E8" s="1507" t="s">
        <v>136</v>
      </c>
      <c r="F8" s="1507" t="s">
        <v>137</v>
      </c>
      <c r="G8" s="1508" t="s">
        <v>1045</v>
      </c>
      <c r="H8"/>
      <c r="I8" s="1505" t="s">
        <v>1043</v>
      </c>
      <c r="J8" s="1506" t="s">
        <v>1044</v>
      </c>
      <c r="K8" s="1507" t="s">
        <v>135</v>
      </c>
      <c r="L8" s="1507" t="s">
        <v>136</v>
      </c>
      <c r="M8" s="1507" t="s">
        <v>137</v>
      </c>
      <c r="N8" s="1508" t="s">
        <v>1045</v>
      </c>
    </row>
    <row r="9" spans="1:33" s="8" customFormat="1" ht="19.5" customHeight="1" x14ac:dyDescent="0.2">
      <c r="B9" s="1515"/>
      <c r="C9" s="1516" t="s">
        <v>1046</v>
      </c>
      <c r="D9" s="1510"/>
      <c r="E9" s="1510"/>
      <c r="F9" s="1510"/>
      <c r="G9" s="1511"/>
      <c r="H9"/>
      <c r="I9" s="1509"/>
      <c r="J9" s="1510" t="s">
        <v>1046</v>
      </c>
      <c r="K9" s="1510"/>
      <c r="L9" s="1510"/>
      <c r="M9" s="1510"/>
      <c r="N9" s="1511"/>
    </row>
    <row r="10" spans="1:33" s="8" customFormat="1" ht="19.5" customHeight="1" x14ac:dyDescent="0.2">
      <c r="B10" s="1512"/>
      <c r="C10" s="1513">
        <v>75</v>
      </c>
      <c r="D10" s="1513">
        <v>150</v>
      </c>
      <c r="E10" s="1513">
        <v>200</v>
      </c>
      <c r="F10" s="1513">
        <v>230</v>
      </c>
      <c r="G10" s="1514">
        <v>260</v>
      </c>
      <c r="H10"/>
      <c r="I10" s="1512"/>
      <c r="J10" s="1513">
        <v>100</v>
      </c>
      <c r="K10" s="1513">
        <v>200</v>
      </c>
      <c r="L10" s="1513">
        <v>230</v>
      </c>
      <c r="M10" s="1513">
        <v>260</v>
      </c>
      <c r="N10" s="1514">
        <v>280</v>
      </c>
    </row>
    <row r="11" spans="1:33" ht="21.2" customHeight="1" x14ac:dyDescent="0.2">
      <c r="B11" s="744" t="s">
        <v>1047</v>
      </c>
      <c r="C11" s="744" t="s">
        <v>1048</v>
      </c>
      <c r="D11" s="742"/>
      <c r="E11" s="742"/>
      <c r="F11" s="742"/>
      <c r="G11" s="743"/>
      <c r="I11" s="744" t="s">
        <v>1047</v>
      </c>
      <c r="J11" s="744" t="s">
        <v>1048</v>
      </c>
      <c r="K11" s="742"/>
      <c r="L11" s="742"/>
      <c r="M11" s="742"/>
      <c r="N11" s="743"/>
    </row>
    <row r="12" spans="1:33" ht="13.7" customHeight="1" x14ac:dyDescent="0.2">
      <c r="B12" s="668">
        <v>20</v>
      </c>
      <c r="C12" s="735">
        <v>3.75</v>
      </c>
      <c r="D12" s="735">
        <v>7.5</v>
      </c>
      <c r="E12" s="735">
        <v>10</v>
      </c>
      <c r="F12" s="736">
        <v>11.5</v>
      </c>
      <c r="G12" s="737">
        <v>13.5</v>
      </c>
      <c r="I12" s="668">
        <v>20</v>
      </c>
      <c r="J12" s="735">
        <v>4</v>
      </c>
      <c r="K12" s="735">
        <v>8</v>
      </c>
      <c r="L12" s="735">
        <v>9.1999999999999993</v>
      </c>
      <c r="M12" s="736">
        <v>10.4</v>
      </c>
      <c r="N12" s="737">
        <v>11.2</v>
      </c>
    </row>
    <row r="13" spans="1:33" ht="13.7" customHeight="1" x14ac:dyDescent="0.2">
      <c r="B13" s="668">
        <v>25</v>
      </c>
      <c r="C13" s="735">
        <v>3</v>
      </c>
      <c r="D13" s="735">
        <v>6</v>
      </c>
      <c r="E13" s="735">
        <v>8</v>
      </c>
      <c r="F13" s="736">
        <v>9.1999999999999993</v>
      </c>
      <c r="G13" s="737">
        <v>10.4</v>
      </c>
      <c r="I13" s="668">
        <v>27</v>
      </c>
      <c r="J13" s="735">
        <v>3.7</v>
      </c>
      <c r="K13" s="735">
        <v>7.4</v>
      </c>
      <c r="L13" s="735">
        <v>8.5</v>
      </c>
      <c r="M13" s="736">
        <v>9.6</v>
      </c>
      <c r="N13" s="737">
        <v>10.35</v>
      </c>
    </row>
    <row r="14" spans="1:33" ht="13.7" customHeight="1" x14ac:dyDescent="0.2">
      <c r="B14" s="668">
        <v>30</v>
      </c>
      <c r="C14" s="735">
        <v>2.5</v>
      </c>
      <c r="D14" s="1255">
        <v>5</v>
      </c>
      <c r="E14" s="1255">
        <v>6.65</v>
      </c>
      <c r="F14" s="1255">
        <v>7.65</v>
      </c>
      <c r="G14" s="737">
        <v>8.65</v>
      </c>
      <c r="I14" s="668">
        <v>30</v>
      </c>
      <c r="J14" s="735">
        <v>3.3</v>
      </c>
      <c r="K14" s="1255">
        <v>6.65</v>
      </c>
      <c r="L14" s="1255">
        <v>7.65</v>
      </c>
      <c r="M14" s="1255">
        <v>8.65</v>
      </c>
      <c r="N14" s="737">
        <v>9.3000000000000007</v>
      </c>
      <c r="O14" s="1424"/>
    </row>
    <row r="15" spans="1:33" ht="13.7" customHeight="1" x14ac:dyDescent="0.2">
      <c r="B15" s="668">
        <v>35</v>
      </c>
      <c r="C15" s="735">
        <v>2.15</v>
      </c>
      <c r="D15" s="1255">
        <v>4.3</v>
      </c>
      <c r="E15" s="1255">
        <v>5.7</v>
      </c>
      <c r="F15" s="1255">
        <v>6.6</v>
      </c>
      <c r="G15" s="737">
        <v>7.4</v>
      </c>
      <c r="I15" s="668">
        <v>33</v>
      </c>
      <c r="J15" s="735">
        <v>3</v>
      </c>
      <c r="K15" s="1255">
        <v>6</v>
      </c>
      <c r="L15" s="1255">
        <v>6.9</v>
      </c>
      <c r="M15" s="1255">
        <v>7.8</v>
      </c>
      <c r="N15" s="737">
        <v>8.4</v>
      </c>
      <c r="O15" s="1424"/>
    </row>
    <row r="16" spans="1:33" ht="13.7" customHeight="1" x14ac:dyDescent="0.2">
      <c r="B16" s="668">
        <v>40</v>
      </c>
      <c r="C16" s="735">
        <v>1.85</v>
      </c>
      <c r="D16" s="1255">
        <v>3.75</v>
      </c>
      <c r="E16" s="1255">
        <v>5</v>
      </c>
      <c r="F16" s="1255">
        <v>5.75</v>
      </c>
      <c r="G16" s="737">
        <v>6.5</v>
      </c>
      <c r="I16" s="668">
        <v>35</v>
      </c>
      <c r="J16" s="735">
        <v>2.85</v>
      </c>
      <c r="K16" s="1255">
        <v>5.7</v>
      </c>
      <c r="L16" s="1255">
        <v>6.6</v>
      </c>
      <c r="M16" s="1255">
        <v>7.4</v>
      </c>
      <c r="N16" s="737">
        <v>8</v>
      </c>
      <c r="O16" s="1424"/>
    </row>
    <row r="17" spans="2:21" ht="13.7" customHeight="1" x14ac:dyDescent="0.2">
      <c r="B17" s="668">
        <v>45</v>
      </c>
      <c r="C17" s="735">
        <v>1.65</v>
      </c>
      <c r="D17" s="735">
        <v>3.3</v>
      </c>
      <c r="E17" s="735">
        <v>4.4000000000000004</v>
      </c>
      <c r="F17" s="736">
        <v>5.0999999999999996</v>
      </c>
      <c r="G17" s="737">
        <v>5.75</v>
      </c>
      <c r="I17" s="668">
        <v>37</v>
      </c>
      <c r="J17" s="735">
        <v>2.7</v>
      </c>
      <c r="K17" s="735">
        <v>5.4</v>
      </c>
      <c r="L17" s="735">
        <v>6.2</v>
      </c>
      <c r="M17" s="736">
        <v>7</v>
      </c>
      <c r="N17" s="737">
        <v>7.55</v>
      </c>
    </row>
    <row r="18" spans="2:21" ht="13.7" customHeight="1" x14ac:dyDescent="0.2">
      <c r="B18" s="671">
        <v>50</v>
      </c>
      <c r="C18" s="745">
        <v>1.5</v>
      </c>
      <c r="D18" s="745">
        <v>3</v>
      </c>
      <c r="E18" s="745">
        <v>4</v>
      </c>
      <c r="F18" s="746">
        <v>4.5999999999999996</v>
      </c>
      <c r="G18" s="747">
        <v>5.2</v>
      </c>
      <c r="I18" s="671">
        <v>40</v>
      </c>
      <c r="J18" s="745">
        <v>2.5</v>
      </c>
      <c r="K18" s="745">
        <v>5</v>
      </c>
      <c r="L18" s="745">
        <v>5.75</v>
      </c>
      <c r="M18" s="746">
        <v>6.5</v>
      </c>
      <c r="N18" s="747">
        <v>7</v>
      </c>
    </row>
    <row r="19" spans="2:21" ht="13.7" customHeight="1" x14ac:dyDescent="0.2">
      <c r="C19" s="735"/>
      <c r="D19" s="735"/>
      <c r="E19" s="735"/>
      <c r="F19" s="736"/>
      <c r="G19" s="736"/>
      <c r="I19" s="609"/>
      <c r="J19" s="735"/>
      <c r="K19" s="735"/>
      <c r="L19" s="735"/>
      <c r="M19" s="736"/>
      <c r="N19" s="736"/>
    </row>
    <row r="20" spans="2:21" ht="13.7" customHeight="1" x14ac:dyDescent="0.2">
      <c r="B20" s="1256"/>
      <c r="C20" s="223"/>
      <c r="D20" s="735" t="s">
        <v>1049</v>
      </c>
      <c r="E20" s="735"/>
      <c r="F20" s="736"/>
      <c r="G20" s="736"/>
      <c r="I20" s="609"/>
      <c r="J20" s="735"/>
      <c r="K20" s="735"/>
      <c r="L20" s="735"/>
      <c r="M20" s="736"/>
      <c r="N20" s="736"/>
    </row>
    <row r="21" spans="2:21" s="429" customFormat="1" ht="24.75" customHeight="1" x14ac:dyDescent="0.2">
      <c r="B21" s="750" t="s">
        <v>429</v>
      </c>
      <c r="C21" s="749"/>
      <c r="D21" s="749"/>
      <c r="E21" s="749"/>
      <c r="F21" s="749"/>
      <c r="G21" s="748"/>
      <c r="H21" s="304"/>
      <c r="I21" s="750" t="s">
        <v>460</v>
      </c>
      <c r="J21" s="748"/>
      <c r="K21" s="748"/>
      <c r="L21" s="748"/>
      <c r="M21" s="748"/>
      <c r="N21" s="748"/>
    </row>
    <row r="22" spans="2:21" s="8" customFormat="1" ht="19.5" customHeight="1" x14ac:dyDescent="0.2">
      <c r="B22" s="1517"/>
      <c r="C22" s="1518"/>
      <c r="D22" s="1503"/>
      <c r="E22" s="1503"/>
      <c r="F22" s="1503"/>
      <c r="G22" s="1504"/>
      <c r="H22"/>
      <c r="I22" s="1501" t="s">
        <v>1041</v>
      </c>
      <c r="J22" s="1503"/>
      <c r="K22" s="1503"/>
      <c r="L22" s="1503"/>
      <c r="M22" s="1504"/>
      <c r="N22"/>
      <c r="P22"/>
      <c r="Q22"/>
      <c r="R22"/>
      <c r="S22"/>
      <c r="T22"/>
      <c r="U22"/>
    </row>
    <row r="23" spans="2:21" s="8" customFormat="1" ht="19.5" customHeight="1" x14ac:dyDescent="0.2">
      <c r="B23" s="1501" t="s">
        <v>1041</v>
      </c>
      <c r="C23" s="1519" t="s">
        <v>1042</v>
      </c>
      <c r="D23" s="1519"/>
      <c r="E23" s="1519"/>
      <c r="F23" s="1519"/>
      <c r="G23" s="1520"/>
      <c r="H23"/>
      <c r="I23" s="1501"/>
      <c r="J23" s="1518"/>
      <c r="K23" s="1521" t="s">
        <v>430</v>
      </c>
      <c r="L23" s="1518"/>
      <c r="M23" s="1522"/>
      <c r="N23" s="944"/>
      <c r="P23"/>
      <c r="Q23"/>
      <c r="R23"/>
      <c r="S23"/>
      <c r="T23"/>
      <c r="U23"/>
    </row>
    <row r="24" spans="2:21" s="8" customFormat="1" ht="9.75" customHeight="1" x14ac:dyDescent="0.2">
      <c r="B24" s="1505" t="s">
        <v>1043</v>
      </c>
      <c r="C24" s="1506" t="s">
        <v>1044</v>
      </c>
      <c r="D24" s="1507" t="s">
        <v>135</v>
      </c>
      <c r="E24" s="1507" t="s">
        <v>136</v>
      </c>
      <c r="F24" s="1507" t="s">
        <v>137</v>
      </c>
      <c r="G24" s="1508" t="s">
        <v>1045</v>
      </c>
      <c r="H24"/>
      <c r="I24" s="1505" t="s">
        <v>1043</v>
      </c>
      <c r="J24" s="1523" t="s">
        <v>431</v>
      </c>
      <c r="K24" s="1524" t="s">
        <v>1103</v>
      </c>
      <c r="L24" s="1523" t="s">
        <v>1104</v>
      </c>
      <c r="M24" s="1525" t="s">
        <v>1105</v>
      </c>
      <c r="N24" s="748"/>
      <c r="P24"/>
      <c r="Q24"/>
      <c r="R24"/>
      <c r="S24"/>
      <c r="T24"/>
      <c r="U24"/>
    </row>
    <row r="25" spans="2:21" s="8" customFormat="1" ht="19.5" customHeight="1" x14ac:dyDescent="0.2">
      <c r="B25" s="1509"/>
      <c r="C25" s="1510" t="s">
        <v>1046</v>
      </c>
      <c r="D25" s="1510"/>
      <c r="E25" s="1510"/>
      <c r="F25" s="1510"/>
      <c r="G25" s="1511"/>
      <c r="H25"/>
      <c r="I25" s="744" t="s">
        <v>1047</v>
      </c>
      <c r="J25" s="744" t="s">
        <v>1048</v>
      </c>
      <c r="K25" s="742"/>
      <c r="L25" s="742"/>
      <c r="M25" s="743"/>
      <c r="N25"/>
      <c r="P25"/>
      <c r="Q25"/>
      <c r="R25"/>
      <c r="S25"/>
      <c r="T25"/>
      <c r="U25"/>
    </row>
    <row r="26" spans="2:21" s="8" customFormat="1" ht="19.5" customHeight="1" x14ac:dyDescent="0.2">
      <c r="B26" s="1512"/>
      <c r="C26" s="1513">
        <v>100</v>
      </c>
      <c r="D26" s="1513">
        <v>200</v>
      </c>
      <c r="E26" s="1513">
        <v>230</v>
      </c>
      <c r="F26" s="1513">
        <v>260</v>
      </c>
      <c r="G26" s="1514">
        <v>280</v>
      </c>
      <c r="H26"/>
      <c r="I26" s="751">
        <v>86</v>
      </c>
      <c r="J26" s="752" t="s">
        <v>1106</v>
      </c>
      <c r="K26" s="752">
        <v>1.2</v>
      </c>
      <c r="L26" s="752">
        <v>1.7</v>
      </c>
      <c r="M26" s="753">
        <v>2</v>
      </c>
      <c r="N26" s="429"/>
      <c r="P26"/>
      <c r="Q26"/>
      <c r="R26"/>
      <c r="S26"/>
      <c r="T26"/>
      <c r="U26"/>
    </row>
    <row r="27" spans="2:21" ht="21.2" customHeight="1" x14ac:dyDescent="0.2">
      <c r="B27" s="744" t="s">
        <v>1047</v>
      </c>
      <c r="C27" s="744" t="s">
        <v>1048</v>
      </c>
      <c r="D27" s="742"/>
      <c r="E27" s="742"/>
      <c r="F27" s="742"/>
      <c r="G27" s="743"/>
      <c r="N27" s="8"/>
    </row>
    <row r="28" spans="2:21" ht="19.5" customHeight="1" x14ac:dyDescent="0.2">
      <c r="B28" s="671" t="s">
        <v>1107</v>
      </c>
      <c r="C28" s="745">
        <v>6</v>
      </c>
      <c r="D28" s="745">
        <v>7</v>
      </c>
      <c r="E28" s="745">
        <v>8</v>
      </c>
      <c r="F28" s="746">
        <v>9</v>
      </c>
      <c r="G28" s="747">
        <v>10</v>
      </c>
      <c r="K28" s="748"/>
      <c r="L28" s="748"/>
      <c r="M28" s="748"/>
      <c r="N28" s="8"/>
    </row>
    <row r="29" spans="2:21" ht="15.75" x14ac:dyDescent="0.2">
      <c r="I29" s="757" t="s">
        <v>1077</v>
      </c>
    </row>
    <row r="30" spans="2:21" ht="13.7" customHeight="1" x14ac:dyDescent="0.2">
      <c r="B30" s="609"/>
      <c r="C30" s="735"/>
      <c r="D30" s="735"/>
      <c r="E30" s="735"/>
      <c r="F30" s="736"/>
      <c r="G30" s="736"/>
      <c r="I30" s="1526" t="s">
        <v>1041</v>
      </c>
      <c r="J30" s="1502" t="s">
        <v>1108</v>
      </c>
      <c r="K30" s="1503"/>
      <c r="L30" s="1503"/>
      <c r="M30" s="1504"/>
    </row>
    <row r="31" spans="2:21" s="429" customFormat="1" ht="24.75" customHeight="1" x14ac:dyDescent="0.2">
      <c r="B31"/>
      <c r="C31"/>
      <c r="D31"/>
      <c r="E31"/>
      <c r="F31"/>
      <c r="G31"/>
      <c r="H31" s="304"/>
      <c r="I31" s="1505" t="s">
        <v>1043</v>
      </c>
      <c r="J31" s="1516" t="s">
        <v>1109</v>
      </c>
      <c r="K31" s="1527"/>
      <c r="L31" s="1527" t="s">
        <v>1110</v>
      </c>
      <c r="M31" s="1528"/>
      <c r="N31"/>
      <c r="P31"/>
      <c r="Q31"/>
      <c r="R31"/>
      <c r="S31"/>
      <c r="T31"/>
      <c r="U31"/>
    </row>
    <row r="32" spans="2:21" s="8" customFormat="1" ht="19.5" customHeight="1" x14ac:dyDescent="0.2">
      <c r="B32"/>
      <c r="C32"/>
      <c r="D32"/>
      <c r="E32"/>
      <c r="F32"/>
      <c r="G32"/>
      <c r="H32" t="s">
        <v>202</v>
      </c>
      <c r="I32" s="744" t="s">
        <v>1047</v>
      </c>
      <c r="J32" s="744" t="s">
        <v>1048</v>
      </c>
      <c r="K32" s="742"/>
      <c r="L32" s="742"/>
      <c r="M32" s="743"/>
      <c r="N32"/>
      <c r="P32"/>
      <c r="Q32"/>
      <c r="R32"/>
      <c r="S32"/>
      <c r="T32"/>
      <c r="U32" s="748"/>
    </row>
    <row r="33" spans="2:21" s="8" customFormat="1" ht="19.5" customHeight="1" x14ac:dyDescent="0.2">
      <c r="B33"/>
      <c r="C33"/>
      <c r="D33"/>
      <c r="E33"/>
      <c r="F33"/>
      <c r="G33"/>
      <c r="H33"/>
      <c r="I33" s="751">
        <v>18</v>
      </c>
      <c r="J33" s="754" t="s">
        <v>1111</v>
      </c>
      <c r="K33" s="754"/>
      <c r="L33" s="754" t="s">
        <v>1112</v>
      </c>
      <c r="M33" s="755"/>
      <c r="N33"/>
      <c r="P33"/>
      <c r="Q33"/>
      <c r="R33"/>
      <c r="S33"/>
      <c r="T33"/>
      <c r="U33"/>
    </row>
    <row r="34" spans="2:21" ht="30.75" customHeight="1" x14ac:dyDescent="0.2"/>
    <row r="35" spans="2:21" ht="21.75" customHeight="1" x14ac:dyDescent="0.2">
      <c r="B35" s="634" t="s">
        <v>1113</v>
      </c>
    </row>
    <row r="36" spans="2:21" ht="21.75" customHeight="1" x14ac:dyDescent="0.2">
      <c r="B36" s="758" t="s">
        <v>1115</v>
      </c>
    </row>
    <row r="37" spans="2:21" ht="6.75" customHeight="1" x14ac:dyDescent="0.2"/>
    <row r="38" spans="2:21" s="8" customFormat="1" ht="19.5" customHeight="1" x14ac:dyDescent="0.2">
      <c r="B38" s="1529" t="s">
        <v>1116</v>
      </c>
      <c r="C38" s="1503"/>
      <c r="D38" s="1503"/>
      <c r="E38" s="1530" t="s">
        <v>1117</v>
      </c>
      <c r="F38" s="1502" t="s">
        <v>1118</v>
      </c>
      <c r="G38" s="1503"/>
      <c r="H38" s="1503"/>
      <c r="I38" s="1503"/>
      <c r="J38" s="1503"/>
      <c r="K38" s="1503"/>
      <c r="L38" s="1503"/>
      <c r="M38" s="1503"/>
      <c r="N38" s="1504"/>
    </row>
    <row r="39" spans="2:21" s="8" customFormat="1" ht="19.5" customHeight="1" x14ac:dyDescent="0.2">
      <c r="B39" s="1531" t="s">
        <v>1119</v>
      </c>
      <c r="C39" s="1519"/>
      <c r="D39" s="1519"/>
      <c r="E39" s="1532"/>
      <c r="F39" s="1532" t="s">
        <v>1120</v>
      </c>
      <c r="G39" s="1533" t="s">
        <v>432</v>
      </c>
      <c r="H39" s="1519"/>
      <c r="I39" s="1519"/>
      <c r="J39" s="1520"/>
      <c r="K39" s="1533" t="s">
        <v>460</v>
      </c>
      <c r="L39" s="1519"/>
      <c r="M39" s="1519"/>
      <c r="N39" s="1520"/>
    </row>
    <row r="40" spans="2:21" s="8" customFormat="1" ht="19.5" customHeight="1" x14ac:dyDescent="0.2">
      <c r="B40" s="1534"/>
      <c r="C40" s="1535"/>
      <c r="D40" s="1535"/>
      <c r="E40" s="1512" t="s">
        <v>1047</v>
      </c>
      <c r="F40" s="1512"/>
      <c r="G40" s="1536" t="s">
        <v>1072</v>
      </c>
      <c r="H40" s="1524" t="s">
        <v>1073</v>
      </c>
      <c r="I40" s="1524" t="s">
        <v>136</v>
      </c>
      <c r="J40" s="1537" t="s">
        <v>1121</v>
      </c>
      <c r="K40" s="1536" t="s">
        <v>1072</v>
      </c>
      <c r="L40" s="1524" t="s">
        <v>1073</v>
      </c>
      <c r="M40" s="1524" t="s">
        <v>136</v>
      </c>
      <c r="N40" s="1537" t="s">
        <v>1121</v>
      </c>
    </row>
    <row r="41" spans="2:21" s="8" customFormat="1" ht="21.75" customHeight="1" x14ac:dyDescent="0.2">
      <c r="B41" s="626" t="s">
        <v>1122</v>
      </c>
      <c r="C41" s="85"/>
      <c r="D41" s="85"/>
      <c r="E41" s="85"/>
      <c r="F41" s="85"/>
      <c r="G41" s="756" t="s">
        <v>1123</v>
      </c>
      <c r="H41" s="351"/>
      <c r="I41" s="85"/>
      <c r="J41" s="85"/>
      <c r="K41" s="85"/>
      <c r="L41" s="351"/>
      <c r="M41" s="85"/>
      <c r="N41" s="627"/>
    </row>
    <row r="42" spans="2:21" ht="15.75" customHeight="1" x14ac:dyDescent="0.2">
      <c r="B42" s="636" t="s">
        <v>1098</v>
      </c>
      <c r="C42" s="172"/>
      <c r="D42" s="172"/>
      <c r="E42" s="668">
        <v>80</v>
      </c>
      <c r="F42" s="658">
        <v>6.8</v>
      </c>
      <c r="G42" s="660" t="s">
        <v>547</v>
      </c>
      <c r="H42" s="658">
        <v>6.5</v>
      </c>
      <c r="I42" s="658">
        <v>6.4</v>
      </c>
      <c r="J42" s="659">
        <v>6.2</v>
      </c>
      <c r="K42" s="660">
        <v>6.3</v>
      </c>
      <c r="L42" s="658">
        <v>6.1</v>
      </c>
      <c r="M42" s="658">
        <v>5.8</v>
      </c>
      <c r="N42" s="659">
        <v>5.6</v>
      </c>
    </row>
    <row r="43" spans="2:21" ht="15.75" customHeight="1" x14ac:dyDescent="0.2">
      <c r="B43" s="636" t="s">
        <v>548</v>
      </c>
      <c r="C43" s="172"/>
      <c r="D43" s="172"/>
      <c r="E43" s="668">
        <v>75</v>
      </c>
      <c r="F43" s="658">
        <v>6.5</v>
      </c>
      <c r="G43" s="660">
        <v>6.3</v>
      </c>
      <c r="H43" s="658">
        <v>6.2</v>
      </c>
      <c r="I43" s="658">
        <v>6.1</v>
      </c>
      <c r="J43" s="659">
        <v>5.9</v>
      </c>
      <c r="K43" s="660">
        <v>6</v>
      </c>
      <c r="L43" s="658">
        <v>5.8</v>
      </c>
      <c r="M43" s="658">
        <v>5.5</v>
      </c>
      <c r="N43" s="659">
        <v>5.3</v>
      </c>
    </row>
    <row r="44" spans="2:21" ht="15.75" customHeight="1" x14ac:dyDescent="0.2">
      <c r="B44" s="636" t="s">
        <v>549</v>
      </c>
      <c r="C44" s="172"/>
      <c r="D44" s="172"/>
      <c r="E44" s="668">
        <v>70</v>
      </c>
      <c r="F44" s="658">
        <v>6</v>
      </c>
      <c r="G44" s="660">
        <v>5.8</v>
      </c>
      <c r="H44" s="658">
        <v>5.7</v>
      </c>
      <c r="I44" s="658">
        <v>5.4</v>
      </c>
      <c r="J44" s="659">
        <v>5.4</v>
      </c>
      <c r="K44" s="660">
        <v>5.5</v>
      </c>
      <c r="L44" s="658">
        <v>5.3</v>
      </c>
      <c r="M44" s="658">
        <v>5</v>
      </c>
      <c r="N44" s="659">
        <v>4.8</v>
      </c>
    </row>
    <row r="45" spans="2:21" ht="15.75" customHeight="1" x14ac:dyDescent="0.2">
      <c r="B45" s="636" t="s">
        <v>550</v>
      </c>
      <c r="C45" s="172"/>
      <c r="D45" s="172"/>
      <c r="E45" s="668">
        <v>65</v>
      </c>
      <c r="F45" s="658">
        <v>5.4</v>
      </c>
      <c r="G45" s="660">
        <v>5.2</v>
      </c>
      <c r="H45" s="658">
        <v>5.0999999999999996</v>
      </c>
      <c r="I45" s="658">
        <v>5</v>
      </c>
      <c r="J45" s="659">
        <v>4.8</v>
      </c>
      <c r="K45" s="660">
        <v>4.9000000000000004</v>
      </c>
      <c r="L45" s="658">
        <v>4.7</v>
      </c>
      <c r="M45" s="658">
        <v>4.4000000000000004</v>
      </c>
      <c r="N45" s="659">
        <v>4.2</v>
      </c>
    </row>
    <row r="46" spans="2:21" ht="15.75" customHeight="1" x14ac:dyDescent="0.2">
      <c r="B46" s="650" t="s">
        <v>1150</v>
      </c>
      <c r="C46" s="351"/>
      <c r="D46" s="351"/>
      <c r="E46" s="669">
        <v>60</v>
      </c>
      <c r="F46" s="662">
        <v>4.9000000000000004</v>
      </c>
      <c r="G46" s="661">
        <v>4.7</v>
      </c>
      <c r="H46" s="662">
        <v>4.5999999999999996</v>
      </c>
      <c r="I46" s="662">
        <v>4.5</v>
      </c>
      <c r="J46" s="663">
        <v>4.3</v>
      </c>
      <c r="K46" s="661">
        <v>4.4000000000000004</v>
      </c>
      <c r="L46" s="662">
        <v>4.2</v>
      </c>
      <c r="M46" s="662">
        <v>4</v>
      </c>
      <c r="N46" s="663">
        <v>3.7</v>
      </c>
    </row>
    <row r="47" spans="2:21" s="8" customFormat="1" ht="21.75" customHeight="1" x14ac:dyDescent="0.2">
      <c r="B47" s="626" t="s">
        <v>1122</v>
      </c>
      <c r="C47" s="85"/>
      <c r="D47" s="85"/>
      <c r="E47" s="85"/>
      <c r="F47" s="85"/>
      <c r="G47" s="756" t="s">
        <v>1128</v>
      </c>
      <c r="H47" s="351"/>
      <c r="I47" s="85"/>
      <c r="J47" s="85"/>
      <c r="K47" s="85"/>
      <c r="L47" s="351"/>
      <c r="M47" s="85"/>
      <c r="N47" s="627"/>
    </row>
    <row r="48" spans="2:21" ht="15.75" customHeight="1" x14ac:dyDescent="0.2">
      <c r="B48" s="636" t="s">
        <v>1129</v>
      </c>
      <c r="C48" s="172"/>
      <c r="D48" s="172"/>
      <c r="E48" s="668">
        <v>75</v>
      </c>
      <c r="F48" s="658">
        <v>6.3</v>
      </c>
      <c r="G48" s="660">
        <v>6.1</v>
      </c>
      <c r="H48" s="658">
        <v>6</v>
      </c>
      <c r="I48" s="658">
        <v>5.9</v>
      </c>
      <c r="J48" s="659">
        <v>5.7</v>
      </c>
      <c r="K48" s="660">
        <v>5.8</v>
      </c>
      <c r="L48" s="658">
        <v>5.6</v>
      </c>
      <c r="M48" s="658">
        <v>5.3</v>
      </c>
      <c r="N48" s="659">
        <v>5.0999999999999996</v>
      </c>
    </row>
    <row r="49" spans="2:14" ht="15.75" customHeight="1" x14ac:dyDescent="0.2">
      <c r="B49" s="636" t="s">
        <v>1135</v>
      </c>
      <c r="C49" s="172"/>
      <c r="D49" s="172"/>
      <c r="E49" s="668">
        <v>70</v>
      </c>
      <c r="F49" s="658">
        <v>6.1</v>
      </c>
      <c r="G49" s="660">
        <v>5.9</v>
      </c>
      <c r="H49" s="658">
        <v>5.8</v>
      </c>
      <c r="I49" s="658">
        <v>5.7</v>
      </c>
      <c r="J49" s="659">
        <v>5.5</v>
      </c>
      <c r="K49" s="660">
        <v>5.6</v>
      </c>
      <c r="L49" s="658">
        <v>5.4</v>
      </c>
      <c r="M49" s="658">
        <v>5.0999999999999996</v>
      </c>
      <c r="N49" s="659">
        <v>4.9000000000000004</v>
      </c>
    </row>
    <row r="50" spans="2:14" ht="15.75" customHeight="1" x14ac:dyDescent="0.2">
      <c r="B50" s="636" t="s">
        <v>1136</v>
      </c>
      <c r="C50" s="172"/>
      <c r="D50" s="172"/>
      <c r="E50" s="668">
        <v>65</v>
      </c>
      <c r="F50" s="658">
        <v>5.6</v>
      </c>
      <c r="G50" s="660">
        <v>5.4</v>
      </c>
      <c r="H50" s="658">
        <v>5.3</v>
      </c>
      <c r="I50" s="658">
        <v>5.2</v>
      </c>
      <c r="J50" s="659">
        <v>5</v>
      </c>
      <c r="K50" s="660">
        <v>5.0999999999999996</v>
      </c>
      <c r="L50" s="658">
        <v>5.0999999999999996</v>
      </c>
      <c r="M50" s="658">
        <v>4.5999999999999996</v>
      </c>
      <c r="N50" s="659">
        <v>4.4000000000000004</v>
      </c>
    </row>
    <row r="51" spans="2:14" ht="15.75" customHeight="1" x14ac:dyDescent="0.2">
      <c r="B51" s="650" t="s">
        <v>1137</v>
      </c>
      <c r="C51" s="351"/>
      <c r="D51" s="351"/>
      <c r="E51" s="669">
        <v>60</v>
      </c>
      <c r="F51" s="662">
        <v>5.2</v>
      </c>
      <c r="G51" s="661">
        <v>5</v>
      </c>
      <c r="H51" s="662">
        <v>4.9000000000000004</v>
      </c>
      <c r="I51" s="662">
        <v>4.8</v>
      </c>
      <c r="J51" s="663">
        <v>4.5999999999999996</v>
      </c>
      <c r="K51" s="661">
        <v>4.7</v>
      </c>
      <c r="L51" s="662">
        <v>4.7</v>
      </c>
      <c r="M51" s="662">
        <v>4.2</v>
      </c>
      <c r="N51" s="663">
        <v>4</v>
      </c>
    </row>
    <row r="52" spans="2:14" s="8" customFormat="1" ht="21.75" customHeight="1" x14ac:dyDescent="0.2">
      <c r="B52" s="626" t="s">
        <v>1138</v>
      </c>
      <c r="C52" s="85"/>
      <c r="D52" s="85"/>
      <c r="E52" s="670"/>
      <c r="F52" s="664"/>
      <c r="G52" s="664"/>
      <c r="H52" s="662"/>
      <c r="I52" s="664"/>
      <c r="J52" s="664"/>
      <c r="K52" s="664"/>
      <c r="L52" s="662"/>
      <c r="M52" s="664"/>
      <c r="N52" s="665"/>
    </row>
    <row r="53" spans="2:14" ht="20.25" customHeight="1" x14ac:dyDescent="0.2">
      <c r="B53" s="636" t="s">
        <v>433</v>
      </c>
      <c r="C53" s="172"/>
      <c r="E53" s="855" t="s">
        <v>1139</v>
      </c>
      <c r="F53" s="659"/>
      <c r="G53" s="658">
        <v>7</v>
      </c>
      <c r="H53" s="658">
        <v>6.7</v>
      </c>
      <c r="I53" s="658">
        <v>6.4</v>
      </c>
      <c r="J53" s="659">
        <v>6.1</v>
      </c>
      <c r="K53" s="658"/>
      <c r="L53" s="658"/>
      <c r="M53" s="658"/>
      <c r="N53" s="659"/>
    </row>
    <row r="54" spans="2:14" ht="20.25" customHeight="1" x14ac:dyDescent="0.2">
      <c r="B54" s="636" t="s">
        <v>511</v>
      </c>
      <c r="C54" s="172"/>
      <c r="E54" s="855">
        <v>80</v>
      </c>
      <c r="F54" s="659"/>
      <c r="G54" s="658"/>
      <c r="H54" s="658">
        <v>7.4</v>
      </c>
      <c r="I54" s="658"/>
      <c r="J54" s="659"/>
      <c r="K54" s="658"/>
      <c r="L54" s="658"/>
      <c r="M54" s="658"/>
      <c r="N54" s="659"/>
    </row>
    <row r="55" spans="2:14" ht="20.25" customHeight="1" x14ac:dyDescent="0.2">
      <c r="B55" s="636" t="s">
        <v>1058</v>
      </c>
      <c r="C55" s="172"/>
      <c r="E55" s="855">
        <v>84</v>
      </c>
      <c r="F55" s="659"/>
      <c r="G55" s="658"/>
      <c r="H55" s="658">
        <v>8.1</v>
      </c>
      <c r="I55" s="658"/>
      <c r="J55" s="659"/>
      <c r="K55" s="658"/>
      <c r="L55" s="658"/>
      <c r="M55" s="658"/>
      <c r="N55" s="659"/>
    </row>
    <row r="56" spans="2:14" ht="20.25" customHeight="1" x14ac:dyDescent="0.2">
      <c r="B56" s="636" t="s">
        <v>512</v>
      </c>
      <c r="C56" s="172"/>
      <c r="E56" s="855"/>
      <c r="F56" s="659"/>
      <c r="G56" s="658"/>
      <c r="H56" s="658"/>
      <c r="I56" s="658"/>
      <c r="J56" s="659"/>
      <c r="K56" s="658"/>
      <c r="L56" s="658"/>
      <c r="M56" s="658"/>
      <c r="N56" s="659"/>
    </row>
    <row r="57" spans="2:14" ht="15.75" customHeight="1" x14ac:dyDescent="0.2">
      <c r="B57" s="636" t="s">
        <v>513</v>
      </c>
      <c r="C57" s="172"/>
      <c r="E57" s="855">
        <v>89</v>
      </c>
      <c r="F57" s="659"/>
      <c r="G57" s="658"/>
      <c r="H57" s="658">
        <v>7.6</v>
      </c>
      <c r="I57" s="658"/>
      <c r="J57" s="659"/>
      <c r="K57" s="658"/>
      <c r="L57" s="658"/>
      <c r="M57" s="658"/>
      <c r="N57" s="659"/>
    </row>
    <row r="58" spans="2:14" ht="15.75" customHeight="1" x14ac:dyDescent="0.2">
      <c r="B58" s="636" t="s">
        <v>514</v>
      </c>
      <c r="C58" s="172"/>
      <c r="E58" s="855">
        <v>89</v>
      </c>
      <c r="F58" s="659"/>
      <c r="G58" s="658"/>
      <c r="H58" s="658">
        <v>7.6</v>
      </c>
      <c r="I58" s="658"/>
      <c r="J58" s="659"/>
      <c r="K58" s="658"/>
      <c r="L58" s="658"/>
      <c r="M58" s="658"/>
      <c r="N58" s="659"/>
    </row>
    <row r="59" spans="2:14" ht="15.75" customHeight="1" x14ac:dyDescent="0.2">
      <c r="B59" s="636" t="s">
        <v>131</v>
      </c>
      <c r="C59" s="172"/>
      <c r="E59" s="855" t="s">
        <v>515</v>
      </c>
      <c r="F59" s="659"/>
      <c r="G59" s="658">
        <v>6</v>
      </c>
      <c r="H59" s="658">
        <v>5.8</v>
      </c>
      <c r="I59" s="658">
        <v>5.6</v>
      </c>
      <c r="J59" s="659">
        <v>5.2</v>
      </c>
      <c r="K59" s="658"/>
      <c r="L59" s="658"/>
      <c r="M59" s="658"/>
      <c r="N59" s="659"/>
    </row>
    <row r="60" spans="2:14" ht="13.7" customHeight="1" x14ac:dyDescent="0.2">
      <c r="B60" s="637"/>
      <c r="C60" s="36"/>
      <c r="D60" s="36"/>
      <c r="E60" s="856"/>
      <c r="F60" s="666"/>
      <c r="G60" s="667"/>
      <c r="H60" s="667"/>
      <c r="I60" s="667"/>
      <c r="J60" s="666"/>
      <c r="K60" s="667"/>
      <c r="L60" s="667"/>
      <c r="M60" s="667"/>
      <c r="N60" s="666"/>
    </row>
    <row r="61" spans="2:14" ht="21.2" customHeight="1" x14ac:dyDescent="0.2">
      <c r="B61" s="738" t="s">
        <v>516</v>
      </c>
    </row>
    <row r="70" spans="1:10" ht="17.25" x14ac:dyDescent="0.2">
      <c r="B70" s="634"/>
      <c r="G70" s="474"/>
    </row>
    <row r="73" spans="1:10" ht="15.75" x14ac:dyDescent="0.2">
      <c r="A73" s="4081"/>
      <c r="B73" s="355"/>
      <c r="C73" s="355"/>
      <c r="D73" s="355"/>
      <c r="E73" s="355"/>
      <c r="F73" s="4082" t="s">
        <v>462</v>
      </c>
      <c r="G73" s="4082" t="s">
        <v>1200</v>
      </c>
      <c r="H73" s="4082" t="s">
        <v>432</v>
      </c>
      <c r="I73" s="4082" t="s">
        <v>460</v>
      </c>
      <c r="J73" s="4083" t="s">
        <v>1199</v>
      </c>
    </row>
    <row r="74" spans="1:10" ht="15.75" x14ac:dyDescent="0.2">
      <c r="A74" s="4074">
        <f>ROWS($A$74:A74)</f>
        <v>1</v>
      </c>
      <c r="B74" s="4073" t="s">
        <v>552</v>
      </c>
      <c r="C74" s="4072"/>
      <c r="D74" s="4072"/>
      <c r="E74" s="4072"/>
      <c r="F74" s="4073">
        <v>1</v>
      </c>
      <c r="G74" s="4073">
        <v>2</v>
      </c>
      <c r="H74" s="4073">
        <v>3</v>
      </c>
      <c r="I74" s="4073">
        <v>4</v>
      </c>
      <c r="J74" s="4073">
        <v>5</v>
      </c>
    </row>
    <row r="75" spans="1:10" x14ac:dyDescent="0.2">
      <c r="A75" s="4074">
        <f>ROWS($A$74:A75)</f>
        <v>2</v>
      </c>
      <c r="B75" s="4075" t="s">
        <v>229</v>
      </c>
      <c r="C75" s="4072"/>
      <c r="D75" s="4072"/>
      <c r="E75" s="4076" t="s">
        <v>1047</v>
      </c>
      <c r="F75" s="4076">
        <v>0.22</v>
      </c>
      <c r="G75" s="4076">
        <v>0.1</v>
      </c>
      <c r="H75" s="4076">
        <v>0.08</v>
      </c>
      <c r="I75" s="4076">
        <v>0.12</v>
      </c>
      <c r="J75" s="4076">
        <v>0.08</v>
      </c>
    </row>
    <row r="76" spans="1:10" x14ac:dyDescent="0.2">
      <c r="A76" s="4074">
        <f>ROWS($A$74:A76)</f>
        <v>3</v>
      </c>
      <c r="B76" s="4072" t="s">
        <v>1018</v>
      </c>
      <c r="C76" s="4072"/>
      <c r="D76" s="4072"/>
      <c r="E76" s="4076" t="s">
        <v>1047</v>
      </c>
      <c r="F76" s="4076">
        <v>0</v>
      </c>
      <c r="G76" s="4076">
        <v>0</v>
      </c>
      <c r="H76" s="4076">
        <v>0.1</v>
      </c>
      <c r="I76" s="4076">
        <v>0.12</v>
      </c>
      <c r="J76" s="4076">
        <v>0</v>
      </c>
    </row>
    <row r="77" spans="1:10" x14ac:dyDescent="0.2">
      <c r="A77" s="4074">
        <f>ROWS($A$74:A77)</f>
        <v>4</v>
      </c>
      <c r="B77" s="4075" t="s">
        <v>1198</v>
      </c>
      <c r="C77" s="4072"/>
      <c r="D77" s="4072"/>
      <c r="E77" s="4076"/>
      <c r="F77" s="4076"/>
      <c r="G77" s="4076"/>
      <c r="H77" s="4076"/>
      <c r="I77" s="4076"/>
      <c r="J77" s="4076"/>
    </row>
    <row r="78" spans="1:10" x14ac:dyDescent="0.2">
      <c r="A78" s="4074">
        <f>ROWS($A$74:A78)</f>
        <v>5</v>
      </c>
      <c r="B78" s="4072"/>
      <c r="C78" s="4072" t="s">
        <v>231</v>
      </c>
      <c r="D78" s="4072"/>
      <c r="E78" s="4076" t="s">
        <v>1047</v>
      </c>
      <c r="F78" s="4076">
        <v>0.16</v>
      </c>
      <c r="G78" s="4076">
        <v>0.18</v>
      </c>
      <c r="H78" s="4076">
        <v>0.35</v>
      </c>
      <c r="I78" s="4076">
        <v>0.88</v>
      </c>
      <c r="J78" s="4076">
        <v>0.9</v>
      </c>
    </row>
    <row r="79" spans="1:10" x14ac:dyDescent="0.2">
      <c r="A79" s="4074">
        <f>ROWS($A$74:A79)</f>
        <v>6</v>
      </c>
      <c r="B79" s="4072"/>
      <c r="C79" s="4072" t="s">
        <v>233</v>
      </c>
      <c r="D79" s="4072"/>
      <c r="E79" s="4076" t="s">
        <v>1047</v>
      </c>
      <c r="F79" s="4076">
        <v>0.16</v>
      </c>
      <c r="G79" s="4076">
        <v>0.18</v>
      </c>
      <c r="H79" s="4076">
        <v>0.37</v>
      </c>
      <c r="I79" s="4076">
        <v>0.9</v>
      </c>
      <c r="J79" s="4076">
        <v>0.9</v>
      </c>
    </row>
    <row r="80" spans="1:10" x14ac:dyDescent="0.2">
      <c r="A80" s="4074">
        <f>ROWS($A$74:A80)</f>
        <v>7</v>
      </c>
      <c r="B80" s="4075" t="s">
        <v>234</v>
      </c>
      <c r="C80" s="4072"/>
      <c r="D80" s="4072"/>
      <c r="E80" s="4077" t="s">
        <v>1206</v>
      </c>
      <c r="F80" s="4078"/>
      <c r="G80" s="4078">
        <v>3.2</v>
      </c>
      <c r="H80" s="4078">
        <v>6.6</v>
      </c>
      <c r="I80" s="4078">
        <v>1.8</v>
      </c>
      <c r="J80" s="4078">
        <v>4.5</v>
      </c>
    </row>
    <row r="81" spans="1:10" x14ac:dyDescent="0.2">
      <c r="A81" s="4074">
        <f>ROWS($A$74:A81)</f>
        <v>8</v>
      </c>
      <c r="B81" s="4075" t="s">
        <v>1207</v>
      </c>
      <c r="C81" s="4072"/>
      <c r="D81" s="4072"/>
      <c r="E81" s="4077" t="s">
        <v>1205</v>
      </c>
      <c r="F81" s="4079">
        <v>0</v>
      </c>
      <c r="G81" s="4079">
        <v>0</v>
      </c>
      <c r="H81" s="4078">
        <f>'Sonst-Festk'!L14</f>
        <v>4.8591666666666669</v>
      </c>
      <c r="I81" s="4078">
        <f>'Sonst-Festk'!L23</f>
        <v>3.0156583333333336</v>
      </c>
      <c r="J81" s="4078">
        <f>'Sonst-Festk'!L33</f>
        <v>9.3018333333333345</v>
      </c>
    </row>
    <row r="82" spans="1:10" x14ac:dyDescent="0.2">
      <c r="A82" s="4074">
        <f>ROWS($A$74:A82)</f>
        <v>9</v>
      </c>
      <c r="B82" s="4075" t="s">
        <v>1208</v>
      </c>
      <c r="C82" s="4072"/>
      <c r="D82" s="4072"/>
      <c r="E82" s="4080" t="s">
        <v>1209</v>
      </c>
      <c r="F82" s="4079">
        <v>0</v>
      </c>
      <c r="G82" s="4079">
        <v>0</v>
      </c>
      <c r="H82" s="4079">
        <v>0</v>
      </c>
      <c r="I82" s="4079">
        <v>0</v>
      </c>
      <c r="J82" s="4078">
        <v>10</v>
      </c>
    </row>
  </sheetData>
  <sheetProtection sheet="1" objects="1" scenarios="1"/>
  <mergeCells count="2">
    <mergeCell ref="B1:H1"/>
    <mergeCell ref="L1:N1"/>
  </mergeCells>
  <phoneticPr fontId="0" type="noConversion"/>
  <hyperlinks>
    <hyperlink ref="B1:F1" location="Inhalt!A1:A10" display="zurück zum Inhaltsverzeichnis"/>
  </hyperlinks>
  <printOptions horizontalCentered="1"/>
  <pageMargins left="0.61" right="0.38" top="0.64" bottom="0.78740157480314965" header="0.51181102362204722" footer="0.31496062992125984"/>
  <pageSetup paperSize="9" scale="69" orientation="portrait" r:id="rId1"/>
  <headerFooter alignWithMargins="0">
    <oddFooter xml:space="preserve">&amp;L&amp;14LEL Schwäbisch Gmünd (Abtlg. II)
LAZBW Aulendorf&amp;C&amp;14 13&amp;R&amp;12&amp;F
&amp;A 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9">
    <pageSetUpPr fitToPage="1"/>
  </sheetPr>
  <dimension ref="A1:CA73"/>
  <sheetViews>
    <sheetView showGridLines="0" showZeros="0" zoomScaleNormal="100" workbookViewId="0">
      <pane xSplit="10" ySplit="5" topLeftCell="M2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14.85546875" style="530" customWidth="1"/>
    <col min="19" max="19" width="8.85546875" style="530" customWidth="1"/>
    <col min="20" max="20" width="7.42578125" style="530" customWidth="1"/>
    <col min="21" max="21" width="9.5703125" style="530" customWidth="1"/>
    <col min="22" max="23" width="7.42578125" style="530" customWidth="1"/>
    <col min="24" max="24" width="13.710937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536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7.3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618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110</v>
      </c>
      <c r="N5" s="2261"/>
      <c r="O5" s="370">
        <v>130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30</v>
      </c>
      <c r="L7" s="706">
        <v>32</v>
      </c>
      <c r="M7" s="702">
        <v>30</v>
      </c>
      <c r="N7" s="706">
        <v>32</v>
      </c>
      <c r="O7" s="702">
        <v>30</v>
      </c>
      <c r="P7" s="706">
        <v>32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285</v>
      </c>
      <c r="M9" s="809">
        <f>M5*(100-M6)/100</f>
        <v>104.5</v>
      </c>
      <c r="N9" s="810">
        <f>IF(M7=0,0,M9/M7*100)</f>
        <v>348.33333333333331</v>
      </c>
      <c r="O9" s="720">
        <f>O5*(100-O6)/100</f>
        <v>123.5</v>
      </c>
      <c r="P9" s="721">
        <f>IF(O7=0,0,O9/O7*100)</f>
        <v>411.66666666666663</v>
      </c>
      <c r="Q9" s="525"/>
      <c r="R9" s="563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79.515000000000001</v>
      </c>
      <c r="L11" s="709">
        <f>IF(L7=0,0,K11/L7*100)</f>
        <v>248.484375</v>
      </c>
      <c r="M11" s="812">
        <f>M9*(100-N6)/100</f>
        <v>97.185000000000002</v>
      </c>
      <c r="N11" s="813">
        <f>IF(N7=0,0,M11/N7*100)</f>
        <v>303.703125</v>
      </c>
      <c r="O11" s="708">
        <f>O9*(100-P6)/100</f>
        <v>114.855</v>
      </c>
      <c r="P11" s="709">
        <f>IF(P7=0,0,O11/P7*100)</f>
        <v>358.921875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36.541819852941181</v>
      </c>
      <c r="M12" s="801"/>
      <c r="N12" s="814">
        <f>IF(N8=0,0,1/N8*N11)</f>
        <v>44.662224264705884</v>
      </c>
      <c r="O12" s="487"/>
      <c r="P12" s="502">
        <f>IF(P8=0,0,1/P8*P11)</f>
        <v>52.782628676470587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2305.9349999999999</v>
      </c>
      <c r="L15" s="418"/>
      <c r="M15" s="816">
        <f>M$11*M13</f>
        <v>2818.3650000000002</v>
      </c>
      <c r="N15" s="784"/>
      <c r="O15" s="497">
        <f>O$11*O13</f>
        <v>3330.7950000000001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83.013659999999987</v>
      </c>
      <c r="L16" s="417"/>
      <c r="M16" s="817">
        <f>M$11*M14</f>
        <v>101.46113999999999</v>
      </c>
      <c r="N16" s="428"/>
      <c r="O16" s="498">
        <f>O$11*O14</f>
        <v>119.90861999999998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502.04106749999994</v>
      </c>
      <c r="M17" s="2600">
        <f>K17</f>
        <v>1</v>
      </c>
      <c r="N17" s="2591">
        <f>M17*(N33*(1-$AC$14)+N34*(1-$AC$15)+N35*(1-$AC$16)+N36*(1-$AC$17))</f>
        <v>613.60574916666656</v>
      </c>
      <c r="O17" s="2601">
        <f>K17</f>
        <v>1</v>
      </c>
      <c r="P17" s="2590">
        <f>O17*(P33*(1-$AC$14)+P34*(1-$AC$15)+P35*(1-$AC$16)+P36*(1-$AC$17))</f>
        <v>725.17043083333328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I19" s="80">
        <f>IF($B19=0,0,VLOOKUP($B19,Ausglleist!$C$8:$O$44,11))</f>
        <v>0</v>
      </c>
      <c r="J19" s="4063">
        <f>IF($B19=0,0,VLOOKUP($B19,Ausglleist!$C$8:$O$44,13,FALSE))</f>
        <v>0</v>
      </c>
      <c r="K19" s="327"/>
      <c r="L19" s="201">
        <f>IF(R19=TRUE,$I19,0)</f>
        <v>0</v>
      </c>
      <c r="M19" s="787"/>
      <c r="N19" s="808">
        <f>IF(U19=TRUE,$I19,0)</f>
        <v>0</v>
      </c>
      <c r="O19" s="327"/>
      <c r="P19" s="202">
        <f>IF(X19=TRUE,$I19,0)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I20" s="80">
        <f>IF($B20=0,0,VLOOKUP($B20,Ausglleist!$C$8:$O$44,11))</f>
        <v>0</v>
      </c>
      <c r="J20" s="4063">
        <f>IF($B20=0,0,VLOOKUP($B20,Ausglleist!$C$8:$O$44,13,FALSE))</f>
        <v>0</v>
      </c>
      <c r="K20" s="327"/>
      <c r="L20" s="201">
        <f>IF(R20=TRUE,$I20,0)</f>
        <v>0</v>
      </c>
      <c r="M20" s="787"/>
      <c r="N20" s="808">
        <f>IF(U20=TRUE,$I20,0)</f>
        <v>0</v>
      </c>
      <c r="O20" s="327"/>
      <c r="P20" s="202">
        <f>IF(X20=TRUE,$I20,0)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I21" s="80">
        <f>IF($B21=0,0,VLOOKUP($B21,Ausglleist!$C$8:$O$44,11))</f>
        <v>0</v>
      </c>
      <c r="J21" s="4063">
        <f>IF($B21=0,0,VLOOKUP($B21,Ausglleist!$C$8:$O$44,13,FALSE))</f>
        <v>0</v>
      </c>
      <c r="K21" s="327"/>
      <c r="L21" s="201">
        <f>IF(R21=TRUE,$I21,0)</f>
        <v>0</v>
      </c>
      <c r="M21" s="787"/>
      <c r="N21" s="808">
        <f>IF(U21=TRUE,$I21,0)</f>
        <v>0</v>
      </c>
      <c r="O21" s="327"/>
      <c r="P21" s="202">
        <f>IF(X21=TRUE,$I21,0)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I22" s="80">
        <f>IF($B22=0,0,VLOOKUP($B22,Ausglleist!$C$8:$O$44,11))</f>
        <v>0</v>
      </c>
      <c r="J22" s="4063">
        <f>IF($B22=0,0,VLOOKUP($B22,Ausglleist!$C$8:$O$44,13,FALSE))</f>
        <v>0</v>
      </c>
      <c r="K22" s="327"/>
      <c r="L22" s="201">
        <f>IF(R22=TRUE,$I22,0)</f>
        <v>0</v>
      </c>
      <c r="M22" s="787"/>
      <c r="N22" s="808">
        <f>IF(U22=TRUE,$I22,0)</f>
        <v>0</v>
      </c>
      <c r="O22" s="327"/>
      <c r="P22" s="202">
        <f>IF(X22=TRUE,$I22,0)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/>
      <c r="I23" s="200">
        <f>IF($B23=0,0,VLOOKUP($B23,Ausglleist!$C$8:$O$44,11))</f>
        <v>0</v>
      </c>
      <c r="J23" s="4064">
        <f>IF($B23=0,0,VLOOKUP($B23,Ausglleist!$C$8:$O$44,13,FALSE))</f>
        <v>0</v>
      </c>
      <c r="K23" s="328"/>
      <c r="L23" s="201">
        <f>IF(R23=TRUE,$I23,0)</f>
        <v>0</v>
      </c>
      <c r="M23" s="788"/>
      <c r="N23" s="808">
        <f>IF(U23=TRUE,$I23,0)</f>
        <v>0</v>
      </c>
      <c r="O23" s="328"/>
      <c r="P23" s="202">
        <f>IF(X23=TRUE,$I23,0)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61.79249999999999</v>
      </c>
      <c r="M27" s="804"/>
      <c r="N27" s="786">
        <f>SUM(N29:N30)</f>
        <v>1.0298749999999999</v>
      </c>
      <c r="O27" s="330"/>
      <c r="P27" s="325">
        <f>SUM(P29:P30)</f>
        <v>1.0298749999999999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3.85</v>
      </c>
      <c r="I29" s="711">
        <f>H29*($H$27+100)/100</f>
        <v>4.1194999999999995</v>
      </c>
      <c r="J29" s="91"/>
      <c r="K29" s="440">
        <v>15</v>
      </c>
      <c r="L29" s="337">
        <f>$I29*K29</f>
        <v>61.79249999999999</v>
      </c>
      <c r="M29" s="440">
        <v>0.25</v>
      </c>
      <c r="N29" s="791">
        <f>$I29*M29</f>
        <v>1.0298749999999999</v>
      </c>
      <c r="O29" s="440">
        <v>0.25</v>
      </c>
      <c r="P29" s="337">
        <f>$I29*O29</f>
        <v>1.0298749999999999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561.16829999999993</v>
      </c>
      <c r="M31" s="819"/>
      <c r="N31" s="786">
        <f>SUM(N33:N36)</f>
        <v>685.87236666666649</v>
      </c>
      <c r="O31" s="334"/>
      <c r="P31" s="325">
        <f>SUM(P33:P36)</f>
        <v>810.5764333333334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1585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2.5</v>
      </c>
      <c r="H33" s="3683">
        <v>-1.1000000000000001</v>
      </c>
      <c r="I33"/>
      <c r="J33" s="172"/>
      <c r="K33" s="336">
        <f>$G$33*K9+$H$33*K5</f>
        <v>114.74999999999999</v>
      </c>
      <c r="L33" s="337">
        <f>K33*$E33</f>
        <v>197.09077499999998</v>
      </c>
      <c r="M33" s="820">
        <f>$G$33*M9+$H$33*M5</f>
        <v>140.25</v>
      </c>
      <c r="N33" s="791">
        <f>M33*$E33</f>
        <v>240.88872499999999</v>
      </c>
      <c r="O33" s="336">
        <f>$G$33*O9+$H$33*O5</f>
        <v>165.75</v>
      </c>
      <c r="P33" s="337">
        <f>O33*$E33</f>
        <v>284.68667499999998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</v>
      </c>
      <c r="H34" s="386"/>
      <c r="I34"/>
      <c r="J34" s="172"/>
      <c r="K34" s="336">
        <f>G34*$K$9+H34</f>
        <v>59.849999999999994</v>
      </c>
      <c r="L34" s="337">
        <f>K34*$E34</f>
        <v>67.660424999999989</v>
      </c>
      <c r="M34" s="820">
        <f>G34*$M$9+H34</f>
        <v>73.149999999999991</v>
      </c>
      <c r="N34" s="791">
        <f>M34*$E34</f>
        <v>82.696074999999979</v>
      </c>
      <c r="O34" s="336">
        <f>G34*$O$9+H34</f>
        <v>86.449999999999989</v>
      </c>
      <c r="P34" s="337">
        <f>O34*$E34</f>
        <v>97.731724999999969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3.1</v>
      </c>
      <c r="H35" s="386"/>
      <c r="I35"/>
      <c r="J35" s="172"/>
      <c r="K35" s="336">
        <f>G35*$K$9+H35</f>
        <v>265.05</v>
      </c>
      <c r="L35" s="337">
        <f>K35*$E35</f>
        <v>278.61172499999998</v>
      </c>
      <c r="M35" s="820">
        <f>G35*$M$9+H35</f>
        <v>323.95</v>
      </c>
      <c r="N35" s="791">
        <f>M35*$E35</f>
        <v>340.52544166666661</v>
      </c>
      <c r="O35" s="336">
        <f>G35*$O$9+H35</f>
        <v>382.85</v>
      </c>
      <c r="P35" s="337">
        <f>O35*$E35</f>
        <v>402.43915833333335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29.924999999999997</v>
      </c>
      <c r="L36" s="333">
        <f>K36*$E36</f>
        <v>17.805374999999998</v>
      </c>
      <c r="M36" s="821">
        <f>G36*$M$9+H36</f>
        <v>36.574999999999996</v>
      </c>
      <c r="N36" s="792">
        <f>M36*$E36</f>
        <v>21.762124999999997</v>
      </c>
      <c r="O36" s="338">
        <f>G36*$O$9+H36</f>
        <v>43.224999999999994</v>
      </c>
      <c r="P36" s="333">
        <f>O36*$E36</f>
        <v>25.718874999999997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195.55144628720001</v>
      </c>
      <c r="M42" s="823"/>
      <c r="N42" s="786">
        <f>SUM(W45:W55)</f>
        <v>195.55144628720001</v>
      </c>
      <c r="O42" s="425"/>
      <c r="P42" s="325">
        <f>SUM(Z45:Z55)</f>
        <v>195.55144628720001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0.82</v>
      </c>
      <c r="J48" s="470">
        <f>IF($B48=0,0,VLOOKUP($B48,Arbeitsgänge!$B$27:$T$80,14))</f>
        <v>11.921917173599995</v>
      </c>
      <c r="K48" s="375">
        <v>1</v>
      </c>
      <c r="L48" s="337">
        <f t="shared" si="0"/>
        <v>11.921917173599995</v>
      </c>
      <c r="M48" s="375">
        <v>1</v>
      </c>
      <c r="N48" s="791">
        <f t="shared" si="1"/>
        <v>11.921917173599995</v>
      </c>
      <c r="O48" s="375">
        <v>1</v>
      </c>
      <c r="P48" s="337">
        <f t="shared" si="2"/>
        <v>11.921917173599995</v>
      </c>
      <c r="Q48" s="528"/>
      <c r="R48" s="1348">
        <f t="shared" si="3"/>
        <v>0.82</v>
      </c>
      <c r="S48" s="471" t="e">
        <f>K48*#REF!</f>
        <v>#REF!</v>
      </c>
      <c r="T48" s="258">
        <f t="shared" si="4"/>
        <v>11.921917173599995</v>
      </c>
      <c r="U48" s="1349">
        <f t="shared" si="5"/>
        <v>0.82</v>
      </c>
      <c r="V48" s="1350" t="e">
        <f>M48*#REF!</f>
        <v>#REF!</v>
      </c>
      <c r="W48" s="827">
        <f t="shared" si="6"/>
        <v>11.921917173599995</v>
      </c>
      <c r="X48" s="1351">
        <f t="shared" si="7"/>
        <v>0.82</v>
      </c>
      <c r="Y48" s="471" t="e">
        <f>O48*#REF!</f>
        <v>#REF!</v>
      </c>
      <c r="Z48" s="258">
        <f t="shared" si="8"/>
        <v>11.921917173599995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4.6500000000000004</v>
      </c>
      <c r="L56" s="341"/>
      <c r="M56" s="797">
        <f>SUM($U$45:$U$55)</f>
        <v>4.6500000000000004</v>
      </c>
      <c r="N56" s="798"/>
      <c r="O56" s="340">
        <f>SUM($X$45:$X$55)</f>
        <v>4.6500000000000004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8.370000000000001</v>
      </c>
      <c r="L57" s="343"/>
      <c r="M57" s="799">
        <f>IF(M56+(M56*$G$57/100)&gt;M56+10,M56+10,M56+(M56*$G$57/100))</f>
        <v>8.370000000000001</v>
      </c>
      <c r="N57" s="800"/>
      <c r="O57" s="342">
        <f>IF(O56+(O56*$G$57/100)&gt;O56+10,O56+10,O56+(O56*$G$57/100))</f>
        <v>8.370000000000001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105.03136350000001</v>
      </c>
      <c r="M58" s="826"/>
      <c r="N58" s="786">
        <f>SUM(N60:N62)</f>
        <v>128.3716665</v>
      </c>
      <c r="O58" s="344"/>
      <c r="P58" s="325">
        <f>SUM(P60:P62)</f>
        <v>151.71196950000004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19.613700000000001</v>
      </c>
      <c r="L62" s="308">
        <f>K62*I62</f>
        <v>105.03136350000001</v>
      </c>
      <c r="M62" s="2626">
        <f>M11/($V$63)/10*($V$65*M17)</f>
        <v>23.972300000000001</v>
      </c>
      <c r="N62" s="828">
        <f>M62*I62</f>
        <v>128.3716665</v>
      </c>
      <c r="O62" s="2626">
        <f>O11/($V$63)/10*($V$65*O17)</f>
        <v>28.330900000000003</v>
      </c>
      <c r="P62" s="308">
        <f>O62*I62</f>
        <v>151.71196950000004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1167"/>
      <c r="T65" s="2598"/>
      <c r="U65" s="2598"/>
      <c r="V65" s="2599">
        <v>0.74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181">
        <f>IF($H$66=0,0,K15*0.3)</f>
        <v>0</v>
      </c>
      <c r="L66" s="348"/>
      <c r="M66" s="3181">
        <f>IF($H$66=0,0,M15*0.3)</f>
        <v>0</v>
      </c>
      <c r="N66" s="789"/>
      <c r="O66" s="3181">
        <f>IF($H$66=0,0,O15*0.3)</f>
        <v>0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verticalDpi="300" r:id="rId1"/>
  <headerFooter alignWithMargins="0">
    <oddFooter>&amp;L&amp;12LEL Schwäbisch Gmünd (Abtlg. II)
LAZBW Aulendorf&amp;C&amp;12 84&amp;9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0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1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2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0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'33)Kleegrassil 4N Biogas aF(a)'!J2</f>
        <v>2022</v>
      </c>
      <c r="K2" s="2504" t="s">
        <v>858</v>
      </c>
      <c r="L2" s="2502"/>
      <c r="M2" s="2505"/>
      <c r="N2" s="2529"/>
      <c r="O2" s="2530" t="str">
        <f>'33)Kleegrassil 4N Biogas aF(a)'!M2</f>
        <v>Kleegrassilage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9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'33)Kleegrassil 4N Biogas aF(a)'!H3</f>
        <v>Kleegrassilage 4 Nutzungen, für Verkauf an Biogasanlage ab Feld (ohne Kosten Ernte, Lagerraum und Abdeckung); Rücklieferung Gärrest unter 100% Anrechung Netto-Nährstoffe (30% N-Verluste) und Kosten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'33)Kleegrassil 4N Biogas aF(a)'!K5</f>
        <v>90</v>
      </c>
      <c r="N6" s="1735">
        <f>'33)Kleegrassil 4N Biogas aF(a)'!M5</f>
        <v>110</v>
      </c>
      <c r="O6" s="1743">
        <f>'33)Kleegrassil 4N Biogas aF(a)'!O5</f>
        <v>130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'33)Kleegrassil 4N Biogas aF(a)'!K9</f>
        <v>85.5</v>
      </c>
      <c r="N7" s="1736">
        <f>'33)Kleegrassil 4N Biogas aF(a)'!M9</f>
        <v>104.5</v>
      </c>
      <c r="O7" s="1744">
        <f>'33)Kleegrassil 4N Biogas aF(a)'!O9</f>
        <v>123.5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'33)Kleegrassil 4N Biogas aF(a)'!L9</f>
        <v>285</v>
      </c>
      <c r="N8" s="1737">
        <f>'33)Kleegrassil 4N Biogas aF(a)'!N9</f>
        <v>348.33333333333331</v>
      </c>
      <c r="O8" s="1583">
        <f>'33)Kleegrassil 4N Biogas aF(a)'!P9</f>
        <v>411.66666666666663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'33)Kleegrassil 4N Biogas aF(a)'!K11</f>
        <v>79.515000000000001</v>
      </c>
      <c r="N9" s="1562">
        <f>'33)Kleegrassil 4N Biogas aF(a)'!M11</f>
        <v>97.185000000000002</v>
      </c>
      <c r="O9" s="1747">
        <f>'33)Kleegrassil 4N Biogas aF(a)'!O11</f>
        <v>114.855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'33)Kleegrassil 4N Biogas aF(a)'!L11</f>
        <v>248.484375</v>
      </c>
      <c r="N10" s="1582">
        <f>'33)Kleegrassil 4N Biogas aF(a)'!N11</f>
        <v>303.703125</v>
      </c>
      <c r="O10" s="2014">
        <f>'33)Kleegrassil 4N Biogas aF(a)'!P11</f>
        <v>358.921875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'33)Kleegrassil 4N Biogas aF(a)'!L12</f>
        <v>36.541819852941181</v>
      </c>
      <c r="N11" s="1818">
        <f>'33)Kleegrassil 4N Biogas aF(a)'!N12</f>
        <v>44.662224264705884</v>
      </c>
      <c r="O11" s="1819">
        <f>'33)Kleegrassil 4N Biogas aF(a)'!P12</f>
        <v>52.782628676470587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'33)Kleegrassil 4N Biogas aF(a)'!K15</f>
        <v>2305.9349999999999</v>
      </c>
      <c r="N12" s="1738">
        <f>'33)Kleegrassil 4N Biogas aF(a)'!M15</f>
        <v>2818.3650000000002</v>
      </c>
      <c r="O12" s="1745">
        <f>'33)Kleegrassil 4N Biogas aF(a)'!O15</f>
        <v>3330.7950000000001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'33)Kleegrassil 4N Biogas aF(a)'!K16</f>
        <v>83.013659999999987</v>
      </c>
      <c r="N13" s="2077">
        <f>'33)Kleegrassil 4N Biogas aF(a)'!M16</f>
        <v>101.46113999999999</v>
      </c>
      <c r="O13" s="2078">
        <f>'33)Kleegrassil 4N Biogas aF(a)'!O16</f>
        <v>119.90861999999998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'33)Kleegrassil 4N Biogas aF(a)'!L24</f>
        <v>270</v>
      </c>
      <c r="N15" s="3338">
        <f>'33)Kleegrassil 4N Biogas aF(a)'!N24</f>
        <v>270</v>
      </c>
      <c r="O15" s="3341">
        <f>'33)Kleegrassil 4N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'33)Kleegrassil 4N Biogas aF(a)'!L18</f>
        <v>0</v>
      </c>
      <c r="N16" s="1736">
        <f>'33)Kleegrassil 4N Biogas aF(a)'!N18</f>
        <v>0</v>
      </c>
      <c r="O16" s="3343">
        <f>'33)Kleegrassil 4N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'33)Kleegrassil 4N Biogas aF(a)'!L27</f>
        <v>61.79249999999999</v>
      </c>
      <c r="N19" s="2072">
        <f>'33)Kleegrassil 4N Biogas aF(a)'!N27</f>
        <v>1.0298749999999999</v>
      </c>
      <c r="O19" s="2073">
        <f>'33)Kleegrassil 4N Biogas aF(a)'!P27</f>
        <v>1.0298749999999999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'33)Kleegrassil 4N Biogas aF(a)'!L31-'33)Kleegrassil 4N Biogas aF(a)'!L17</f>
        <v>59.127232499999991</v>
      </c>
      <c r="N20" s="1567">
        <f>'33)Kleegrassil 4N Biogas aF(a)'!N31-'33)Kleegrassil 4N Biogas aF(a)'!N17</f>
        <v>72.266617499999938</v>
      </c>
      <c r="O20" s="1574">
        <f>'33)Kleegrassil 4N Biogas aF(a)'!P31-'33)Kleegrassil 4N Biogas aF(a)'!P17</f>
        <v>85.406002500000113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'33)Kleegrassil 4N Biogas aF(a)'!L37</f>
        <v>0</v>
      </c>
      <c r="N21" s="1567">
        <f>'33)Kleegrassil 4N Biogas aF(a)'!N37</f>
        <v>0</v>
      </c>
      <c r="O21" s="1574">
        <f>'33)Kleegrassil 4N Biogas aF(a)'!P37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'33)Kleegrassil 4N Biogas aF(a)'!L65</f>
        <v>0</v>
      </c>
      <c r="N22" s="1567">
        <f>'33)Kleegrassil 4N Biogas aF(a)'!N65</f>
        <v>0</v>
      </c>
      <c r="O22" s="1574">
        <f>'33)Kleegrassil 4N Biogas aF(a)'!P65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'33)Kleegrassil 4N Biogas aF(a)'!L67</f>
        <v>0</v>
      </c>
      <c r="N23" s="1567">
        <f>'33)Kleegrassil 4N Biogas aF(a)'!N67</f>
        <v>0</v>
      </c>
      <c r="O23" s="1574">
        <f>'33)Kleegrassil 4N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'33)Kleegrassil 4N Biogas aF(a)'!L42</f>
        <v>195.55144628720001</v>
      </c>
      <c r="N24" s="1567">
        <f>'33)Kleegrassil 4N Biogas aF(a)'!N42</f>
        <v>195.55144628720001</v>
      </c>
      <c r="O24" s="1574">
        <f>'33)Kleegrassil 4N Biogas aF(a)'!P42</f>
        <v>195.55144628720001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'33)Kleegrassil 4N Biogas aF(a)'!L58</f>
        <v>105.03136350000001</v>
      </c>
      <c r="N25" s="1567">
        <f>'33)Kleegrassil 4N Biogas aF(a)'!N58</f>
        <v>128.3716665</v>
      </c>
      <c r="O25" s="1574">
        <f>'33)Kleegrassil 4N Biogas aF(a)'!P58</f>
        <v>151.71196950000004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'33)Kleegrassil 4N Biogas aF(a)'!L63</f>
        <v>0</v>
      </c>
      <c r="N26" s="1980">
        <f>'33)Kleegrassil 4N Biogas aF(a)'!N63</f>
        <v>0</v>
      </c>
      <c r="O26" s="1981">
        <f>'33)Kleegrassil 4N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421.50254228719996</v>
      </c>
      <c r="N27" s="1775">
        <f>SUM(N19:N26)</f>
        <v>397.21960528719995</v>
      </c>
      <c r="O27" s="2055">
        <f>SUM(O19:O26)</f>
        <v>433.69929328720013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-421.50254228719996</v>
      </c>
      <c r="N28" s="2060">
        <f>-N27</f>
        <v>-397.21960528719995</v>
      </c>
      <c r="O28" s="2061">
        <f>-O27</f>
        <v>-433.69929328720013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M27*'33)Kleegrassil 4N Biogas aF(a)'!$L$70*'33)Kleegrassil 4N Biogas aF(a)'!$P$70/12/100</f>
        <v>2.6343908892949996</v>
      </c>
      <c r="N30" s="1980">
        <f>N27*'33)Kleegrassil 4N Biogas aF(a)'!$L$70*'33)Kleegrassil 4N Biogas aF(a)'!$P$70/12/100</f>
        <v>2.4826225330449994</v>
      </c>
      <c r="O30" s="1981">
        <f>O27*'33)Kleegrassil 4N Biogas aF(a)'!$L$70*'33)Kleegrassil 4N Biogas aF(a)'!$P$70/12/100</f>
        <v>2.7106205830450012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-154.13693317649495</v>
      </c>
      <c r="N31" s="1769">
        <f>N28+N29-N30</f>
        <v>-129.70222782024496</v>
      </c>
      <c r="O31" s="1776">
        <f>O28+O29-O30</f>
        <v>-166.40991387024513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-6.6843572423548339E-2</v>
      </c>
      <c r="N32" s="1561">
        <f>IF(N12=0,0,N31/N12)</f>
        <v>-4.6020379837332974E-2</v>
      </c>
      <c r="O32" s="2047">
        <f>IF(O12=0,0,O31/O12)</f>
        <v>-4.9961019477405583E-2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-1.8567659006541208</v>
      </c>
      <c r="N33" s="1576">
        <f>IF(N13=0,0,N31/N13)</f>
        <v>-1.2783438843703607</v>
      </c>
      <c r="O33" s="2052">
        <f>IF(O13=0,0,O31/O13)</f>
        <v>-1.3878060965945997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'33)Kleegrassil 4N Biogas aF(a)'!K57</f>
        <v>8.370000000000001</v>
      </c>
      <c r="N35" s="2396">
        <f>'33)Kleegrassil 4N Biogas aF(a)'!M57</f>
        <v>8.370000000000001</v>
      </c>
      <c r="O35" s="2398">
        <f>'33)Kleegrassil 4N Biogas aF(a)'!O57</f>
        <v>8.370000000000001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'33)Kleegrassil 4N Biogas aF(a)'!L10</f>
        <v>0</v>
      </c>
      <c r="N36" s="2431">
        <f>'33)Kleegrassil 4N Biogas aF(a)'!N10</f>
        <v>0</v>
      </c>
      <c r="O36" s="2432">
        <f>'33)Kleegrassil 4N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146.47500000000002</v>
      </c>
      <c r="N37" s="1567">
        <f>$J$37*N35</f>
        <v>146.47500000000002</v>
      </c>
      <c r="O37" s="1574">
        <f>$J$37*O35</f>
        <v>146.47500000000002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'Festk-Masch-Geb'!$Z$44-'Festk-Masch-Geb'!$Z$30-'Festk-Masch-Geb'!$Z$31-'Festk-Masch-Geb'!$Z$32-'Festk-Masch-Geb'!$Z$33-'Festk-Masch-Geb'!$Z$37</f>
        <v>538.02750111531986</v>
      </c>
      <c r="N39" s="1567">
        <f>'Festk-Masch-Geb'!$Z$44-'Festk-Masch-Geb'!$Z$30-'Festk-Masch-Geb'!$Z$31-'Festk-Masch-Geb'!$Z$32-'Festk-Masch-Geb'!$Z$33-'Festk-Masch-Geb'!$Z$37</f>
        <v>538.02750111531986</v>
      </c>
      <c r="O39" s="1574">
        <f>'Festk-Masch-Geb'!$Z$44-'Festk-Masch-Geb'!$Z$30-'Festk-Masch-Geb'!$Z$31-'Festk-Masch-Geb'!$Z$32-'Festk-Masch-Geb'!$Z$33-'Festk-Masch-Geb'!$Z$37</f>
        <v>538.02750111531986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1192.3225011153197</v>
      </c>
      <c r="N43" s="1991">
        <f>SUM(N37:N42)</f>
        <v>882.32250111531994</v>
      </c>
      <c r="O43" s="1994">
        <f>SUM(O37:O42)</f>
        <v>882.32250111531994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1616.4594342918147</v>
      </c>
      <c r="N46" s="2041">
        <f>N27+N30+N43</f>
        <v>1282.0247289355648</v>
      </c>
      <c r="O46" s="2080">
        <f>O27+O30+O43</f>
        <v>1318.7324149855651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-1616.4594342918147</v>
      </c>
      <c r="N47" s="2227">
        <f>N45-N46</f>
        <v>-1282.0247289355648</v>
      </c>
      <c r="O47" s="2228">
        <f>O45-O46</f>
        <v>-1318.7324149855651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-1346.4594342918147</v>
      </c>
      <c r="N49" s="1991">
        <f>N47+N48</f>
        <v>-1012.0247289355648</v>
      </c>
      <c r="O49" s="1994">
        <f>O47+O48</f>
        <v>-1048.7324149855651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1346.4594342918147</v>
      </c>
      <c r="N51" s="1771">
        <f>N46-N48</f>
        <v>1012.0247289355648</v>
      </c>
      <c r="O51" s="3358">
        <f>O46-O48</f>
        <v>1048.7324149855651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4.7244190676905777</v>
      </c>
      <c r="N52" s="2335">
        <f>IF(N8=0,0,N$51/N8)</f>
        <v>2.9053341500542533</v>
      </c>
      <c r="O52" s="2336">
        <f>IF(O8=0,0,O$51/O8)</f>
        <v>2.5475281335681745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15.748063558968592</v>
      </c>
      <c r="N53" s="2335">
        <f>IF(N7=0,0,N$51/N7)</f>
        <v>9.6844471668475105</v>
      </c>
      <c r="O53" s="2336">
        <f>IF(O7=0,0,O$51/O7)</f>
        <v>8.4917604452272482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36.847082047651242</v>
      </c>
      <c r="N54" s="2335">
        <f t="shared" si="3"/>
        <v>22.659523693613096</v>
      </c>
      <c r="O54" s="2336">
        <f t="shared" si="3"/>
        <v>19.868893256789775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0.58391040263139016</v>
      </c>
      <c r="N55" s="2219">
        <f t="shared" si="3"/>
        <v>0.35908220863357465</v>
      </c>
      <c r="O55" s="2220">
        <f t="shared" si="3"/>
        <v>0.31485948999730246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16.219733406427508</v>
      </c>
      <c r="N56" s="2219">
        <f>IF(N13=0,0,N$51/N13)</f>
        <v>9.9745057953770768</v>
      </c>
      <c r="O56" s="2220">
        <f>IF(O13=0,0,O$51/O13)</f>
        <v>8.7460969443695138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0.16219733406427503</v>
      </c>
      <c r="N57" s="2222">
        <f>N51/$N$12*10/$F$57</f>
        <v>9.9745057953770741E-2</v>
      </c>
      <c r="O57" s="2223">
        <f>O51/$O$12*10/$F$57</f>
        <v>8.7460969443695136E-2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1346.4594342918147</v>
      </c>
      <c r="N58" s="1769">
        <f>N51-N38</f>
        <v>1012.0247289355648</v>
      </c>
      <c r="O58" s="1776">
        <f>O51-O38</f>
        <v>1048.7324149855651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15.748063558968592</v>
      </c>
      <c r="N59" s="3416">
        <f>N58/N7</f>
        <v>9.6844471668475105</v>
      </c>
      <c r="O59" s="3417">
        <f>O58/O7</f>
        <v>8.4917604452272482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0.58391040263139016</v>
      </c>
      <c r="N60" s="2130">
        <f>IF(N12=0,0,N$58/N12)</f>
        <v>0.35908220863357465</v>
      </c>
      <c r="O60" s="2217">
        <f>IF(O12=0,0,O$58/O12)</f>
        <v>0.31485948999730246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0.16219733406427503</v>
      </c>
      <c r="N61" s="2130">
        <f>N58/$N$12*10/$F$57</f>
        <v>9.9745057953770741E-2</v>
      </c>
      <c r="O61" s="3422">
        <f>O58/$O$12*10/$F$57</f>
        <v>8.7460969443695136E-2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16.219733406427508</v>
      </c>
      <c r="N62" s="1874">
        <f>IF(N13=0,0,N$58/N13)</f>
        <v>9.9745057953770768</v>
      </c>
      <c r="O62" s="2032">
        <f>IF(O13=0,0,O$58/O13)</f>
        <v>8.7460969443695138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123.55412338929499</v>
      </c>
      <c r="N64" s="1772">
        <f>SUM(N19:N23)+N30</f>
        <v>75.779115033044945</v>
      </c>
      <c r="O64" s="1773">
        <f>SUM(O19:O23)+O30</f>
        <v>89.146498083045117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5.3580922007469847E-2</v>
      </c>
      <c r="N65" s="2031">
        <f>IF(N12=0,0,N64/N12)</f>
        <v>2.6887615703801649E-2</v>
      </c>
      <c r="O65" s="2032">
        <f>IF(O12=0,0,O64/O12)</f>
        <v>2.6764330462560774E-2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985.08531090251984</v>
      </c>
      <c r="N66" s="2038">
        <f>N24+N25+N26+N39+N37</f>
        <v>1008.4256139025199</v>
      </c>
      <c r="O66" s="2039">
        <f>O24+O25+O26+O39+O37</f>
        <v>1031.7659169025201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0.42719561084875324</v>
      </c>
      <c r="N67" s="2168">
        <f>IF(N12=0,0,N66/N12)</f>
        <v>0.35780518630571972</v>
      </c>
      <c r="O67" s="2187">
        <f>IF(O12=0,0,O66/O12)</f>
        <v>0.30976566162208125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1231</v>
      </c>
    </row>
    <row r="70" spans="2:41" x14ac:dyDescent="0.2">
      <c r="C70" s="7" t="s">
        <v>174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85&amp;9
&amp;R&amp;12&amp;F
&amp;A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3">
    <pageSetUpPr fitToPage="1"/>
  </sheetPr>
  <dimension ref="A1:CA73"/>
  <sheetViews>
    <sheetView showGridLines="0" showZeros="0" zoomScaleNormal="100" workbookViewId="0">
      <pane xSplit="10" ySplit="5" topLeftCell="K39" activePane="bottomRight" state="frozen"/>
      <selection activeCell="G1" sqref="G1:I1"/>
      <selection pane="topRight" activeCell="G1" sqref="G1:I1"/>
      <selection pane="bottomLeft" activeCell="G1" sqref="G1:I1"/>
      <selection pane="bottomRight" activeCell="K53" sqref="K53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9.5703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692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1391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120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32</v>
      </c>
      <c r="L7" s="706">
        <v>34</v>
      </c>
      <c r="M7" s="702">
        <v>32</v>
      </c>
      <c r="N7" s="706">
        <v>34</v>
      </c>
      <c r="O7" s="702">
        <v>32</v>
      </c>
      <c r="P7" s="706">
        <v>34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296.875</v>
      </c>
      <c r="M9" s="809">
        <f>M5*(100-M6)/100</f>
        <v>114</v>
      </c>
      <c r="N9" s="810">
        <f>IF(M7=0,0,M9/M7*100)</f>
        <v>356.25</v>
      </c>
      <c r="O9" s="720">
        <f>O5*(100-O6)/100</f>
        <v>133</v>
      </c>
      <c r="P9" s="721">
        <f>IF(O7=0,0,O9/O7*100)</f>
        <v>415.625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43.658088235294116</v>
      </c>
      <c r="M10" s="286"/>
      <c r="N10" s="811">
        <f>IF(R10=TRUE,IF(M8=0,0,1/M8*N9),0)</f>
        <v>52.389705882352942</v>
      </c>
      <c r="O10" s="173"/>
      <c r="P10" s="722">
        <f>IF(R10=TRUE,IF(O8=0,0,1/O8*P9),0)</f>
        <v>61.121323529411768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259.85294117647055</v>
      </c>
      <c r="M11" s="812">
        <f>M9*(100-N6)/100</f>
        <v>106.02</v>
      </c>
      <c r="N11" s="813">
        <f>IF(N7=0,0,M11/N7*100)</f>
        <v>311.8235294117647</v>
      </c>
      <c r="O11" s="708">
        <f>O9*(100-P6)/100</f>
        <v>123.69</v>
      </c>
      <c r="P11" s="709">
        <f>IF(P7=0,0,O11/P7*100)</f>
        <v>363.79411764705878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38.213667820069197</v>
      </c>
      <c r="M12" s="801"/>
      <c r="N12" s="814">
        <f>IF(N8=0,0,1/N8*N11)</f>
        <v>45.856401384083043</v>
      </c>
      <c r="O12" s="487"/>
      <c r="P12" s="502">
        <f>IF(P8=0,0,1/P8*P11)</f>
        <v>53.499134948096881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2562.1499999999996</v>
      </c>
      <c r="L15" s="418"/>
      <c r="M15" s="816">
        <f>M$11*M13</f>
        <v>3074.58</v>
      </c>
      <c r="N15" s="784"/>
      <c r="O15" s="497">
        <f>O$11*O13</f>
        <v>3587.0099999999998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92.23739999999998</v>
      </c>
      <c r="L16" s="417"/>
      <c r="M16" s="817">
        <f>M$11*M14</f>
        <v>110.68487999999998</v>
      </c>
      <c r="N16" s="428"/>
      <c r="O16" s="498">
        <f>O$11*O14</f>
        <v>129.13235999999998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557.82340833333342</v>
      </c>
      <c r="M17" s="2600">
        <f>K17</f>
        <v>1</v>
      </c>
      <c r="N17" s="2591">
        <f>M17*(N33*(1-$AC$14)+N34*(1-$AC$15)+N35*(1-$AC$16)+N36*(1-$AC$17))</f>
        <v>669.38809000000003</v>
      </c>
      <c r="O17" s="2601">
        <f>K17</f>
        <v>1</v>
      </c>
      <c r="P17" s="2590">
        <f>O17*(P33*(1-$AC$14)+P34*(1-$AC$15)+P35*(1-$AC$16)+P36*(1-$AC$17))</f>
        <v>780.95277166666665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I19" s="80">
        <f>IF($B19=0,0,VLOOKUP($B19,Ausglleist!$C$8:$O$44,11))</f>
        <v>0</v>
      </c>
      <c r="J19" s="4063">
        <f>IF($B19=0,0,VLOOKUP($B19,Ausglleist!$C$8:$O$44,13,FALSE))</f>
        <v>0</v>
      </c>
      <c r="K19" s="327"/>
      <c r="L19" s="201">
        <f>IF(R19=TRUE,$I19,0)</f>
        <v>0</v>
      </c>
      <c r="M19" s="787"/>
      <c r="N19" s="808">
        <f>IF(U19=TRUE,$I19,0)</f>
        <v>0</v>
      </c>
      <c r="O19" s="327"/>
      <c r="P19" s="202">
        <f>IF(X19=TRUE,$I19,0)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I20" s="80">
        <f>IF($B20=0,0,VLOOKUP($B20,Ausglleist!$C$8:$O$44,11))</f>
        <v>0</v>
      </c>
      <c r="J20" s="4063">
        <f>IF($B20=0,0,VLOOKUP($B20,Ausglleist!$C$8:$O$44,13,FALSE))</f>
        <v>0</v>
      </c>
      <c r="K20" s="327"/>
      <c r="L20" s="201">
        <f>IF(R20=TRUE,$I20,0)</f>
        <v>0</v>
      </c>
      <c r="M20" s="787"/>
      <c r="N20" s="808">
        <f>IF(U20=TRUE,$I20,0)</f>
        <v>0</v>
      </c>
      <c r="O20" s="327"/>
      <c r="P20" s="202">
        <f>IF(X20=TRUE,$I20,0)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I21" s="80">
        <f>IF($B21=0,0,VLOOKUP($B21,Ausglleist!$C$8:$O$44,11))</f>
        <v>0</v>
      </c>
      <c r="J21" s="4063">
        <f>IF($B21=0,0,VLOOKUP($B21,Ausglleist!$C$8:$O$44,13,FALSE))</f>
        <v>0</v>
      </c>
      <c r="K21" s="327"/>
      <c r="L21" s="201">
        <f>IF(R21=TRUE,$I21,0)</f>
        <v>0</v>
      </c>
      <c r="M21" s="787"/>
      <c r="N21" s="808">
        <f>IF(U21=TRUE,$I21,0)</f>
        <v>0</v>
      </c>
      <c r="O21" s="327"/>
      <c r="P21" s="202">
        <f>IF(X21=TRUE,$I21,0)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I22" s="80">
        <f>IF($B22=0,0,VLOOKUP($B22,Ausglleist!$C$8:$O$44,11))</f>
        <v>0</v>
      </c>
      <c r="J22" s="4063">
        <f>IF($B22=0,0,VLOOKUP($B22,Ausglleist!$C$8:$O$44,13,FALSE))</f>
        <v>0</v>
      </c>
      <c r="K22" s="327"/>
      <c r="L22" s="201">
        <f>IF(R22=TRUE,$I22,0)</f>
        <v>0</v>
      </c>
      <c r="M22" s="787"/>
      <c r="N22" s="808">
        <f>IF(U22=TRUE,$I22,0)</f>
        <v>0</v>
      </c>
      <c r="O22" s="327"/>
      <c r="P22" s="202">
        <f>IF(X22=TRUE,$I22,0)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54"/>
      <c r="I23" s="200">
        <f>IF($B23=0,0,VLOOKUP($B23,Ausglleist!$C$8:$O$44,11))</f>
        <v>0</v>
      </c>
      <c r="J23" s="4064">
        <f>IF($B23=0,0,VLOOKUP($B23,Ausglleist!$C$8:$O$44,13,FALSE))</f>
        <v>0</v>
      </c>
      <c r="K23" s="328"/>
      <c r="L23" s="201">
        <f>IF(R23=TRUE,$I23,0)</f>
        <v>0</v>
      </c>
      <c r="M23" s="788"/>
      <c r="N23" s="808">
        <f>IF(U23=TRUE,$I23,0)</f>
        <v>0</v>
      </c>
      <c r="O23" s="328"/>
      <c r="P23" s="202">
        <f>IF(X23=TRUE,$I23,0)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61.79249999999999</v>
      </c>
      <c r="M27" s="804"/>
      <c r="N27" s="786">
        <f>SUM(N29:N30)</f>
        <v>1.0298749999999999</v>
      </c>
      <c r="O27" s="330"/>
      <c r="P27" s="325">
        <f>SUM(P29:P30)</f>
        <v>1.0298749999999999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3.85</v>
      </c>
      <c r="I29" s="711">
        <f>H29*($H$27+100)/100</f>
        <v>4.1194999999999995</v>
      </c>
      <c r="J29" s="91"/>
      <c r="K29" s="440">
        <v>15</v>
      </c>
      <c r="L29" s="337">
        <f>$I29*K29</f>
        <v>61.79249999999999</v>
      </c>
      <c r="M29" s="440">
        <v>0.25</v>
      </c>
      <c r="N29" s="791">
        <f>$I29*M29</f>
        <v>1.0298749999999999</v>
      </c>
      <c r="O29" s="440">
        <v>0.25</v>
      </c>
      <c r="P29" s="337">
        <f>$I29*O29</f>
        <v>1.0298749999999999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623.52033333333338</v>
      </c>
      <c r="M31" s="819"/>
      <c r="N31" s="786">
        <f>SUM(N33:N36)</f>
        <v>748.22439999999995</v>
      </c>
      <c r="O31" s="334"/>
      <c r="P31" s="325">
        <f>SUM(P33:P36)</f>
        <v>872.92846666666651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2.5</v>
      </c>
      <c r="H33">
        <v>-1.1000000000000001</v>
      </c>
      <c r="I33"/>
      <c r="J33" s="172"/>
      <c r="K33" s="336">
        <f>$G$33*K9+$H$33*K5</f>
        <v>127.49999999999999</v>
      </c>
      <c r="L33" s="337">
        <f>K33*$E33</f>
        <v>218.98974999999999</v>
      </c>
      <c r="M33" s="820">
        <f>$G$33*M9+$H$33*M5</f>
        <v>153</v>
      </c>
      <c r="N33" s="791">
        <f>M33*$E33</f>
        <v>262.78770000000003</v>
      </c>
      <c r="O33" s="336">
        <f>$G$33*O9+$H$33*O5</f>
        <v>178.5</v>
      </c>
      <c r="P33" s="337">
        <f>O33*$E33</f>
        <v>306.58564999999999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</v>
      </c>
      <c r="H34" s="386"/>
      <c r="I34"/>
      <c r="J34" s="172"/>
      <c r="K34" s="336">
        <f>G34*$K$9+H34</f>
        <v>66.5</v>
      </c>
      <c r="L34" s="337">
        <f>K34*$E34</f>
        <v>75.178249999999991</v>
      </c>
      <c r="M34" s="820">
        <f>G34*$M$9+H34</f>
        <v>79.8</v>
      </c>
      <c r="N34" s="791">
        <f>M34*$E34</f>
        <v>90.213899999999981</v>
      </c>
      <c r="O34" s="336">
        <f>G34*$O$9+H34</f>
        <v>93.1</v>
      </c>
      <c r="P34" s="337">
        <f>O34*$E34</f>
        <v>105.24954999999999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3.1</v>
      </c>
      <c r="H35" s="386"/>
      <c r="I35"/>
      <c r="J35" s="172"/>
      <c r="K35" s="336">
        <f>G35*$K$9+H35</f>
        <v>294.5</v>
      </c>
      <c r="L35" s="337">
        <f>K35*$E35</f>
        <v>309.56858333333332</v>
      </c>
      <c r="M35" s="820">
        <f>G35*$M$9+H35</f>
        <v>353.40000000000003</v>
      </c>
      <c r="N35" s="791">
        <f>M35*$E35</f>
        <v>371.48230000000001</v>
      </c>
      <c r="O35" s="336">
        <f>G35*$O$9+H35</f>
        <v>412.3</v>
      </c>
      <c r="P35" s="337">
        <f>O35*$E35</f>
        <v>433.39601666666664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33.25</v>
      </c>
      <c r="L36" s="333">
        <f>K36*$E36</f>
        <v>19.783749999999998</v>
      </c>
      <c r="M36" s="821">
        <f>G36*$M$9+H36</f>
        <v>39.9</v>
      </c>
      <c r="N36" s="792">
        <f>M36*$E36</f>
        <v>23.740499999999997</v>
      </c>
      <c r="O36" s="338">
        <f>G36*$O$9+H36</f>
        <v>46.55</v>
      </c>
      <c r="P36" s="333">
        <f>O36*$E36</f>
        <v>27.697249999999997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491.04373688041824</v>
      </c>
      <c r="M42" s="823"/>
      <c r="N42" s="786">
        <f>SUM(W45:W55)</f>
        <v>525.39142254178182</v>
      </c>
      <c r="O42" s="425"/>
      <c r="P42" s="325">
        <f>SUM(Z45:Z55)</f>
        <v>559.73910820314552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0.82</v>
      </c>
      <c r="J48" s="470">
        <f>IF($B48=0,0,VLOOKUP($B48,Arbeitsgänge!$B$27:$T$80,14))</f>
        <v>11.921917173599995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29</v>
      </c>
      <c r="C50" s="1554"/>
      <c r="D50" s="137"/>
      <c r="E50" s="8"/>
      <c r="F50" s="8"/>
      <c r="G50" s="731"/>
      <c r="H50" s="726" t="str">
        <f>IF($B50=0,0,VLOOKUP($B50,Arbeitsgänge!$B$27:$T$80,7))</f>
        <v>120 Kw</v>
      </c>
      <c r="I50" s="727">
        <f>IF($B50=0,0,VLOOKUP($B50,Arbeitsgänge!$B$27:$T$80,12))</f>
        <v>0.3</v>
      </c>
      <c r="J50" s="470">
        <f>IF($B50=0,0,VLOOKUP($B50,Arbeitsgänge!$B$27:$T$80,14))</f>
        <v>18.5916444</v>
      </c>
      <c r="K50" s="375">
        <v>4</v>
      </c>
      <c r="L50" s="337">
        <f t="shared" si="0"/>
        <v>74.366577599999999</v>
      </c>
      <c r="M50" s="375">
        <v>4</v>
      </c>
      <c r="N50" s="791">
        <f t="shared" si="1"/>
        <v>74.366577599999999</v>
      </c>
      <c r="O50" s="375">
        <v>4</v>
      </c>
      <c r="P50" s="337">
        <f t="shared" si="2"/>
        <v>74.366577599999999</v>
      </c>
      <c r="Q50" s="528"/>
      <c r="R50" s="1348">
        <f t="shared" si="3"/>
        <v>1.2</v>
      </c>
      <c r="S50" s="471" t="e">
        <f>K50*#REF!</f>
        <v>#REF!</v>
      </c>
      <c r="T50" s="258">
        <f t="shared" si="4"/>
        <v>74.366577599999999</v>
      </c>
      <c r="U50" s="1349">
        <f t="shared" si="5"/>
        <v>1.2</v>
      </c>
      <c r="V50" s="1350" t="e">
        <f>M50*#REF!</f>
        <v>#REF!</v>
      </c>
      <c r="W50" s="827">
        <f t="shared" si="6"/>
        <v>74.366577599999999</v>
      </c>
      <c r="X50" s="1351">
        <f t="shared" si="7"/>
        <v>1.2</v>
      </c>
      <c r="Y50" s="471" t="e">
        <f>O50*#REF!</f>
        <v>#REF!</v>
      </c>
      <c r="Z50" s="258">
        <f t="shared" si="8"/>
        <v>74.366577599999999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30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0.35</v>
      </c>
      <c r="J51" s="470">
        <f>IF($B51=0,0,VLOOKUP($B51,Arbeitsgänge!$B$27:$T$80,14))</f>
        <v>8.5775754679999991</v>
      </c>
      <c r="K51" s="375">
        <v>3</v>
      </c>
      <c r="L51" s="337">
        <f t="shared" si="0"/>
        <v>25.732726403999997</v>
      </c>
      <c r="M51" s="375">
        <v>3</v>
      </c>
      <c r="N51" s="791">
        <f t="shared" si="1"/>
        <v>25.732726403999997</v>
      </c>
      <c r="O51" s="375">
        <v>3</v>
      </c>
      <c r="P51" s="337">
        <f t="shared" si="2"/>
        <v>25.732726403999997</v>
      </c>
      <c r="Q51" s="528"/>
      <c r="R51" s="1348">
        <f t="shared" si="3"/>
        <v>1.0499999999999998</v>
      </c>
      <c r="S51" s="471" t="e">
        <f>K51*#REF!</f>
        <v>#REF!</v>
      </c>
      <c r="T51" s="258">
        <f t="shared" si="4"/>
        <v>25.732726403999997</v>
      </c>
      <c r="U51" s="1349">
        <f t="shared" si="5"/>
        <v>1.0499999999999998</v>
      </c>
      <c r="V51" s="1350" t="e">
        <f>M51*#REF!</f>
        <v>#REF!</v>
      </c>
      <c r="W51" s="827">
        <f t="shared" si="6"/>
        <v>25.732726403999997</v>
      </c>
      <c r="X51" s="1351">
        <f t="shared" si="7"/>
        <v>1.0499999999999998</v>
      </c>
      <c r="Y51" s="471" t="e">
        <f>O51*#REF!</f>
        <v>#REF!</v>
      </c>
      <c r="Z51" s="258">
        <f t="shared" si="8"/>
        <v>25.732726403999997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31</v>
      </c>
      <c r="C52" s="155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0.26</v>
      </c>
      <c r="J52" s="470">
        <f>IF($B52=0,0,VLOOKUP($B52,Arbeitsgänge!$B$27:$T$80,14))</f>
        <v>8.8941188640000011</v>
      </c>
      <c r="K52" s="375">
        <v>4</v>
      </c>
      <c r="L52" s="337">
        <f t="shared" si="0"/>
        <v>35.576475456000004</v>
      </c>
      <c r="M52" s="375">
        <v>4</v>
      </c>
      <c r="N52" s="791">
        <f t="shared" si="1"/>
        <v>35.576475456000004</v>
      </c>
      <c r="O52" s="375">
        <v>4</v>
      </c>
      <c r="P52" s="337">
        <f t="shared" si="2"/>
        <v>35.576475456000004</v>
      </c>
      <c r="Q52" s="528"/>
      <c r="R52" s="1348">
        <f t="shared" si="3"/>
        <v>1.04</v>
      </c>
      <c r="S52" s="471" t="e">
        <f>K52*#REF!</f>
        <v>#REF!</v>
      </c>
      <c r="T52" s="258">
        <f t="shared" si="4"/>
        <v>35.576475456000004</v>
      </c>
      <c r="U52" s="1349">
        <f t="shared" si="5"/>
        <v>1.04</v>
      </c>
      <c r="V52" s="1350" t="e">
        <f>M52*#REF!</f>
        <v>#REF!</v>
      </c>
      <c r="W52" s="827">
        <f t="shared" si="6"/>
        <v>35.576475456000004</v>
      </c>
      <c r="X52" s="1351">
        <f t="shared" si="7"/>
        <v>1.04</v>
      </c>
      <c r="Y52" s="471" t="e">
        <f>O52*#REF!</f>
        <v>#REF!</v>
      </c>
      <c r="Z52" s="258">
        <f t="shared" si="8"/>
        <v>35.576475456000004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24</v>
      </c>
      <c r="C53" s="1554"/>
      <c r="D53" s="137" t="str">
        <f>IF($B53=0,0,VLOOKUP($B53,Arbeitsgänge!$B$27:$O$75,2))</f>
        <v>Grassilotransp Anwelkgut 3S-Kipper (10t Nutzl.) 7,7 t FM/ha</v>
      </c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0.66</v>
      </c>
      <c r="J53" s="470">
        <f>IF($B53=0,0,VLOOKUP($B53,Arbeitsgänge!$B$27:$T$80,14))</f>
        <v>23.779723352000001</v>
      </c>
      <c r="K53" s="375">
        <f>L9/77</f>
        <v>3.8555194805194803</v>
      </c>
      <c r="L53" s="337">
        <f t="shared" si="0"/>
        <v>91.683186625000005</v>
      </c>
      <c r="M53" s="375">
        <f>N9/77</f>
        <v>4.6266233766233764</v>
      </c>
      <c r="N53" s="791">
        <f t="shared" si="1"/>
        <v>110.01982395</v>
      </c>
      <c r="O53" s="375">
        <f>P9/77</f>
        <v>5.3977272727272725</v>
      </c>
      <c r="P53" s="337">
        <f t="shared" si="2"/>
        <v>128.35646127500002</v>
      </c>
      <c r="Q53" s="528"/>
      <c r="R53" s="1348">
        <f t="shared" si="3"/>
        <v>2.5446428571428572</v>
      </c>
      <c r="S53" s="471" t="e">
        <f>K53*#REF!</f>
        <v>#REF!</v>
      </c>
      <c r="T53" s="258">
        <f t="shared" si="4"/>
        <v>91.683186625000005</v>
      </c>
      <c r="U53" s="1349">
        <f t="shared" si="5"/>
        <v>3.0535714285714284</v>
      </c>
      <c r="V53" s="1350" t="e">
        <f>M53*#REF!</f>
        <v>#REF!</v>
      </c>
      <c r="W53" s="827">
        <f t="shared" si="6"/>
        <v>110.01982395</v>
      </c>
      <c r="X53" s="1351">
        <f t="shared" si="7"/>
        <v>3.5625</v>
      </c>
      <c r="Y53" s="471" t="e">
        <f>O53*#REF!</f>
        <v>#REF!</v>
      </c>
      <c r="Z53" s="258">
        <f t="shared" si="8"/>
        <v>128.35646127500002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37</v>
      </c>
      <c r="C54" s="1554"/>
      <c r="D54" s="137" t="str">
        <f>IF($B54=0,0,VLOOKUP($B54,Arbeitsgänge!$B$27:$O$75,2))</f>
        <v>Grassilo festwalzen 7,7 t FM/ha mit Schlepper</v>
      </c>
      <c r="E54" s="8"/>
      <c r="F54" s="8"/>
      <c r="G54" s="731"/>
      <c r="H54" s="726" t="str">
        <f>IF($B54=0,0,VLOOKUP($B54,Arbeitsgänge!$B$27:$T$80,7))</f>
        <v>102 kW</v>
      </c>
      <c r="I54" s="727">
        <f>IF($B54=0,0,VLOOKUP($B54,Arbeitsgänge!$B$27:$T$80,12))</f>
        <v>0.8</v>
      </c>
      <c r="J54" s="470">
        <f>IF($B54=0,0,VLOOKUP($B54,Arbeitsgänge!$B$27:$T$80,14))</f>
        <v>20.763801632</v>
      </c>
      <c r="K54" s="375">
        <f>L9/77</f>
        <v>3.8555194805194803</v>
      </c>
      <c r="L54" s="337">
        <f t="shared" si="0"/>
        <v>80.055241681818174</v>
      </c>
      <c r="M54" s="375">
        <f>N9/77</f>
        <v>4.6266233766233764</v>
      </c>
      <c r="N54" s="791">
        <f t="shared" si="1"/>
        <v>96.066290018181817</v>
      </c>
      <c r="O54" s="375">
        <f>P9/77</f>
        <v>5.3977272727272725</v>
      </c>
      <c r="P54" s="337">
        <f t="shared" si="2"/>
        <v>112.07733835454545</v>
      </c>
      <c r="Q54" s="528"/>
      <c r="R54" s="1348">
        <f t="shared" si="3"/>
        <v>3.0844155844155843</v>
      </c>
      <c r="S54" s="471" t="e">
        <f>K54*#REF!</f>
        <v>#REF!</v>
      </c>
      <c r="T54" s="258">
        <f t="shared" si="4"/>
        <v>80.055241681818174</v>
      </c>
      <c r="U54" s="1349">
        <f t="shared" si="5"/>
        <v>3.7012987012987013</v>
      </c>
      <c r="V54" s="1350" t="e">
        <f>M54*#REF!</f>
        <v>#REF!</v>
      </c>
      <c r="W54" s="827">
        <f t="shared" si="6"/>
        <v>96.066290018181817</v>
      </c>
      <c r="X54" s="1351">
        <f t="shared" si="7"/>
        <v>4.3181818181818183</v>
      </c>
      <c r="Y54" s="471" t="e">
        <f>O54*#REF!</f>
        <v>#REF!</v>
      </c>
      <c r="Z54" s="258">
        <f t="shared" si="8"/>
        <v>112.07733835454545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12.749058441558441</v>
      </c>
      <c r="L56" s="341"/>
      <c r="M56" s="797">
        <f>SUM($U$45:$U$55)</f>
        <v>13.874870129870128</v>
      </c>
      <c r="N56" s="798"/>
      <c r="O56" s="340">
        <f>SUM($X$45:$X$55)</f>
        <v>15.000681818181819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22.749058441558439</v>
      </c>
      <c r="L57" s="343"/>
      <c r="M57" s="799">
        <f>IF(M56+(M56*$G$57/100)&gt;M56+10,M56+10,M56+(M56*$G$57/100))</f>
        <v>23.874870129870128</v>
      </c>
      <c r="N57" s="800"/>
      <c r="O57" s="342">
        <f>IF(O56+(O56*$G$57/100)&gt;O56+10,O56+10,O56+(O56*$G$57/100))</f>
        <v>25.000681818181818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291.47767031250004</v>
      </c>
      <c r="M58" s="826"/>
      <c r="N58" s="786">
        <f>SUM(N60:N62)</f>
        <v>333.58920437500001</v>
      </c>
      <c r="O58" s="344"/>
      <c r="P58" s="325">
        <f>SUM(P60:P62)</f>
        <v>375.70073843750004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60"/>
      <c r="F60" s="60"/>
      <c r="G60" s="60"/>
      <c r="H60" s="3012">
        <v>170</v>
      </c>
      <c r="I60" s="3013">
        <f>H60*($H$58+100)/100</f>
        <v>202.3</v>
      </c>
      <c r="J60" s="400"/>
      <c r="K60" s="3014">
        <v>0.9</v>
      </c>
      <c r="L60" s="3015">
        <f>K60*I60</f>
        <v>182.07000000000002</v>
      </c>
      <c r="M60" s="3014">
        <v>1</v>
      </c>
      <c r="N60" s="3016">
        <f>M60*I60</f>
        <v>202.3</v>
      </c>
      <c r="O60" s="3014">
        <v>1.1000000000000001</v>
      </c>
      <c r="P60" s="3015">
        <f>O60*I60</f>
        <v>222.53000000000003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74"/>
      <c r="F62" s="74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20.430937499999999</v>
      </c>
      <c r="L62" s="308">
        <f>K62*I62</f>
        <v>109.4076703125</v>
      </c>
      <c r="M62" s="2626">
        <f>M11/($V$63)/10*($V$65*M17)</f>
        <v>24.517125</v>
      </c>
      <c r="N62" s="828">
        <f>M62*I62</f>
        <v>131.289204375</v>
      </c>
      <c r="O62" s="2626">
        <f>O11/($V$63)/10*($V$65*O17)</f>
        <v>28.603312500000001</v>
      </c>
      <c r="P62" s="308">
        <f>O62*I62</f>
        <v>153.17073843750001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0.32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1167"/>
      <c r="T65" s="2598"/>
      <c r="U65" s="2598"/>
      <c r="V65" s="2599">
        <v>0.74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181">
        <f>IF($H$66=0,0,K15*0.3)</f>
        <v>0</v>
      </c>
      <c r="L66" s="348"/>
      <c r="M66" s="3181">
        <f>IF($H$66=0,0,M15*0.3)</f>
        <v>0</v>
      </c>
      <c r="N66" s="789"/>
      <c r="O66" s="3181">
        <f>IF($H$66=0,0,O15*0.3)</f>
        <v>0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41.65</v>
      </c>
      <c r="M67" s="830"/>
      <c r="N67" s="786">
        <f>SUM(N68:N69)</f>
        <v>41.65</v>
      </c>
      <c r="O67" s="330"/>
      <c r="P67" s="325">
        <f>SUM(P68:P69)</f>
        <v>41.65</v>
      </c>
      <c r="Q67" s="1166"/>
    </row>
    <row r="68" spans="1:79" s="51" customFormat="1" ht="15" customHeight="1" x14ac:dyDescent="0.2">
      <c r="A68" s="195" t="s">
        <v>552</v>
      </c>
      <c r="B68" s="937">
        <v>3</v>
      </c>
      <c r="C68" s="104"/>
      <c r="D68" s="137" t="str">
        <f>IF($B68=0,0,VLOOKUP($B68,'Preise-Stammdaten'!$B$61:'Preise-Stammdaten'!$N$66,2))</f>
        <v xml:space="preserve">Grassilage:Folie, Anstrich, Säcke </v>
      </c>
      <c r="E68" s="8"/>
      <c r="F68" s="105"/>
      <c r="G68" s="105"/>
      <c r="H68" s="1377"/>
      <c r="I68" s="1374">
        <f>IF($B68=0,0,VLOOKUP($B68,'Preise-Stammdaten'!$B$61:$N$66,13))</f>
        <v>41.65</v>
      </c>
      <c r="J68" s="146"/>
      <c r="K68" s="1181"/>
      <c r="L68" s="713">
        <f>$I$68</f>
        <v>41.65</v>
      </c>
      <c r="M68" s="1181"/>
      <c r="N68" s="831">
        <f>$I$68</f>
        <v>41.65</v>
      </c>
      <c r="O68" s="1181"/>
      <c r="P68" s="713">
        <f>$I$68</f>
        <v>41.65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86&amp;9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0" r:id="rId31" name="Check Box 3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1" r:id="rId32" name="Check Box 3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4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'34)Kleegrassil 4N Biog ex S(a)'!J2</f>
        <v>2022</v>
      </c>
      <c r="K2" s="2504" t="s">
        <v>858</v>
      </c>
      <c r="L2" s="2502"/>
      <c r="M2" s="2505"/>
      <c r="N2" s="2529"/>
      <c r="O2" s="2530" t="str">
        <f>'34)Kleegrassil 4N Biog ex S(a)'!M2</f>
        <v>Kleegrassilage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2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'34)Kleegrassil 4N Biog ex S(a)'!H3</f>
        <v>4 Nutzungen;Silage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'34)Kleegrassil 4N Biog ex S(a)'!K5</f>
        <v>100</v>
      </c>
      <c r="N6" s="1735">
        <f>'34)Kleegrassil 4N Biog ex S(a)'!M5</f>
        <v>120</v>
      </c>
      <c r="O6" s="1743">
        <f>'34)Kleegrassil 4N Biog ex S(a)'!O5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'34)Kleegrassil 4N Biog ex S(a)'!K9</f>
        <v>95</v>
      </c>
      <c r="N7" s="1736">
        <f>'34)Kleegrassil 4N Biog ex S(a)'!M9</f>
        <v>114</v>
      </c>
      <c r="O7" s="1744">
        <f>'34)Kleegrassil 4N Biog ex S(a)'!O9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'34)Kleegrassil 4N Biog ex S(a)'!L9</f>
        <v>296.875</v>
      </c>
      <c r="N8" s="1737">
        <f>'34)Kleegrassil 4N Biog ex S(a)'!N9</f>
        <v>356.25</v>
      </c>
      <c r="O8" s="1583">
        <f>'34)Kleegrassil 4N Biog ex S(a)'!P9</f>
        <v>415.625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'34)Kleegrassil 4N Biog ex S(a)'!K11</f>
        <v>88.35</v>
      </c>
      <c r="N9" s="1562">
        <f>'34)Kleegrassil 4N Biog ex S(a)'!M11</f>
        <v>106.02</v>
      </c>
      <c r="O9" s="1747">
        <f>'34)Kleegrassil 4N Biog ex S(a)'!O11</f>
        <v>123.69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'34)Kleegrassil 4N Biog ex S(a)'!L11</f>
        <v>259.85294117647055</v>
      </c>
      <c r="N10" s="1582">
        <f>'34)Kleegrassil 4N Biog ex S(a)'!N11</f>
        <v>311.8235294117647</v>
      </c>
      <c r="O10" s="2014">
        <f>'34)Kleegrassil 4N Biog ex S(a)'!P11</f>
        <v>363.79411764705878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'34)Kleegrassil 4N Biog ex S(a)'!L12</f>
        <v>38.213667820069197</v>
      </c>
      <c r="N11" s="1818">
        <f>'34)Kleegrassil 4N Biog ex S(a)'!N12</f>
        <v>45.856401384083043</v>
      </c>
      <c r="O11" s="1819">
        <f>'34)Kleegrassil 4N Biog ex S(a)'!P12</f>
        <v>53.499134948096881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'34)Kleegrassil 4N Biog ex S(a)'!K15</f>
        <v>2562.1499999999996</v>
      </c>
      <c r="N12" s="1738">
        <f>'34)Kleegrassil 4N Biog ex S(a)'!M15</f>
        <v>3074.58</v>
      </c>
      <c r="O12" s="1745">
        <f>'34)Kleegrassil 4N Biog ex S(a)'!O15</f>
        <v>3587.0099999999998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'34)Kleegrassil 4N Biog ex S(a)'!K16</f>
        <v>92.23739999999998</v>
      </c>
      <c r="N13" s="2077">
        <f>'34)Kleegrassil 4N Biog ex S(a)'!M16</f>
        <v>110.68487999999998</v>
      </c>
      <c r="O13" s="2078">
        <f>'34)Kleegrassil 4N Biog ex S(a)'!O16</f>
        <v>129.13235999999998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'34)Kleegrassil 4N Biog ex S(a)'!L24</f>
        <v>270</v>
      </c>
      <c r="N15" s="3338">
        <f>'34)Kleegrassil 4N Biog ex S(a)'!N24</f>
        <v>270</v>
      </c>
      <c r="O15" s="3341">
        <f>'34)Kleegrassil 4N Biog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'34)Kleegrassil 4N Biog ex S(a)'!L18</f>
        <v>0</v>
      </c>
      <c r="N16" s="1736">
        <f>'34)Kleegrassil 4N Biog ex S(a)'!N18</f>
        <v>0</v>
      </c>
      <c r="O16" s="3343">
        <f>'34)Kleegrassil 4N Biog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'34)Kleegrassil 4N Biog ex S(a)'!L27</f>
        <v>61.79249999999999</v>
      </c>
      <c r="N19" s="2072">
        <f>'34)Kleegrassil 4N Biog ex S(a)'!N27</f>
        <v>1.0298749999999999</v>
      </c>
      <c r="O19" s="2073">
        <f>'34)Kleegrassil 4N Biog ex S(a)'!P27</f>
        <v>1.0298749999999999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'34)Kleegrassil 4N Biog ex S(a)'!L31-'34)Kleegrassil 4N Biog ex S(a)'!L17</f>
        <v>65.696924999999965</v>
      </c>
      <c r="N20" s="1567">
        <f>'34)Kleegrassil 4N Biog ex S(a)'!N31-'34)Kleegrassil 4N Biog ex S(a)'!N17</f>
        <v>78.836309999999912</v>
      </c>
      <c r="O20" s="1574">
        <f>'34)Kleegrassil 4N Biog ex S(a)'!P31-'34)Kleegrassil 4N Biog ex S(a)'!P17</f>
        <v>91.97569499999986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'34)Kleegrassil 4N Biog ex S(a)'!L37</f>
        <v>0</v>
      </c>
      <c r="N21" s="1567">
        <f>'34)Kleegrassil 4N Biog ex S(a)'!N37</f>
        <v>0</v>
      </c>
      <c r="O21" s="1574">
        <f>'34)Kleegrassil 4N Biog ex S(a)'!P37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'34)Kleegrassil 4N Biog ex S(a)'!L65</f>
        <v>0</v>
      </c>
      <c r="N22" s="1567">
        <f>'34)Kleegrassil 4N Biog ex S(a)'!N65</f>
        <v>0</v>
      </c>
      <c r="O22" s="1574">
        <f>'34)Kleegrassil 4N Biog ex S(a)'!P65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'34)Kleegrassil 4N Biog ex S(a)'!L67</f>
        <v>41.65</v>
      </c>
      <c r="N23" s="1567">
        <f>'34)Kleegrassil 4N Biog ex S(a)'!N67</f>
        <v>41.65</v>
      </c>
      <c r="O23" s="1574">
        <f>'34)Kleegrassil 4N Biog ex S(a)'!P67</f>
        <v>41.65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'34)Kleegrassil 4N Biog ex S(a)'!L42</f>
        <v>491.04373688041824</v>
      </c>
      <c r="N24" s="1567">
        <f>'34)Kleegrassil 4N Biog ex S(a)'!N42</f>
        <v>525.39142254178182</v>
      </c>
      <c r="O24" s="1574">
        <f>'34)Kleegrassil 4N Biog ex S(a)'!P42</f>
        <v>559.73910820314552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'34)Kleegrassil 4N Biog ex S(a)'!L58</f>
        <v>291.47767031250004</v>
      </c>
      <c r="N25" s="1567">
        <f>'34)Kleegrassil 4N Biog ex S(a)'!N58</f>
        <v>333.58920437500001</v>
      </c>
      <c r="O25" s="1574">
        <f>'34)Kleegrassil 4N Biog ex S(a)'!P58</f>
        <v>375.70073843750004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'34)Kleegrassil 4N Biog ex S(a)'!L63</f>
        <v>0</v>
      </c>
      <c r="N26" s="1980">
        <f>'34)Kleegrassil 4N Biog ex S(a)'!N63</f>
        <v>0</v>
      </c>
      <c r="O26" s="1981">
        <f>'34)Kleegrassil 4N Biog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951.66083219291818</v>
      </c>
      <c r="N27" s="1775">
        <f>SUM(N19:N26)</f>
        <v>980.49681191678178</v>
      </c>
      <c r="O27" s="2055">
        <f>SUM(O19:O26)</f>
        <v>1070.0954166406455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-951.66083219291818</v>
      </c>
      <c r="N28" s="2060">
        <f>-N27</f>
        <v>-980.49681191678178</v>
      </c>
      <c r="O28" s="2061">
        <f>-O27</f>
        <v>-1070.0954166406455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M27*'34)Kleegrassil 4N Biog ex S(a)'!$L$70*'34)Kleegrassil 4N Biog ex S(a)'!$P$70/12/100</f>
        <v>5.9478802012057397</v>
      </c>
      <c r="N30" s="1980">
        <f>N27*'34)Kleegrassil 4N Biog ex S(a)'!$L$70*'34)Kleegrassil 4N Biog ex S(a)'!$P$70/12/100</f>
        <v>6.1281050744798868</v>
      </c>
      <c r="O30" s="1981">
        <f>O27*'34)Kleegrassil 4N Biog ex S(a)'!$L$70*'34)Kleegrassil 4N Biog ex S(a)'!$P$70/12/100</f>
        <v>6.6880963540040339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-687.60871239412393</v>
      </c>
      <c r="N31" s="1769">
        <f>N28+N29-N30</f>
        <v>-716.62491699126167</v>
      </c>
      <c r="O31" s="1776">
        <f>O28+O29-O30</f>
        <v>-806.78351299464953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-0.26837176293118048</v>
      </c>
      <c r="N32" s="1561">
        <f>IF(N12=0,0,N31/N12)</f>
        <v>-0.23308058889060024</v>
      </c>
      <c r="O32" s="2047">
        <f>IF(O12=0,0,O31/O12)</f>
        <v>-0.22491811090424882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-7.4547711925327915</v>
      </c>
      <c r="N33" s="1576">
        <f>IF(N13=0,0,N31/N13)</f>
        <v>-6.4744608025166741</v>
      </c>
      <c r="O33" s="2052">
        <f>IF(O13=0,0,O31/O13)</f>
        <v>-6.2477253028958017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'34)Kleegrassil 4N Biog ex S(a)'!K57</f>
        <v>22.749058441558439</v>
      </c>
      <c r="N35" s="2396">
        <f>'34)Kleegrassil 4N Biog ex S(a)'!M57</f>
        <v>23.874870129870128</v>
      </c>
      <c r="O35" s="2398">
        <f>'34)Kleegrassil 4N Biog ex S(a)'!O57</f>
        <v>25.000681818181818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'34)Kleegrassil 4N Biog ex S(a)'!L10</f>
        <v>43.658088235294116</v>
      </c>
      <c r="N36" s="2431">
        <f>'34)Kleegrassil 4N Biog ex S(a)'!N10</f>
        <v>52.389705882352942</v>
      </c>
      <c r="O36" s="2432">
        <f>'34)Kleegrassil 4N Biog ex S(a)'!P10</f>
        <v>61.121323529411768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398.10852272727271</v>
      </c>
      <c r="N37" s="1567">
        <f>$J$37*N35</f>
        <v>417.81022727272727</v>
      </c>
      <c r="O37" s="1574">
        <f>$J$37*O35</f>
        <v>437.51193181818178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212.14192708333334</v>
      </c>
      <c r="N38" s="2433">
        <f>N36*$I$36</f>
        <v>254.5703125</v>
      </c>
      <c r="O38" s="2429">
        <f>O36*$I$36</f>
        <v>296.99869791666669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'Festk-Masch-Geb'!$Z$44</f>
        <v>760.08231247895617</v>
      </c>
      <c r="N39" s="1567">
        <f>'Festk-Masch-Geb'!$Z$44</f>
        <v>760.08231247895617</v>
      </c>
      <c r="O39" s="1574">
        <f>'Festk-Masch-Geb'!$Z$44</f>
        <v>760.08231247895617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1878.1527622895621</v>
      </c>
      <c r="N43" s="1991">
        <f>SUM(N37:N42)</f>
        <v>1630.2828522516834</v>
      </c>
      <c r="O43" s="1994">
        <f>SUM(O37:O42)</f>
        <v>1692.4129422138046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2835.7614746836862</v>
      </c>
      <c r="N46" s="2041">
        <f>N27+N30+N43</f>
        <v>2616.9077692429451</v>
      </c>
      <c r="O46" s="2080">
        <f>O27+O30+O43</f>
        <v>2769.1964552084542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-2835.7614746836862</v>
      </c>
      <c r="N47" s="2227">
        <f>N45-N46</f>
        <v>-2616.9077692429451</v>
      </c>
      <c r="O47" s="2228">
        <f>O45-O46</f>
        <v>-2769.1964552084542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-2565.7614746836862</v>
      </c>
      <c r="N49" s="1991">
        <f>N47+N48</f>
        <v>-2346.9077692429451</v>
      </c>
      <c r="O49" s="1994">
        <f>O47+O48</f>
        <v>-2499.1964552084542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2565.7614746836862</v>
      </c>
      <c r="N51" s="1771">
        <f>N46-N48</f>
        <v>2346.9077692429451</v>
      </c>
      <c r="O51" s="3358">
        <f>O46-O48</f>
        <v>2499.1964552084542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9.8738981481884931</v>
      </c>
      <c r="N52" s="2335">
        <f>IF(N10=0,0,N$51/N10)</f>
        <v>7.5263972980815064</v>
      </c>
      <c r="O52" s="2336">
        <f>IF(O10=0,0,O$51/O10)</f>
        <v>6.8698099666171437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29.040876906436743</v>
      </c>
      <c r="N53" s="2335">
        <f>IF(N9=0,0,N$51/N9)</f>
        <v>22.136462641416195</v>
      </c>
      <c r="O53" s="2336">
        <f>IF(O9=0,0,O$51/O9)</f>
        <v>20.205323431226891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67.142507407681762</v>
      </c>
      <c r="N54" s="2335">
        <f t="shared" si="3"/>
        <v>51.179501626954249</v>
      </c>
      <c r="O54" s="2336">
        <f t="shared" si="3"/>
        <v>46.714707772996576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1.0014095484978189</v>
      </c>
      <c r="N55" s="2219">
        <f t="shared" si="3"/>
        <v>0.76332629797986884</v>
      </c>
      <c r="O55" s="2220">
        <f t="shared" si="3"/>
        <v>0.69673529073196183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27.816931902717194</v>
      </c>
      <c r="N56" s="2219">
        <f>IF(N13=0,0,N$51/N13)</f>
        <v>21.203508277218582</v>
      </c>
      <c r="O56" s="2220">
        <f>IF(O13=0,0,O$51/O13)</f>
        <v>19.353758075887828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0.2781693190271719</v>
      </c>
      <c r="N57" s="2222">
        <f>N51/$N$12*10/$F$57</f>
        <v>0.2120350827721858</v>
      </c>
      <c r="O57" s="2223">
        <f>O51/$O$12*10/$F$57</f>
        <v>0.19353758075887828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2353.6195476003527</v>
      </c>
      <c r="N58" s="1769">
        <f>N51-N38</f>
        <v>2092.3374567429451</v>
      </c>
      <c r="O58" s="1776">
        <f>O51-O38</f>
        <v>2202.1977572917876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26.639723232601618</v>
      </c>
      <c r="N59" s="3416">
        <f>N58/N9</f>
        <v>19.735308967581069</v>
      </c>
      <c r="O59" s="3417">
        <f>O58/O9</f>
        <v>17.804169757391769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0.91861114595177995</v>
      </c>
      <c r="N60" s="2130">
        <f>IF(N12=0,0,N$58/N12)</f>
        <v>0.68052789543382997</v>
      </c>
      <c r="O60" s="2217">
        <f>IF(O12=0,0,O$58/O12)</f>
        <v>0.61393688818592307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0.25516976276438336</v>
      </c>
      <c r="N61" s="2130">
        <f>N58/$N$12*10/$F$57</f>
        <v>0.1890355265093972</v>
      </c>
      <c r="O61" s="3422">
        <f>O58/$O$12*10/$F$57</f>
        <v>0.17053802449608974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25.516976276438335</v>
      </c>
      <c r="N62" s="1874">
        <f>IF(N13=0,0,N$58/N13)</f>
        <v>18.903552650939726</v>
      </c>
      <c r="O62" s="2032">
        <f>IF(O13=0,0,O$58/O13)</f>
        <v>17.053802449608977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175.08730520120571</v>
      </c>
      <c r="N64" s="1772">
        <f>SUM(N19:N23)+N30</f>
        <v>127.64429007447981</v>
      </c>
      <c r="O64" s="1773">
        <f>SUM(O19:O23)+O30</f>
        <v>141.34366635400391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6.8336086958689271E-2</v>
      </c>
      <c r="N65" s="2031">
        <f>IF(N12=0,0,N64/N12)</f>
        <v>4.151600871484229E-2</v>
      </c>
      <c r="O65" s="2032">
        <f>IF(O12=0,0,O64/O12)</f>
        <v>3.9404313440443137E-2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1975.0599280605109</v>
      </c>
      <c r="N66" s="2038">
        <f>N24+N25+N26+N39+N37</f>
        <v>2036.8731666684653</v>
      </c>
      <c r="O66" s="2039">
        <f>O24+O25+O26+O39+O37</f>
        <v>2133.0340909377837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0.77086038212458718</v>
      </c>
      <c r="N67" s="2168">
        <f>IF(N12=0,0,N66/N12)</f>
        <v>0.66248826398027216</v>
      </c>
      <c r="O67" s="2187">
        <f>IF(O12=0,0,O66/O12)</f>
        <v>0.59465518382658089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1231</v>
      </c>
    </row>
    <row r="70" spans="2:41" x14ac:dyDescent="0.2">
      <c r="C70" s="7" t="s">
        <v>174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87&amp;9
&amp;R&amp;12&amp;F
&amp;A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5">
    <pageSetUpPr fitToPage="1"/>
  </sheetPr>
  <dimension ref="A1:CA73"/>
  <sheetViews>
    <sheetView showGridLines="0" showZeros="0" zoomScaleNormal="100" workbookViewId="0">
      <pane xSplit="10" ySplit="5" topLeftCell="K30" activePane="bottomRight" state="frozen"/>
      <selection activeCell="G1" sqref="G1:I1"/>
      <selection pane="topRight" activeCell="G1" sqref="G1:I1"/>
      <selection pane="bottomLeft" activeCell="G1" sqref="G1:I1"/>
      <selection pane="bottomRight" activeCell="O53" sqref="O53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0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691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110</v>
      </c>
      <c r="N5" s="2261"/>
      <c r="O5" s="370">
        <v>130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259.09090909090907</v>
      </c>
      <c r="M9" s="809">
        <f>M5*(100-M6)/100</f>
        <v>104.5</v>
      </c>
      <c r="N9" s="810">
        <f>IF(M7=0,0,M9/M7*100)</f>
        <v>316.66666666666663</v>
      </c>
      <c r="O9" s="720">
        <f>O5*(100-O6)/100</f>
        <v>123.5</v>
      </c>
      <c r="P9" s="721">
        <f>IF(O7=0,0,O9/O7*100)</f>
        <v>374.24242424242425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39.86013986013986</v>
      </c>
      <c r="M10" s="286"/>
      <c r="N10" s="811">
        <f>IF(R10=TRUE,IF(M8=0,0,1/M8*N9),0)</f>
        <v>48.717948717948715</v>
      </c>
      <c r="O10" s="173"/>
      <c r="P10" s="722">
        <f>IF(R10=TRUE,IF(O8=0,0,1/O8*P9),0)</f>
        <v>57.575757575757578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79.515000000000001</v>
      </c>
      <c r="L11" s="709">
        <f>IF(L7=0,0,K11/L7*100)</f>
        <v>227.18571428571428</v>
      </c>
      <c r="M11" s="812">
        <f>M9*(100-N6)/100</f>
        <v>97.185000000000002</v>
      </c>
      <c r="N11" s="813">
        <f>IF(N7=0,0,M11/N7*100)</f>
        <v>277.67142857142858</v>
      </c>
      <c r="O11" s="708">
        <f>O9*(100-P6)/100</f>
        <v>114.855</v>
      </c>
      <c r="P11" s="709">
        <f>IF(P7=0,0,O11/P7*100)</f>
        <v>328.15714285714284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34.951648351648352</v>
      </c>
      <c r="M12" s="801"/>
      <c r="N12" s="814">
        <f>IF(N8=0,0,1/N8*N11)</f>
        <v>42.71868131868132</v>
      </c>
      <c r="O12" s="487"/>
      <c r="P12" s="502">
        <f>IF(P8=0,0,1/P8*P11)</f>
        <v>50.485714285714288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27</v>
      </c>
      <c r="L13" s="418"/>
      <c r="M13" s="499">
        <v>27</v>
      </c>
      <c r="N13" s="784"/>
      <c r="O13" s="499">
        <v>27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0.97199999999999998</v>
      </c>
      <c r="L14" s="418"/>
      <c r="M14" s="815">
        <f>M13*$G14</f>
        <v>0.97199999999999998</v>
      </c>
      <c r="N14" s="784"/>
      <c r="O14" s="513">
        <f>O13*$G14</f>
        <v>0.97199999999999998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2146.9050000000002</v>
      </c>
      <c r="L15" s="418"/>
      <c r="M15" s="816">
        <f>M$11*M13</f>
        <v>2623.9949999999999</v>
      </c>
      <c r="N15" s="784"/>
      <c r="O15" s="497">
        <f>O$11*O13</f>
        <v>3101.085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77.288579999999996</v>
      </c>
      <c r="L16" s="417"/>
      <c r="M16" s="817">
        <f>M$11*M14</f>
        <v>94.463819999999998</v>
      </c>
      <c r="N16" s="428"/>
      <c r="O16" s="498">
        <f>O$11*O14</f>
        <v>111.63906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628.84853850000002</v>
      </c>
      <c r="M17" s="2600">
        <f>K17</f>
        <v>1</v>
      </c>
      <c r="N17" s="2591">
        <f>M17*(N33*(1-$AC$14)+N34*(1-$AC$15)+N35*(1-$AC$16)+N36*(1-$AC$17))</f>
        <v>768.59265816666652</v>
      </c>
      <c r="O17" s="2601">
        <f>K17</f>
        <v>1</v>
      </c>
      <c r="P17" s="2590">
        <f>O17*(P33*(1-$AC$14)+P34*(1-$AC$15)+P35*(1-$AC$16)+P36*(1-$AC$17))</f>
        <v>908.33677783333337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I19" s="80">
        <f>IF($B19=0,0,VLOOKUP($B19,Ausglleist!$C$8:$O$44,11))</f>
        <v>0</v>
      </c>
      <c r="J19" s="4063">
        <f>IF($B19=0,0,VLOOKUP($B19,Ausglleist!$C$8:$O$44,13,FALSE))</f>
        <v>0</v>
      </c>
      <c r="K19" s="327"/>
      <c r="L19" s="201">
        <f>IF(R19=TRUE,$I19,0)</f>
        <v>0</v>
      </c>
      <c r="M19" s="787"/>
      <c r="N19" s="808">
        <f>IF(U19=TRUE,$I19,0)</f>
        <v>0</v>
      </c>
      <c r="O19" s="327"/>
      <c r="P19" s="202">
        <f>IF(X19=TRUE,$I19,0)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I20" s="80">
        <f>IF($B20=0,0,VLOOKUP($B20,Ausglleist!$C$8:$O$44,11))</f>
        <v>0</v>
      </c>
      <c r="J20" s="4063">
        <f>IF($B20=0,0,VLOOKUP($B20,Ausglleist!$C$8:$O$44,13,FALSE))</f>
        <v>0</v>
      </c>
      <c r="K20" s="327"/>
      <c r="L20" s="201">
        <f>IF(R20=TRUE,$I20,0)</f>
        <v>0</v>
      </c>
      <c r="M20" s="787"/>
      <c r="N20" s="808">
        <f>IF(U20=TRUE,$I20,0)</f>
        <v>0</v>
      </c>
      <c r="O20" s="327"/>
      <c r="P20" s="202">
        <f>IF(X20=TRUE,$I20,0)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I21" s="80">
        <f>IF($B21=0,0,VLOOKUP($B21,Ausglleist!$C$8:$O$44,11))</f>
        <v>0</v>
      </c>
      <c r="J21" s="4063">
        <f>IF($B21=0,0,VLOOKUP($B21,Ausglleist!$C$8:$O$44,13,FALSE))</f>
        <v>0</v>
      </c>
      <c r="K21" s="327"/>
      <c r="L21" s="201">
        <f>IF(R21=TRUE,$I21,0)</f>
        <v>0</v>
      </c>
      <c r="M21" s="787"/>
      <c r="N21" s="808">
        <f>IF(U21=TRUE,$I21,0)</f>
        <v>0</v>
      </c>
      <c r="O21" s="327"/>
      <c r="P21" s="202">
        <f>IF(X21=TRUE,$I21,0)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I22" s="80">
        <f>IF($B22=0,0,VLOOKUP($B22,Ausglleist!$C$8:$O$44,11))</f>
        <v>0</v>
      </c>
      <c r="J22" s="4063">
        <f>IF($B22=0,0,VLOOKUP($B22,Ausglleist!$C$8:$O$44,13,FALSE))</f>
        <v>0</v>
      </c>
      <c r="K22" s="327"/>
      <c r="L22" s="201">
        <f>IF(R22=TRUE,$I22,0)</f>
        <v>0</v>
      </c>
      <c r="M22" s="787"/>
      <c r="N22" s="808">
        <f>IF(U22=TRUE,$I22,0)</f>
        <v>0</v>
      </c>
      <c r="O22" s="327"/>
      <c r="P22" s="202">
        <f>IF(X22=TRUE,$I22,0)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54"/>
      <c r="I23" s="200">
        <f>IF($B23=0,0,VLOOKUP($B23,Ausglleist!$C$8:$O$44,11))</f>
        <v>0</v>
      </c>
      <c r="J23" s="4064">
        <f>IF($B23=0,0,VLOOKUP($B23,Ausglleist!$C$8:$O$44,13,FALSE))</f>
        <v>0</v>
      </c>
      <c r="K23" s="328"/>
      <c r="L23" s="201">
        <f>IF(R23=TRUE,$I23,0)</f>
        <v>0</v>
      </c>
      <c r="M23" s="788"/>
      <c r="N23" s="808">
        <f>IF(U23=TRUE,$I23,0)</f>
        <v>0</v>
      </c>
      <c r="O23" s="328"/>
      <c r="P23" s="202">
        <f>IF(X23=TRUE,$I23,0)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1.6477999999999999</v>
      </c>
      <c r="M27" s="804"/>
      <c r="N27" s="786">
        <f>SUM(N29:N30)</f>
        <v>1.6477999999999999</v>
      </c>
      <c r="O27" s="330"/>
      <c r="P27" s="325">
        <f>SUM(P29:P30)</f>
        <v>1.6477999999999999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4.4000000000000004</v>
      </c>
      <c r="I29" s="711">
        <f>H29*($H$27+100)/100</f>
        <v>4.7080000000000002</v>
      </c>
      <c r="J29" s="91"/>
      <c r="K29" s="440">
        <v>0.35</v>
      </c>
      <c r="L29" s="337">
        <f>$I29*K29</f>
        <v>1.6477999999999999</v>
      </c>
      <c r="M29" s="440">
        <v>0.35</v>
      </c>
      <c r="N29" s="791">
        <f>$I29*M29</f>
        <v>1.6477999999999999</v>
      </c>
      <c r="O29" s="440">
        <v>0.35</v>
      </c>
      <c r="P29" s="337">
        <f>$I29*O29</f>
        <v>1.6477999999999999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734.58194250000008</v>
      </c>
      <c r="M31" s="819"/>
      <c r="N31" s="786">
        <f>SUM(N33:N36)</f>
        <v>897.82237416666658</v>
      </c>
      <c r="O31" s="334"/>
      <c r="P31" s="325">
        <f>SUM(P33:P36)</f>
        <v>1061.0628058333334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2.4</v>
      </c>
      <c r="H33" s="386"/>
      <c r="I33"/>
      <c r="J33" s="172"/>
      <c r="K33" s="336">
        <f>G33*$K$9+H33</f>
        <v>205.2</v>
      </c>
      <c r="L33" s="337">
        <f>K33*$E33</f>
        <v>352.44468000000001</v>
      </c>
      <c r="M33" s="820">
        <f>G33*$M$9+H33</f>
        <v>250.79999999999998</v>
      </c>
      <c r="N33" s="791">
        <f>M33*$E33</f>
        <v>430.76571999999999</v>
      </c>
      <c r="O33" s="336">
        <f>G33*$O$9+H33</f>
        <v>296.39999999999998</v>
      </c>
      <c r="P33" s="337">
        <f>O33*$E33</f>
        <v>509.08675999999997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68.400000000000006</v>
      </c>
      <c r="L34" s="337">
        <f>K34*$E34</f>
        <v>77.3262</v>
      </c>
      <c r="M34" s="820">
        <f>G34*$M$9+H34</f>
        <v>83.600000000000009</v>
      </c>
      <c r="N34" s="791">
        <f>M34*$E34</f>
        <v>94.509799999999998</v>
      </c>
      <c r="O34" s="336">
        <f>G34*$O$9+H34</f>
        <v>98.800000000000011</v>
      </c>
      <c r="P34" s="337">
        <f>O34*$E34</f>
        <v>111.6934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3.25</v>
      </c>
      <c r="H35" s="386"/>
      <c r="I35"/>
      <c r="J35" s="172"/>
      <c r="K35" s="336">
        <f>G35*$K$9+H35</f>
        <v>277.875</v>
      </c>
      <c r="L35" s="337">
        <f>K35*$E35</f>
        <v>292.09293750000001</v>
      </c>
      <c r="M35" s="820">
        <f>G35*$M$9+H35</f>
        <v>339.625</v>
      </c>
      <c r="N35" s="791">
        <f>M35*$E35</f>
        <v>357.00247916666666</v>
      </c>
      <c r="O35" s="336">
        <f>G35*$O$9+H35</f>
        <v>401.375</v>
      </c>
      <c r="P35" s="337">
        <f>O35*$E35</f>
        <v>421.91202083333332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0.25</v>
      </c>
      <c r="H36" s="387"/>
      <c r="I36" s="36"/>
      <c r="J36" s="36"/>
      <c r="K36" s="338">
        <f>G36*$K$9+H36</f>
        <v>21.375</v>
      </c>
      <c r="L36" s="333">
        <f>K36*$E36</f>
        <v>12.718124999999999</v>
      </c>
      <c r="M36" s="821">
        <f>G36*$M$9+H36</f>
        <v>26.125</v>
      </c>
      <c r="N36" s="792">
        <f>M36*$E36</f>
        <v>15.544374999999999</v>
      </c>
      <c r="O36" s="338">
        <f>G36*$O$9+H36</f>
        <v>30.875</v>
      </c>
      <c r="P36" s="333">
        <f>O36*$E36</f>
        <v>18.370625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489.68561137387769</v>
      </c>
      <c r="M42" s="823"/>
      <c r="N42" s="786">
        <f>SUM(W45:W55)</f>
        <v>522.99245807580598</v>
      </c>
      <c r="O42" s="425"/>
      <c r="P42" s="325">
        <f>SUM(Z45:Z55)</f>
        <v>556.29930477773439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0.82</v>
      </c>
      <c r="J48" s="470">
        <f>IF($B48=0,0,VLOOKUP($B48,Arbeitsgänge!$B$27:$T$80,14))</f>
        <v>11.921917173599995</v>
      </c>
      <c r="K48" s="375">
        <v>1</v>
      </c>
      <c r="L48" s="337">
        <f t="shared" si="0"/>
        <v>11.921917173599995</v>
      </c>
      <c r="M48" s="375">
        <v>1</v>
      </c>
      <c r="N48" s="791">
        <f t="shared" si="1"/>
        <v>11.921917173599995</v>
      </c>
      <c r="O48" s="375">
        <v>1</v>
      </c>
      <c r="P48" s="337">
        <f t="shared" si="2"/>
        <v>11.921917173599995</v>
      </c>
      <c r="Q48" s="528"/>
      <c r="R48" s="1348">
        <f t="shared" si="3"/>
        <v>0.82</v>
      </c>
      <c r="S48" s="471" t="e">
        <f>K48*#REF!</f>
        <v>#REF!</v>
      </c>
      <c r="T48" s="258">
        <f t="shared" si="4"/>
        <v>11.921917173599995</v>
      </c>
      <c r="U48" s="1349">
        <f t="shared" si="5"/>
        <v>0.82</v>
      </c>
      <c r="V48" s="1350" t="e">
        <f>M48*#REF!</f>
        <v>#REF!</v>
      </c>
      <c r="W48" s="827">
        <f t="shared" si="6"/>
        <v>11.921917173599995</v>
      </c>
      <c r="X48" s="1351">
        <f t="shared" si="7"/>
        <v>0.82</v>
      </c>
      <c r="Y48" s="471" t="e">
        <f>O48*#REF!</f>
        <v>#REF!</v>
      </c>
      <c r="Z48" s="258">
        <f t="shared" si="8"/>
        <v>11.921917173599995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29</v>
      </c>
      <c r="C50" s="1554"/>
      <c r="D50" s="137"/>
      <c r="E50" s="8"/>
      <c r="F50" s="8"/>
      <c r="G50" s="731"/>
      <c r="H50" s="726" t="str">
        <f>IF($B50=0,0,VLOOKUP($B50,Arbeitsgänge!$B$27:$T$80,7))</f>
        <v>120 Kw</v>
      </c>
      <c r="I50" s="727">
        <f>IF($B50=0,0,VLOOKUP($B50,Arbeitsgänge!$B$27:$T$80,12))</f>
        <v>0.3</v>
      </c>
      <c r="J50" s="470">
        <f>IF($B50=0,0,VLOOKUP($B50,Arbeitsgänge!$B$27:$T$80,14))</f>
        <v>18.5916444</v>
      </c>
      <c r="K50" s="375">
        <v>4</v>
      </c>
      <c r="L50" s="337">
        <f t="shared" si="0"/>
        <v>74.366577599999999</v>
      </c>
      <c r="M50" s="375">
        <v>4</v>
      </c>
      <c r="N50" s="791">
        <f t="shared" si="1"/>
        <v>74.366577599999999</v>
      </c>
      <c r="O50" s="375">
        <v>4</v>
      </c>
      <c r="P50" s="337">
        <f t="shared" si="2"/>
        <v>74.366577599999999</v>
      </c>
      <c r="Q50" s="528"/>
      <c r="R50" s="1348">
        <f t="shared" si="3"/>
        <v>1.2</v>
      </c>
      <c r="S50" s="471" t="e">
        <f>K50*#REF!</f>
        <v>#REF!</v>
      </c>
      <c r="T50" s="258">
        <f t="shared" si="4"/>
        <v>74.366577599999999</v>
      </c>
      <c r="U50" s="1349">
        <f t="shared" si="5"/>
        <v>1.2</v>
      </c>
      <c r="V50" s="1350" t="e">
        <f>M50*#REF!</f>
        <v>#REF!</v>
      </c>
      <c r="W50" s="827">
        <f t="shared" si="6"/>
        <v>74.366577599999999</v>
      </c>
      <c r="X50" s="1351">
        <f t="shared" si="7"/>
        <v>1.2</v>
      </c>
      <c r="Y50" s="471" t="e">
        <f>O50*#REF!</f>
        <v>#REF!</v>
      </c>
      <c r="Z50" s="258">
        <f t="shared" si="8"/>
        <v>74.366577599999999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30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0.35</v>
      </c>
      <c r="J51" s="470">
        <f>IF($B51=0,0,VLOOKUP($B51,Arbeitsgänge!$B$27:$T$80,14))</f>
        <v>8.5775754679999991</v>
      </c>
      <c r="K51" s="375">
        <v>4</v>
      </c>
      <c r="L51" s="337">
        <f t="shared" si="0"/>
        <v>34.310301871999997</v>
      </c>
      <c r="M51" s="375">
        <v>4</v>
      </c>
      <c r="N51" s="791">
        <f t="shared" si="1"/>
        <v>34.310301871999997</v>
      </c>
      <c r="O51" s="375">
        <v>4</v>
      </c>
      <c r="P51" s="337">
        <f t="shared" si="2"/>
        <v>34.310301871999997</v>
      </c>
      <c r="Q51" s="528"/>
      <c r="R51" s="1348">
        <f t="shared" si="3"/>
        <v>1.4</v>
      </c>
      <c r="S51" s="471" t="e">
        <f>K51*#REF!</f>
        <v>#REF!</v>
      </c>
      <c r="T51" s="258">
        <f t="shared" si="4"/>
        <v>34.310301871999997</v>
      </c>
      <c r="U51" s="1349">
        <f t="shared" si="5"/>
        <v>1.4</v>
      </c>
      <c r="V51" s="1350" t="e">
        <f>M51*#REF!</f>
        <v>#REF!</v>
      </c>
      <c r="W51" s="827">
        <f t="shared" si="6"/>
        <v>34.310301871999997</v>
      </c>
      <c r="X51" s="1351">
        <f t="shared" si="7"/>
        <v>1.4</v>
      </c>
      <c r="Y51" s="471" t="e">
        <f>O51*#REF!</f>
        <v>#REF!</v>
      </c>
      <c r="Z51" s="258">
        <f t="shared" si="8"/>
        <v>34.310301871999997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31</v>
      </c>
      <c r="C52" s="155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0.26</v>
      </c>
      <c r="J52" s="470">
        <f>IF($B52=0,0,VLOOKUP($B52,Arbeitsgänge!$B$27:$T$80,14))</f>
        <v>8.8941188640000011</v>
      </c>
      <c r="K52" s="375">
        <v>4</v>
      </c>
      <c r="L52" s="337">
        <f t="shared" si="0"/>
        <v>35.576475456000004</v>
      </c>
      <c r="M52" s="375">
        <v>4</v>
      </c>
      <c r="N52" s="791">
        <f t="shared" si="1"/>
        <v>35.576475456000004</v>
      </c>
      <c r="O52" s="375">
        <v>4</v>
      </c>
      <c r="P52" s="337">
        <f t="shared" si="2"/>
        <v>35.576475456000004</v>
      </c>
      <c r="Q52" s="528"/>
      <c r="R52" s="1348">
        <f t="shared" si="3"/>
        <v>1.04</v>
      </c>
      <c r="S52" s="471" t="e">
        <f>K52*#REF!</f>
        <v>#REF!</v>
      </c>
      <c r="T52" s="258">
        <f t="shared" si="4"/>
        <v>35.576475456000004</v>
      </c>
      <c r="U52" s="1349">
        <f t="shared" si="5"/>
        <v>1.04</v>
      </c>
      <c r="V52" s="1350" t="e">
        <f>M52*#REF!</f>
        <v>#REF!</v>
      </c>
      <c r="W52" s="827">
        <f t="shared" si="6"/>
        <v>35.576475456000004</v>
      </c>
      <c r="X52" s="1351">
        <f t="shared" si="7"/>
        <v>1.04</v>
      </c>
      <c r="Y52" s="471" t="e">
        <f>O52*#REF!</f>
        <v>#REF!</v>
      </c>
      <c r="Z52" s="258">
        <f t="shared" si="8"/>
        <v>35.576475456000004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24</v>
      </c>
      <c r="C53" s="1554"/>
      <c r="D53" s="137" t="str">
        <f>IF($B53=0,0,VLOOKUP($B53,Arbeitsgänge!$B$27:$O$75,2))</f>
        <v>Grassilotransp Anwelkgut 3S-Kipper (10t Nutzl.) 7,7 t FM/ha</v>
      </c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0.66</v>
      </c>
      <c r="J53" s="470">
        <f>IF($B53=0,0,VLOOKUP($B53,Arbeitsgänge!$B$27:$T$80,14))</f>
        <v>23.779723352000001</v>
      </c>
      <c r="K53" s="375">
        <f>L9/77</f>
        <v>3.3648170011806373</v>
      </c>
      <c r="L53" s="337">
        <f t="shared" si="0"/>
        <v>80.014417418181822</v>
      </c>
      <c r="M53" s="375">
        <f>N9/77</f>
        <v>4.1125541125541121</v>
      </c>
      <c r="N53" s="791">
        <f t="shared" si="1"/>
        <v>97.795399066666661</v>
      </c>
      <c r="O53" s="375">
        <f>P9/77</f>
        <v>4.8602912239275877</v>
      </c>
      <c r="P53" s="337">
        <f t="shared" si="2"/>
        <v>115.57638071515153</v>
      </c>
      <c r="Q53" s="528"/>
      <c r="R53" s="1348">
        <f t="shared" si="3"/>
        <v>2.2207792207792205</v>
      </c>
      <c r="S53" s="471" t="e">
        <f>K53*#REF!</f>
        <v>#REF!</v>
      </c>
      <c r="T53" s="258">
        <f t="shared" si="4"/>
        <v>80.014417418181822</v>
      </c>
      <c r="U53" s="1349">
        <f t="shared" si="5"/>
        <v>2.714285714285714</v>
      </c>
      <c r="V53" s="1350" t="e">
        <f>M53*#REF!</f>
        <v>#REF!</v>
      </c>
      <c r="W53" s="827">
        <f t="shared" si="6"/>
        <v>97.795399066666661</v>
      </c>
      <c r="X53" s="1351">
        <f t="shared" si="7"/>
        <v>3.2077922077922079</v>
      </c>
      <c r="Y53" s="471" t="e">
        <f>O53*#REF!</f>
        <v>#REF!</v>
      </c>
      <c r="Z53" s="258">
        <f t="shared" si="8"/>
        <v>115.57638071515153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37</v>
      </c>
      <c r="C54" s="1554"/>
      <c r="D54" s="137" t="str">
        <f>IF($B54=0,0,VLOOKUP($B54,Arbeitsgänge!$B$27:$O$75,2))</f>
        <v>Grassilo festwalzen 7,7 t FM/ha mit Schlepper</v>
      </c>
      <c r="E54" s="8"/>
      <c r="F54" s="8"/>
      <c r="G54" s="731"/>
      <c r="H54" s="726" t="str">
        <f>IF($B54=0,0,VLOOKUP($B54,Arbeitsgänge!$B$27:$T$80,7))</f>
        <v>102 kW</v>
      </c>
      <c r="I54" s="727">
        <f>IF($B54=0,0,VLOOKUP($B54,Arbeitsgänge!$B$27:$T$80,12))</f>
        <v>0.8</v>
      </c>
      <c r="J54" s="470">
        <f>IF($B54=0,0,VLOOKUP($B54,Arbeitsgänge!$B$27:$T$80,14))</f>
        <v>20.763801632</v>
      </c>
      <c r="K54" s="375">
        <f>L9/77</f>
        <v>3.3648170011806373</v>
      </c>
      <c r="L54" s="337">
        <f t="shared" si="0"/>
        <v>69.866392740495868</v>
      </c>
      <c r="M54" s="375">
        <f>N9/77</f>
        <v>4.1125541125541121</v>
      </c>
      <c r="N54" s="791">
        <f t="shared" si="1"/>
        <v>85.392257793939379</v>
      </c>
      <c r="O54" s="375">
        <f>P9/77</f>
        <v>4.8602912239275877</v>
      </c>
      <c r="P54" s="337">
        <f t="shared" si="2"/>
        <v>100.91812284738292</v>
      </c>
      <c r="Q54" s="528"/>
      <c r="R54" s="1348">
        <f t="shared" si="3"/>
        <v>2.6918536009445102</v>
      </c>
      <c r="S54" s="471" t="e">
        <f>K54*#REF!</f>
        <v>#REF!</v>
      </c>
      <c r="T54" s="258">
        <f t="shared" si="4"/>
        <v>69.866392740495868</v>
      </c>
      <c r="U54" s="1349">
        <f t="shared" si="5"/>
        <v>3.2900432900432897</v>
      </c>
      <c r="V54" s="1350" t="e">
        <f>M54*#REF!</f>
        <v>#REF!</v>
      </c>
      <c r="W54" s="827">
        <f t="shared" si="6"/>
        <v>85.392257793939379</v>
      </c>
      <c r="X54" s="1351">
        <f t="shared" si="7"/>
        <v>3.8882329791420704</v>
      </c>
      <c r="Y54" s="471" t="e">
        <f>O54*#REF!</f>
        <v>#REF!</v>
      </c>
      <c r="Z54" s="258">
        <f t="shared" si="8"/>
        <v>100.91812284738292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13.20263282172373</v>
      </c>
      <c r="L56" s="341"/>
      <c r="M56" s="797">
        <f>SUM($U$45:$U$55)</f>
        <v>14.294329004329002</v>
      </c>
      <c r="N56" s="798"/>
      <c r="O56" s="340">
        <f>SUM($X$45:$X$55)</f>
        <v>15.386025186934278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23.202632821723732</v>
      </c>
      <c r="L57" s="343"/>
      <c r="M57" s="799">
        <f>IF(M56+(M56*$G$57/100)&gt;M56+10,M56+10,M56+(M56*$G$57/100))</f>
        <v>24.294329004329001</v>
      </c>
      <c r="N57" s="800"/>
      <c r="O57" s="342">
        <f>IF(O56+(O56*$G$57/100)&gt;O56+10,O56+10,O56+(O56*$G$57/100))</f>
        <v>25.386025186934276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277.55305772727274</v>
      </c>
      <c r="M58" s="826"/>
      <c r="N58" s="786">
        <f>SUM(N60:N62)</f>
        <v>319.00151500000004</v>
      </c>
      <c r="O58" s="344"/>
      <c r="P58" s="325">
        <f>SUM(P60:P62)</f>
        <v>360.44997227272734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60"/>
      <c r="F60" s="60"/>
      <c r="G60" s="60"/>
      <c r="H60" s="3012">
        <v>170</v>
      </c>
      <c r="I60" s="3013">
        <f>H60*($H$58+100)/100</f>
        <v>202.3</v>
      </c>
      <c r="J60" s="400"/>
      <c r="K60" s="3014">
        <v>0.9</v>
      </c>
      <c r="L60" s="3015">
        <f>K60*I60</f>
        <v>182.07000000000002</v>
      </c>
      <c r="M60" s="3014">
        <v>1</v>
      </c>
      <c r="N60" s="3016">
        <f>M60*I60</f>
        <v>202.3</v>
      </c>
      <c r="O60" s="3014">
        <v>1.1000000000000001</v>
      </c>
      <c r="P60" s="3015">
        <f>O60*I60</f>
        <v>222.53000000000003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74"/>
      <c r="F62" s="74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17.830636363636362</v>
      </c>
      <c r="L62" s="308">
        <f>K62*I62</f>
        <v>95.483057727272723</v>
      </c>
      <c r="M62" s="2626">
        <f>M11/($V$63)/10*($V$65*M17)</f>
        <v>21.792999999999999</v>
      </c>
      <c r="N62" s="828">
        <f>M62*I62</f>
        <v>116.701515</v>
      </c>
      <c r="O62" s="2626">
        <f>O11/($V$63)/10*($V$65*O17)</f>
        <v>25.755363636363636</v>
      </c>
      <c r="P62" s="308">
        <f>O62*I62</f>
        <v>137.91997227272728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1167"/>
      <c r="T65" s="2598"/>
      <c r="U65" s="2598"/>
      <c r="V65" s="2599">
        <v>0.74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181">
        <f>IF($H$66=0,0,K15*0.3)</f>
        <v>0</v>
      </c>
      <c r="L66" s="348"/>
      <c r="M66" s="3181">
        <f>IF($H$66=0,0,M15*0.3)</f>
        <v>0</v>
      </c>
      <c r="N66" s="789"/>
      <c r="O66" s="3181">
        <f>IF($H$66=0,0,O15*0.3)</f>
        <v>0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41.65</v>
      </c>
      <c r="M67" s="830"/>
      <c r="N67" s="786">
        <f>SUM(N68:N69)</f>
        <v>41.65</v>
      </c>
      <c r="O67" s="330"/>
      <c r="P67" s="325">
        <f>SUM(P68:P69)</f>
        <v>41.65</v>
      </c>
      <c r="Q67" s="1166"/>
    </row>
    <row r="68" spans="1:79" s="51" customFormat="1" ht="15" customHeight="1" x14ac:dyDescent="0.2">
      <c r="A68" s="195" t="s">
        <v>552</v>
      </c>
      <c r="B68" s="937">
        <v>3</v>
      </c>
      <c r="C68" s="104"/>
      <c r="D68" s="137" t="str">
        <f>IF($B68=0,0,VLOOKUP($B68,'Preise-Stammdaten'!$B$61:'Preise-Stammdaten'!$N$66,2))</f>
        <v xml:space="preserve">Grassilage:Folie, Anstrich, Säcke </v>
      </c>
      <c r="E68" s="8"/>
      <c r="F68" s="105"/>
      <c r="G68" s="105"/>
      <c r="H68" s="1377"/>
      <c r="I68" s="1374">
        <f>IF($B68=0,0,VLOOKUP($B68,'Preise-Stammdaten'!$B$61:$N$66,13))</f>
        <v>41.65</v>
      </c>
      <c r="J68" s="146"/>
      <c r="K68" s="1181"/>
      <c r="L68" s="713">
        <f>$I$68</f>
        <v>41.65</v>
      </c>
      <c r="M68" s="1181"/>
      <c r="N68" s="831">
        <f>$I$68</f>
        <v>41.65</v>
      </c>
      <c r="O68" s="1181"/>
      <c r="P68" s="713">
        <f>$I$68</f>
        <v>41.65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88&amp;9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811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9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41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6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'35)Weidelgrassil 4N Bg ex S (a)'!J2</f>
        <v>2022</v>
      </c>
      <c r="K2" s="2504" t="s">
        <v>858</v>
      </c>
      <c r="L2" s="2502"/>
      <c r="M2" s="2505"/>
      <c r="N2" s="2529"/>
      <c r="O2" s="2530" t="str">
        <f>'35)Weidelgrassil 4N Bg ex S (a)'!M2</f>
        <v>Weidelgrassil.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5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'35)Weidelgrassil 4N Bg ex S (a)'!H3</f>
        <v>4 Nutzungen; 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'35)Weidelgrassil 4N Bg ex S (a)'!K5</f>
        <v>90</v>
      </c>
      <c r="N6" s="1735">
        <f>'35)Weidelgrassil 4N Bg ex S (a)'!M5</f>
        <v>110</v>
      </c>
      <c r="O6" s="1743">
        <f>'35)Weidelgrassil 4N Bg ex S (a)'!O5</f>
        <v>130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'35)Weidelgrassil 4N Bg ex S (a)'!K9</f>
        <v>85.5</v>
      </c>
      <c r="N7" s="1736">
        <f>'35)Weidelgrassil 4N Bg ex S (a)'!M9</f>
        <v>104.5</v>
      </c>
      <c r="O7" s="1744">
        <f>'35)Weidelgrassil 4N Bg ex S (a)'!O9</f>
        <v>123.5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'35)Weidelgrassil 4N Bg ex S (a)'!L9</f>
        <v>259.09090909090907</v>
      </c>
      <c r="N8" s="1737">
        <f>'35)Weidelgrassil 4N Bg ex S (a)'!N9</f>
        <v>316.66666666666663</v>
      </c>
      <c r="O8" s="1583">
        <f>'35)Weidelgrassil 4N Bg ex S (a)'!P9</f>
        <v>374.24242424242425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'35)Weidelgrassil 4N Bg ex S (a)'!K11</f>
        <v>79.515000000000001</v>
      </c>
      <c r="N9" s="1562">
        <f>'35)Weidelgrassil 4N Bg ex S (a)'!M11</f>
        <v>97.185000000000002</v>
      </c>
      <c r="O9" s="1747">
        <f>'35)Weidelgrassil 4N Bg ex S (a)'!O11</f>
        <v>114.855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'35)Weidelgrassil 4N Bg ex S (a)'!L11</f>
        <v>227.18571428571428</v>
      </c>
      <c r="N10" s="1582">
        <f>'35)Weidelgrassil 4N Bg ex S (a)'!N11</f>
        <v>277.67142857142858</v>
      </c>
      <c r="O10" s="2014">
        <f>'35)Weidelgrassil 4N Bg ex S (a)'!P11</f>
        <v>328.15714285714284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'35)Weidelgrassil 4N Bg ex S (a)'!L12</f>
        <v>34.951648351648352</v>
      </c>
      <c r="N11" s="1818">
        <f>'35)Weidelgrassil 4N Bg ex S (a)'!N12</f>
        <v>42.71868131868132</v>
      </c>
      <c r="O11" s="1819">
        <f>'35)Weidelgrassil 4N Bg ex S (a)'!P12</f>
        <v>50.485714285714288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'35)Weidelgrassil 4N Bg ex S (a)'!K15</f>
        <v>2146.9050000000002</v>
      </c>
      <c r="N12" s="1738">
        <f>'35)Weidelgrassil 4N Bg ex S (a)'!M15</f>
        <v>2623.9949999999999</v>
      </c>
      <c r="O12" s="1745">
        <f>'35)Weidelgrassil 4N Bg ex S (a)'!O15</f>
        <v>3101.085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'35)Weidelgrassil 4N Bg ex S (a)'!K16</f>
        <v>77.288579999999996</v>
      </c>
      <c r="N13" s="2077">
        <f>'35)Weidelgrassil 4N Bg ex S (a)'!M16</f>
        <v>94.463819999999998</v>
      </c>
      <c r="O13" s="2078">
        <f>'35)Weidelgrassil 4N Bg ex S (a)'!O16</f>
        <v>111.63906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'35)Weidelgrassil 4N Bg ex S (a)'!L24</f>
        <v>270</v>
      </c>
      <c r="N15" s="3338">
        <f>'35)Weidelgrassil 4N Bg ex S (a)'!N24</f>
        <v>270</v>
      </c>
      <c r="O15" s="3341">
        <f>'35)Weidelgrassil 4N Bg ex S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'35)Weidelgrassil 4N Bg ex S (a)'!L18</f>
        <v>0</v>
      </c>
      <c r="N16" s="1736">
        <f>'35)Weidelgrassil 4N Bg ex S (a)'!N18</f>
        <v>0</v>
      </c>
      <c r="O16" s="3343">
        <f>'35)Weidelgrassil 4N Bg ex S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'35)Weidelgrassil 4N Bg ex S (a)'!L27</f>
        <v>1.6477999999999999</v>
      </c>
      <c r="N19" s="2072">
        <f>'35)Weidelgrassil 4N Bg ex S (a)'!N27</f>
        <v>1.6477999999999999</v>
      </c>
      <c r="O19" s="2073">
        <f>'35)Weidelgrassil 4N Bg ex S (a)'!P27</f>
        <v>1.6477999999999999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'35)Weidelgrassil 4N Bg ex S (a)'!L31-'35)Weidelgrassil 4N Bg ex S (a)'!L17</f>
        <v>105.73340400000006</v>
      </c>
      <c r="N20" s="1567">
        <f>'35)Weidelgrassil 4N Bg ex S (a)'!N31-'35)Weidelgrassil 4N Bg ex S (a)'!N17</f>
        <v>129.22971600000005</v>
      </c>
      <c r="O20" s="1574">
        <f>'35)Weidelgrassil 4N Bg ex S (a)'!P31-'35)Weidelgrassil 4N Bg ex S (a)'!P17</f>
        <v>152.72602800000004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'35)Weidelgrassil 4N Bg ex S (a)'!L37</f>
        <v>0</v>
      </c>
      <c r="N21" s="1567">
        <f>'35)Weidelgrassil 4N Bg ex S (a)'!N37</f>
        <v>0</v>
      </c>
      <c r="O21" s="1574">
        <f>'35)Weidelgrassil 4N Bg ex S 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'35)Weidelgrassil 4N Bg ex S (a)'!L65</f>
        <v>0</v>
      </c>
      <c r="N22" s="1567">
        <f>'35)Weidelgrassil 4N Bg ex S (a)'!N65</f>
        <v>0</v>
      </c>
      <c r="O22" s="1574">
        <f>'35)Weidelgrassil 4N Bg ex S 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'35)Weidelgrassil 4N Bg ex S (a)'!L67</f>
        <v>41.65</v>
      </c>
      <c r="N23" s="1567">
        <f>'35)Weidelgrassil 4N Bg ex S (a)'!N67</f>
        <v>41.65</v>
      </c>
      <c r="O23" s="1574">
        <f>'35)Weidelgrassil 4N Bg ex S (a)'!P67</f>
        <v>41.65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'35)Weidelgrassil 4N Bg ex S (a)'!L42</f>
        <v>489.68561137387769</v>
      </c>
      <c r="N24" s="1567">
        <f>'35)Weidelgrassil 4N Bg ex S (a)'!N42</f>
        <v>522.99245807580598</v>
      </c>
      <c r="O24" s="1574">
        <f>'35)Weidelgrassil 4N Bg ex S (a)'!P42</f>
        <v>556.29930477773439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'35)Weidelgrassil 4N Bg ex S (a)'!L58</f>
        <v>277.55305772727274</v>
      </c>
      <c r="N25" s="1567">
        <f>'35)Weidelgrassil 4N Bg ex S (a)'!N58</f>
        <v>319.00151500000004</v>
      </c>
      <c r="O25" s="1574">
        <f>'35)Weidelgrassil 4N Bg ex S (a)'!P58</f>
        <v>360.44997227272734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'35)Weidelgrassil 4N Bg ex S (a)'!L63</f>
        <v>0</v>
      </c>
      <c r="N26" s="1980">
        <f>'35)Weidelgrassil 4N Bg ex S (a)'!N63</f>
        <v>0</v>
      </c>
      <c r="O26" s="1981">
        <f>'35)Weidelgrassil 4N Bg ex S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916.26987310115055</v>
      </c>
      <c r="N27" s="1775">
        <f>SUM(N19:N26)</f>
        <v>1014.521489075806</v>
      </c>
      <c r="O27" s="2055">
        <f>SUM(O19:O26)</f>
        <v>1112.7731050504617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-916.26987310115055</v>
      </c>
      <c r="N28" s="2060">
        <f>-N27</f>
        <v>-1014.521489075806</v>
      </c>
      <c r="O28" s="2061">
        <f>-O27</f>
        <v>-1112.7731050504617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M27*'35)Weidelgrassil 4N Bg ex S (a)'!$L$70*'35)Weidelgrassil 4N Bg ex S (a)'!$P$70/12/100</f>
        <v>5.7266867068821909</v>
      </c>
      <c r="N30" s="1980">
        <f>N27*'35)Weidelgrassil 4N Bg ex S (a)'!$L$70*'35)Weidelgrassil 4N Bg ex S (a)'!$P$70/12/100</f>
        <v>6.3407593067237871</v>
      </c>
      <c r="O30" s="1981">
        <f>O27*'35)Weidelgrassil 4N Bg ex S (a)'!$L$70*'35)Weidelgrassil 4N Bg ex S (a)'!$P$70/12/100</f>
        <v>6.9548319065653859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-651.99655980803277</v>
      </c>
      <c r="N31" s="1769">
        <f>N28+N29-N30</f>
        <v>-750.86224838252986</v>
      </c>
      <c r="O31" s="1776">
        <f>O28+O29-O30</f>
        <v>-849.72793695702705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-0.30369138821141722</v>
      </c>
      <c r="N32" s="1561">
        <f>IF(N12=0,0,N31/N12)</f>
        <v>-0.28615231674699454</v>
      </c>
      <c r="O32" s="2047">
        <f>IF(O12=0,0,O31/O12)</f>
        <v>-0.27400988265624032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-8.4358718947615916</v>
      </c>
      <c r="N33" s="1576">
        <f>IF(N13=0,0,N31/N13)</f>
        <v>-7.9486754651942917</v>
      </c>
      <c r="O33" s="2052">
        <f>IF(O13=0,0,O31/O13)</f>
        <v>-7.6113856293400088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'35)Weidelgrassil 4N Bg ex S (a)'!K57</f>
        <v>23.202632821723732</v>
      </c>
      <c r="N35" s="2396">
        <f>'35)Weidelgrassil 4N Bg ex S (a)'!M57</f>
        <v>24.294329004329001</v>
      </c>
      <c r="O35" s="2398">
        <f>'35)Weidelgrassil 4N Bg ex S (a)'!O57</f>
        <v>25.386025186934276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'35)Weidelgrassil 4N Bg ex S (a)'!L10</f>
        <v>39.86013986013986</v>
      </c>
      <c r="N36" s="2431">
        <f>'35)Weidelgrassil 4N Bg ex S (a)'!N10</f>
        <v>48.717948717948715</v>
      </c>
      <c r="O36" s="2432">
        <f>'35)Weidelgrassil 4N Bg ex S (a)'!P10</f>
        <v>57.575757575757578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406.04607438016529</v>
      </c>
      <c r="N37" s="1567">
        <f>$J$37*N35</f>
        <v>425.1507575757575</v>
      </c>
      <c r="O37" s="1574">
        <f>$J$37*O35</f>
        <v>444.25544077134981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193.68706293706293</v>
      </c>
      <c r="N38" s="2433">
        <f>N36*$I$36</f>
        <v>236.72863247863248</v>
      </c>
      <c r="O38" s="2429">
        <f>O36*$I$36</f>
        <v>279.77020202020202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'Festk-Masch-Geb'!$Z$44</f>
        <v>760.08231247895617</v>
      </c>
      <c r="N39" s="1567">
        <f>'Festk-Masch-Geb'!$Z$44</f>
        <v>760.08231247895617</v>
      </c>
      <c r="O39" s="1574">
        <f>'Festk-Masch-Geb'!$Z$44</f>
        <v>760.08231247895617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1867.6354497961845</v>
      </c>
      <c r="N43" s="1991">
        <f>SUM(N37:N42)</f>
        <v>1619.7817025333461</v>
      </c>
      <c r="O43" s="1994">
        <f>SUM(O37:O42)</f>
        <v>1681.9279552705079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2789.6320096042173</v>
      </c>
      <c r="N46" s="2041">
        <f>N27+N30+N43</f>
        <v>2640.6439509158758</v>
      </c>
      <c r="O46" s="2080">
        <f>O27+O30+O43</f>
        <v>2801.6558922275353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-2789.6320096042173</v>
      </c>
      <c r="N47" s="2227">
        <f>N45-N46</f>
        <v>-2640.6439509158758</v>
      </c>
      <c r="O47" s="2228">
        <f>O45-O46</f>
        <v>-2801.6558922275353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-2519.6320096042173</v>
      </c>
      <c r="N49" s="1991">
        <f>N47+N48</f>
        <v>-2370.6439509158758</v>
      </c>
      <c r="O49" s="1994">
        <f>O47+O48</f>
        <v>-2531.6558922275353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2519.6320096042173</v>
      </c>
      <c r="N51" s="1771">
        <f>N46-N48</f>
        <v>2370.6439509158758</v>
      </c>
      <c r="O51" s="3358">
        <f>O46-O48</f>
        <v>2531.6558922275353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11.090626968012023</v>
      </c>
      <c r="N52" s="2335">
        <f>IF(N10=0,0,N$51/N10)</f>
        <v>8.5375868994243618</v>
      </c>
      <c r="O52" s="2336">
        <f>IF(O10=0,0,O$51/O10)</f>
        <v>7.7147669868933644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31.687505622891496</v>
      </c>
      <c r="N53" s="2335">
        <f>IF(N9=0,0,N$51/N9)</f>
        <v>24.393105426926745</v>
      </c>
      <c r="O53" s="2336">
        <f>IF(O9=0,0,O$51/O9)</f>
        <v>22.042191391123897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72.089075292078149</v>
      </c>
      <c r="N54" s="2335">
        <f t="shared" si="3"/>
        <v>55.494314846258348</v>
      </c>
      <c r="O54" s="2336">
        <f t="shared" si="3"/>
        <v>50.145985414806866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1.1736113193663515</v>
      </c>
      <c r="N55" s="2219">
        <f t="shared" si="3"/>
        <v>0.90344834914543504</v>
      </c>
      <c r="O55" s="2220">
        <f t="shared" si="3"/>
        <v>0.81637745893051472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32.600314426843106</v>
      </c>
      <c r="N56" s="2219">
        <f>IF(N13=0,0,N$51/N13)</f>
        <v>25.095787476262085</v>
      </c>
      <c r="O56" s="2220">
        <f>IF(O13=0,0,O$51/O13)</f>
        <v>22.677151636958744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0.32600314426843097</v>
      </c>
      <c r="N57" s="2222">
        <f>N51/$N$12*10/$F$57</f>
        <v>0.25095787476262088</v>
      </c>
      <c r="O57" s="2223">
        <f>O51/$O$12*10/$F$57</f>
        <v>0.22677151636958742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2325.9449466671545</v>
      </c>
      <c r="N58" s="1769">
        <f>N51-N38</f>
        <v>2133.9153184372435</v>
      </c>
      <c r="O58" s="1776">
        <f>O51-O38</f>
        <v>2251.8856902073335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29.251649961229383</v>
      </c>
      <c r="N59" s="3416">
        <f>N58/N9</f>
        <v>21.957249765264635</v>
      </c>
      <c r="O59" s="3417">
        <f>O58/O9</f>
        <v>19.606335729461787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1.0833944430084956</v>
      </c>
      <c r="N60" s="2130">
        <f>IF(N12=0,0,N$58/N12)</f>
        <v>0.81323147278757912</v>
      </c>
      <c r="O60" s="2217">
        <f>IF(O12=0,0,O$58/O12)</f>
        <v>0.7261605825726587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0.30094290083569325</v>
      </c>
      <c r="N61" s="2130">
        <f>N58/$N$12*10/$F$57</f>
        <v>0.22589763132988308</v>
      </c>
      <c r="O61" s="3422">
        <f>O58/$O$12*10/$F$57</f>
        <v>0.20171127293684965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30.094290083569327</v>
      </c>
      <c r="N62" s="1874">
        <f>IF(N13=0,0,N$58/N13)</f>
        <v>22.589763132988306</v>
      </c>
      <c r="O62" s="2032">
        <f>IF(O13=0,0,O$58/O13)</f>
        <v>20.171127293684965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154.75789070688225</v>
      </c>
      <c r="N64" s="1772">
        <f>SUM(N19:N23)+N30</f>
        <v>178.86827530672383</v>
      </c>
      <c r="O64" s="1773">
        <f>SUM(O19:O23)+O30</f>
        <v>202.97865990656541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7.2084181976790881E-2</v>
      </c>
      <c r="N65" s="2031">
        <f>IF(N12=0,0,N64/N12)</f>
        <v>6.8166393345537563E-2</v>
      </c>
      <c r="O65" s="2032">
        <f>IF(O12=0,0,O64/O12)</f>
        <v>6.5454078139285249E-2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1966.6739026622001</v>
      </c>
      <c r="N66" s="2038">
        <f>N24+N25+N26+N39+N37</f>
        <v>2027.2270431305199</v>
      </c>
      <c r="O66" s="2039">
        <f>O24+O25+O26+O39+O37</f>
        <v>2121.0870303007678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0.91605073473777365</v>
      </c>
      <c r="N67" s="2168">
        <f>IF(N12=0,0,N66/N12)</f>
        <v>0.7725727538087992</v>
      </c>
      <c r="O67" s="2187">
        <f>IF(O12=0,0,O66/O12)</f>
        <v>0.68398222889755289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89&amp;9
&amp;R&amp;12&amp;F
&amp;A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1">
    <tabColor rgb="FF00B050"/>
  </sheetPr>
  <dimension ref="A1:AS83"/>
  <sheetViews>
    <sheetView showGridLines="0" showZeros="0" zoomScaleNormal="100" zoomScaleSheetLayoutView="100" workbookViewId="0">
      <pane ySplit="6" topLeftCell="A25" activePane="bottomLeft" state="frozen"/>
      <selection pane="bottomLeft" activeCell="U33" sqref="U33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6" width="9.28515625" style="7" customWidth="1"/>
    <col min="7" max="7" width="10.85546875" style="7" customWidth="1"/>
    <col min="8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9.7109375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1183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3" t="s">
        <v>671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>
        <f>VLOOKUP($Y$5,$S$4:$T$9,2)</f>
        <v>0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6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75</v>
      </c>
      <c r="L6" s="1676"/>
      <c r="M6" s="520">
        <f>$K$6*M7/100</f>
        <v>32.25</v>
      </c>
      <c r="N6" s="521">
        <f>$K$6*N7/100</f>
        <v>24</v>
      </c>
      <c r="O6" s="521">
        <f>$K$6*O7/100</f>
        <v>18.75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43</v>
      </c>
      <c r="N7" s="466">
        <v>32</v>
      </c>
      <c r="O7" s="466">
        <v>25</v>
      </c>
      <c r="P7" s="466"/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2605"/>
      <c r="M10" s="412">
        <v>35</v>
      </c>
      <c r="N10" s="412">
        <v>35</v>
      </c>
      <c r="O10" s="412">
        <v>35</v>
      </c>
      <c r="P10" s="412">
        <v>0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13">
        <v>37</v>
      </c>
      <c r="O11" s="413">
        <v>37</v>
      </c>
      <c r="P11" s="413">
        <v>0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5.9999999999999991</v>
      </c>
      <c r="L12" s="1679"/>
      <c r="M12" s="881">
        <v>6</v>
      </c>
      <c r="N12" s="881">
        <v>6</v>
      </c>
      <c r="O12" s="881">
        <v>6</v>
      </c>
      <c r="P12" s="881">
        <v>0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2.2199999999999998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30.637499999999999</v>
      </c>
      <c r="N14" s="252">
        <f>N6*(100-N8)/100</f>
        <v>22.8</v>
      </c>
      <c r="O14" s="252">
        <f>O6*(100-O8)/100</f>
        <v>17.8125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3046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203.57142857142858</v>
      </c>
      <c r="L15" s="1684"/>
      <c r="M15" s="251">
        <f>IF(M10=0,0,M14/M10*100)</f>
        <v>87.535714285714278</v>
      </c>
      <c r="N15" s="252">
        <f>IF(N10=0,0,N14/N10*100)</f>
        <v>65.142857142857153</v>
      </c>
      <c r="O15" s="252">
        <f>IF(O10=0,0,O14/O10*100)</f>
        <v>50.892857142857139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3046" t="s">
        <v>563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 t="shared" si="0"/>
        <v>0</v>
      </c>
      <c r="L16" s="4311"/>
      <c r="M16" s="2419">
        <f>IF(S16=FALSE,0,IF(M12=0,0,M15/M12))</f>
        <v>0</v>
      </c>
      <c r="N16" s="2420">
        <f>IF(S16=FALSE,0,IF(N12=0,0,N15/N12))</f>
        <v>0</v>
      </c>
      <c r="O16" s="2420">
        <f>IF(S16=FALSE,0,IF(O12=0,0,O15/O12))</f>
        <v>0</v>
      </c>
      <c r="P16" s="2420">
        <f>IF(S16=FALSE,0,IF(P12=0,0,P15/P12))</f>
        <v>0</v>
      </c>
      <c r="Q16" s="2421">
        <f>IF(S16=FALSE,0,IF(Q12=0,0,1/Q12*Q15))</f>
        <v>0</v>
      </c>
      <c r="R16" s="539"/>
      <c r="S16" s="2633" t="b">
        <v>0</v>
      </c>
      <c r="T16" s="608"/>
      <c r="U16" s="608"/>
      <c r="V16" s="608"/>
      <c r="W16" s="608"/>
      <c r="X16" s="608"/>
      <c r="Y16"/>
      <c r="Z16" s="608"/>
      <c r="AA16" s="3046" t="s">
        <v>564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28.492874999999998</v>
      </c>
      <c r="N17" s="254">
        <f>N14*(100-N9)/100</f>
        <v>21.204000000000001</v>
      </c>
      <c r="O17" s="254">
        <f>O14*(100-O9)/100</f>
        <v>16.565625000000001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6" t="s">
        <v>361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179.08783783783784</v>
      </c>
      <c r="L18" s="1686"/>
      <c r="M18" s="251">
        <f>IF(M11=0,0,M17/M11*100)</f>
        <v>77.007770270270257</v>
      </c>
      <c r="N18" s="254">
        <f>IF(N11=0,0,N17/N11*100)</f>
        <v>57.308108108108115</v>
      </c>
      <c r="O18" s="254">
        <f>IF(O11=0,0,O17/O11*100)</f>
        <v>44.77195945945946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12.834628378378376</v>
      </c>
      <c r="N19" s="505">
        <f>IF(N12=0,0,1/N12*N18)</f>
        <v>9.5513513513513519</v>
      </c>
      <c r="O19" s="505">
        <f>IF(O12=0,0,1/O12*O18)</f>
        <v>7.461993243243243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28.999999999999996</v>
      </c>
      <c r="L20" s="1689"/>
      <c r="M20" s="312">
        <v>29</v>
      </c>
      <c r="N20" s="313">
        <v>29</v>
      </c>
      <c r="O20" s="313">
        <v>29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1.0439999999999998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0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1921.6125</v>
      </c>
      <c r="L22" s="1690"/>
      <c r="M22" s="446">
        <f t="shared" ref="M22:Q23" si="1">M$17*M20</f>
        <v>826.29337499999997</v>
      </c>
      <c r="N22" s="448">
        <f t="shared" si="1"/>
        <v>614.91600000000005</v>
      </c>
      <c r="O22" s="448">
        <f t="shared" si="1"/>
        <v>480.40312500000005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69.178049999999985</v>
      </c>
      <c r="L23" s="1691"/>
      <c r="M23" s="447">
        <f t="shared" si="1"/>
        <v>29.746561499999991</v>
      </c>
      <c r="N23" s="449">
        <f t="shared" si="1"/>
        <v>22.136975999999997</v>
      </c>
      <c r="O23" s="449">
        <f t="shared" si="1"/>
        <v>17.294512499999996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2585"/>
      <c r="C24" s="231"/>
      <c r="D24" s="323" t="s">
        <v>912</v>
      </c>
      <c r="E24" s="2586"/>
      <c r="F24" s="2587"/>
      <c r="G24" s="323"/>
      <c r="H24" s="2588"/>
      <c r="I24" s="2589"/>
      <c r="J24" s="3052" t="str">
        <f>"Güllewert bei Güllerücknahme zu "&amp;K24*100&amp;"%"</f>
        <v>Güllewert bei Güllerücknahme zu 100%</v>
      </c>
      <c r="K24" s="3182">
        <v>1</v>
      </c>
      <c r="L24" s="3050">
        <f>K24*(L36*(1-$AC$14)+L37*(1-$AC$15)+L38*(1-$AC$16)+L39*(1-$AC$17))</f>
        <v>442.41220041666662</v>
      </c>
      <c r="M24" s="2603">
        <f>M14/$K$14*$L$24</f>
        <v>190.23724617916665</v>
      </c>
      <c r="N24" s="2604">
        <f>N14/$K$14*$L$24</f>
        <v>141.57190413333333</v>
      </c>
      <c r="O24" s="2604">
        <f>O14/$K$14*$L$24</f>
        <v>110.60305010416666</v>
      </c>
      <c r="P24" s="2604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 s="4063">
        <f>IF($B26=0,0,VLOOKUP($B26,Ausglleist!$C$8:$O$44,13,FALSE))</f>
        <v>0</v>
      </c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 s="4063">
        <f>IF($B27=0,0,VLOOKUP($B27,Ausglleist!$C$8:$O$44,13,FALSE))</f>
        <v>0</v>
      </c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 s="4063">
        <f>IF($B28=0,0,VLOOKUP($B28,Ausglleist!$C$8:$O$44,13,FALSE))</f>
        <v>0</v>
      </c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4064">
        <f>IF($B29=0,0,VLOOKUP($B29,Ausglleist!$C$8:$O$44,13,FALSE))</f>
        <v>0</v>
      </c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116.1</v>
      </c>
      <c r="N30" s="254">
        <f>$L30*N7/100</f>
        <v>86.4</v>
      </c>
      <c r="O30" s="254">
        <f>$L30*O7/100</f>
        <v>67.5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10.122199999999999</v>
      </c>
      <c r="N32" s="461">
        <f>$L32*N$7/100</f>
        <v>7.5327999999999999</v>
      </c>
      <c r="O32" s="461">
        <f>$L32*O$7/100</f>
        <v>5.8849999999999998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442€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55.005072499999983</v>
      </c>
      <c r="M34" s="460">
        <f>$L34*M$7/100</f>
        <v>23.652181174999992</v>
      </c>
      <c r="N34" s="461">
        <f>$L34*N$7/100</f>
        <v>17.601623199999995</v>
      </c>
      <c r="O34" s="461">
        <f>$L34*O$7/100</f>
        <v>13.751268124999998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-50</v>
      </c>
      <c r="J36" s="159"/>
      <c r="K36" s="1703">
        <f>H36*$K$14+I36</f>
        <v>106.75</v>
      </c>
      <c r="L36" s="1704">
        <f>K36*$F36</f>
        <v>183.35024166666668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0.48</v>
      </c>
      <c r="I39" s="120"/>
      <c r="J39" s="161"/>
      <c r="K39" s="1705">
        <f>H39*$K$14+I39</f>
        <v>34.199999999999996</v>
      </c>
      <c r="L39" s="1706">
        <f>K39*$F39</f>
        <v>20.348999999999997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32.066513305960001</v>
      </c>
      <c r="M43" s="484">
        <f>SUM(Z46:Z56)</f>
        <v>12.505674904519999</v>
      </c>
      <c r="N43" s="484">
        <f>SUM(AA46:AA56)</f>
        <v>12.505674904519999</v>
      </c>
      <c r="O43" s="484">
        <f>SUM(AB46:AB56)</f>
        <v>7.0551634969199988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0.99</v>
      </c>
      <c r="K46" s="1651">
        <f t="shared" ref="K46:K56" si="3">J46*H46</f>
        <v>0.81179999999999997</v>
      </c>
      <c r="L46" s="1704">
        <f t="shared" ref="L46:L56" si="4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5">IF(M46&lt;&gt;0,M46*$H46,0)</f>
        <v>0.27060000000000001</v>
      </c>
      <c r="U46" s="479">
        <f t="shared" ref="U46:U56" si="6">IF(N46&lt;&gt;0,N46*$H46,0)</f>
        <v>0.27060000000000001</v>
      </c>
      <c r="V46" s="479">
        <f t="shared" ref="V46:V56" si="7">IF(O46&lt;&gt;0,O46*$H46,0)</f>
        <v>0.27060000000000001</v>
      </c>
      <c r="W46" s="479">
        <f t="shared" ref="W46:W56" si="8">IF(P46&lt;&gt;0,P46*$H46,0)</f>
        <v>0</v>
      </c>
      <c r="X46" s="480">
        <f t="shared" ref="X46:X56" si="9">IF(Q46&lt;&gt;0,Q46*$H46,0)</f>
        <v>0</v>
      </c>
      <c r="Y46"/>
      <c r="Z46" s="478">
        <f t="shared" ref="Z46:Z56" si="10">IF(M46&lt;&gt;0,M46*$I46,0)</f>
        <v>3.9342326672879988</v>
      </c>
      <c r="AA46" s="479">
        <f t="shared" ref="AA46:AA56" si="11">IF(N46&lt;&gt;0,N46*$I46,0)</f>
        <v>3.9342326672879988</v>
      </c>
      <c r="AB46" s="479">
        <f t="shared" ref="AB46:AB56" si="12">IF(O46&lt;&gt;0,O46*$I46,0)</f>
        <v>3.9342326672879988</v>
      </c>
      <c r="AC46" s="479">
        <f t="shared" ref="AC46:AC56" si="13">IF(P46&lt;&gt;0,P46*$I46,0)</f>
        <v>0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0.99</v>
      </c>
      <c r="K47" s="1651">
        <f t="shared" si="3"/>
        <v>0.47519999999999996</v>
      </c>
      <c r="L47" s="1704">
        <f t="shared" si="4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5"/>
        <v>0.15840000000000001</v>
      </c>
      <c r="U47" s="479">
        <f t="shared" si="6"/>
        <v>0.15840000000000001</v>
      </c>
      <c r="V47" s="479">
        <f t="shared" si="7"/>
        <v>0.15840000000000001</v>
      </c>
      <c r="W47" s="479">
        <f t="shared" si="8"/>
        <v>0</v>
      </c>
      <c r="X47" s="480">
        <f t="shared" si="9"/>
        <v>0</v>
      </c>
      <c r="Y47"/>
      <c r="Z47" s="478">
        <f t="shared" si="10"/>
        <v>3.1209308296319995</v>
      </c>
      <c r="AA47" s="479">
        <f t="shared" si="11"/>
        <v>3.1209308296319995</v>
      </c>
      <c r="AB47" s="479">
        <f t="shared" si="12"/>
        <v>3.1209308296319995</v>
      </c>
      <c r="AC47" s="479">
        <f t="shared" si="13"/>
        <v>0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/>
      <c r="C49" s="104"/>
      <c r="D49" s="137">
        <f>IF($B49=0,0,VLOOKUP($B49,Arbeitsgänge!$B$27:$O$75,2))</f>
        <v>0</v>
      </c>
      <c r="E49" s="8"/>
      <c r="F49" s="8"/>
      <c r="G49" s="468">
        <f>IF($B49=0,0,VLOOKUP($B49,Arbeitsgänge!$B$27:$T$80,7))</f>
        <v>0</v>
      </c>
      <c r="H49" s="507">
        <f>IF($B49=0,0,VLOOKUP($B49,Arbeitsgänge!$B$27:$O$79,12))</f>
        <v>0</v>
      </c>
      <c r="I49" s="469">
        <f>IF($B49=0,0,VLOOKUP($B49,Arbeitsgänge!$B$27:$T$80,14))</f>
        <v>0</v>
      </c>
      <c r="J49" s="593">
        <f t="shared" si="2"/>
        <v>0</v>
      </c>
      <c r="K49" s="1651">
        <f t="shared" si="3"/>
        <v>0</v>
      </c>
      <c r="L49" s="1704">
        <f t="shared" si="4"/>
        <v>0</v>
      </c>
      <c r="M49" s="317"/>
      <c r="N49" s="318"/>
      <c r="O49" s="318"/>
      <c r="P49" s="318"/>
      <c r="Q49" s="319"/>
      <c r="R49" s="542"/>
      <c r="S49" s="542"/>
      <c r="T49" s="478">
        <f t="shared" si="5"/>
        <v>0</v>
      </c>
      <c r="U49" s="479">
        <f t="shared" si="6"/>
        <v>0</v>
      </c>
      <c r="V49" s="479">
        <f t="shared" si="7"/>
        <v>0</v>
      </c>
      <c r="W49" s="479">
        <f t="shared" si="8"/>
        <v>0</v>
      </c>
      <c r="X49" s="480">
        <f t="shared" si="9"/>
        <v>0</v>
      </c>
      <c r="Y49"/>
      <c r="Z49" s="478">
        <f t="shared" si="10"/>
        <v>0</v>
      </c>
      <c r="AA49" s="479">
        <f t="shared" si="11"/>
        <v>0</v>
      </c>
      <c r="AB49" s="479">
        <f t="shared" si="12"/>
        <v>0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/>
      <c r="C50" s="104"/>
      <c r="D50" s="137">
        <f>IF($B50=0,0,VLOOKUP($B50,Arbeitsgänge!$B$27:$O$75,2))</f>
        <v>0</v>
      </c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0</v>
      </c>
      <c r="I50" s="469">
        <f>IF($B50=0,0,VLOOKUP($B50,Arbeitsgänge!$B$27:$T$80,14))</f>
        <v>0</v>
      </c>
      <c r="J50" s="593">
        <f t="shared" si="2"/>
        <v>0</v>
      </c>
      <c r="K50" s="1651">
        <f t="shared" si="3"/>
        <v>0</v>
      </c>
      <c r="L50" s="1704">
        <f t="shared" si="4"/>
        <v>0</v>
      </c>
      <c r="M50" s="317"/>
      <c r="N50" s="318"/>
      <c r="O50" s="318"/>
      <c r="P50" s="318"/>
      <c r="Q50" s="319"/>
      <c r="R50" s="542"/>
      <c r="S50" s="542"/>
      <c r="T50" s="478">
        <f t="shared" si="5"/>
        <v>0</v>
      </c>
      <c r="U50" s="479">
        <f t="shared" si="6"/>
        <v>0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0</v>
      </c>
      <c r="AA50" s="479">
        <f t="shared" si="11"/>
        <v>0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/>
      <c r="C51" s="104"/>
      <c r="D51" s="137">
        <f>IF($B51=0,0,VLOOKUP($B51,Arbeitsgänge!$B$27:$O$75,2))</f>
        <v>0</v>
      </c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2"/>
        <v>0</v>
      </c>
      <c r="K51" s="1651">
        <f t="shared" si="3"/>
        <v>0</v>
      </c>
      <c r="L51" s="1704">
        <f t="shared" si="4"/>
        <v>0</v>
      </c>
      <c r="M51" s="317"/>
      <c r="N51" s="318"/>
      <c r="O51" s="318"/>
      <c r="P51" s="318"/>
      <c r="Q51" s="319"/>
      <c r="R51" s="542"/>
      <c r="S51" s="542"/>
      <c r="T51" s="478">
        <f t="shared" si="5"/>
        <v>0</v>
      </c>
      <c r="U51" s="479">
        <f t="shared" si="6"/>
        <v>0</v>
      </c>
      <c r="V51" s="479">
        <f t="shared" si="7"/>
        <v>0</v>
      </c>
      <c r="W51" s="479">
        <f t="shared" si="8"/>
        <v>0</v>
      </c>
      <c r="X51" s="480">
        <f t="shared" si="9"/>
        <v>0</v>
      </c>
      <c r="Y51"/>
      <c r="Z51" s="478">
        <f t="shared" si="10"/>
        <v>0</v>
      </c>
      <c r="AA51" s="479">
        <f t="shared" si="11"/>
        <v>0</v>
      </c>
      <c r="AB51" s="479">
        <f t="shared" si="12"/>
        <v>0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/>
      <c r="C52" s="104"/>
      <c r="D52" s="137">
        <f>IF($B52=0,0,VLOOKUP($B52,Arbeitsgänge!$B$27:$O$75,2))</f>
        <v>0</v>
      </c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2"/>
        <v>0</v>
      </c>
      <c r="K52" s="1651">
        <f t="shared" si="3"/>
        <v>0</v>
      </c>
      <c r="L52" s="1704">
        <f t="shared" si="4"/>
        <v>0</v>
      </c>
      <c r="M52" s="317"/>
      <c r="N52" s="318"/>
      <c r="O52" s="318"/>
      <c r="P52" s="318"/>
      <c r="Q52" s="319"/>
      <c r="R52" s="542"/>
      <c r="S52" s="542"/>
      <c r="T52" s="478">
        <f t="shared" si="5"/>
        <v>0</v>
      </c>
      <c r="U52" s="479">
        <f t="shared" si="6"/>
        <v>0</v>
      </c>
      <c r="V52" s="479">
        <f t="shared" si="7"/>
        <v>0</v>
      </c>
      <c r="W52" s="479">
        <f t="shared" si="8"/>
        <v>0</v>
      </c>
      <c r="X52" s="480">
        <f t="shared" si="9"/>
        <v>0</v>
      </c>
      <c r="Y52"/>
      <c r="Z52" s="478">
        <f t="shared" si="10"/>
        <v>0</v>
      </c>
      <c r="AA52" s="479">
        <f t="shared" si="11"/>
        <v>0</v>
      </c>
      <c r="AB52" s="479">
        <f t="shared" si="12"/>
        <v>0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/>
      <c r="C53" s="104"/>
      <c r="D53" s="137">
        <f>IF($B53=0,0,VLOOKUP($B53,Arbeitsgänge!$B$27:$O$75,2))</f>
        <v>0</v>
      </c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2"/>
        <v>0</v>
      </c>
      <c r="K53" s="1651">
        <f t="shared" si="3"/>
        <v>0</v>
      </c>
      <c r="L53" s="1704">
        <f t="shared" si="4"/>
        <v>0</v>
      </c>
      <c r="M53" s="317"/>
      <c r="N53" s="318"/>
      <c r="O53" s="318"/>
      <c r="P53" s="318"/>
      <c r="Q53" s="319"/>
      <c r="R53" s="542"/>
      <c r="S53" s="542"/>
      <c r="T53" s="478">
        <f t="shared" si="5"/>
        <v>0</v>
      </c>
      <c r="U53" s="479">
        <f t="shared" si="6"/>
        <v>0</v>
      </c>
      <c r="V53" s="479">
        <f t="shared" si="7"/>
        <v>0</v>
      </c>
      <c r="W53" s="479">
        <f t="shared" si="8"/>
        <v>0</v>
      </c>
      <c r="X53" s="480">
        <f t="shared" si="9"/>
        <v>0</v>
      </c>
      <c r="Y53"/>
      <c r="Z53" s="478">
        <f t="shared" si="10"/>
        <v>0</v>
      </c>
      <c r="AA53" s="479">
        <f t="shared" si="11"/>
        <v>0</v>
      </c>
      <c r="AB53" s="479">
        <f t="shared" si="12"/>
        <v>0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/>
      <c r="C54" s="104"/>
      <c r="D54" s="137">
        <f>IF($B54=0,0,VLOOKUP($B54,Arbeitsgänge!$B$27:$O$75,2))</f>
        <v>0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/>
      <c r="C55" s="104"/>
      <c r="D55" s="137">
        <f>IF($B55=0,0,VLOOKUP($B55,Arbeitsgänge!$B$27:$O$75,2))</f>
        <v>0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/>
      <c r="C56" s="107"/>
      <c r="D56" s="926">
        <f>IF($B56=0,0,VLOOKUP($B56,Arbeitsgänge!$B$27:$O$75,2))</f>
        <v>0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2.0270000000000001</v>
      </c>
      <c r="L57" s="1716"/>
      <c r="M57" s="278">
        <f>SUM(T46:T56)</f>
        <v>0.79900000000000004</v>
      </c>
      <c r="N57" s="508">
        <f>SUM(U46:U56)</f>
        <v>0.79900000000000004</v>
      </c>
      <c r="O57" s="508">
        <f>SUM(V46:V56)</f>
        <v>0.42900000000000005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3.6486000000000005</v>
      </c>
      <c r="L58" s="1718"/>
      <c r="M58" s="270">
        <f>IF(M57+(M57*$G$58/100)&gt;M57+10,M57+10,M57+(M57*$G$58/100))</f>
        <v>1.4382000000000001</v>
      </c>
      <c r="N58" s="509">
        <f>IF(N57+(N57*$G$58/100)&gt;N57+10,N57+10,N57+(N57*$G$58/100))</f>
        <v>1.4382000000000001</v>
      </c>
      <c r="O58" s="509">
        <f>IF(O57+(O57*$G$58/100)&gt;O57+10,O57+10,O57+(O57*$G$58/100))</f>
        <v>0.77220000000000011</v>
      </c>
      <c r="P58" s="509">
        <f>IF(P57+(P57*$G$58/100)&gt;P57+10,P57+10,P57+(P57*$G$58/100))</f>
        <v>0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90.492402499999997</v>
      </c>
      <c r="M59" s="253">
        <f>SUM(T61:T63)</f>
        <v>39.221133075000004</v>
      </c>
      <c r="N59" s="254">
        <f>SUM(U61:U63)</f>
        <v>28.648168800000001</v>
      </c>
      <c r="O59" s="254">
        <f>SUM(V61:V63)</f>
        <v>22.623100625000003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0.09</v>
      </c>
      <c r="N61" s="3088">
        <v>0.06</v>
      </c>
      <c r="O61" s="3088">
        <v>0.05</v>
      </c>
      <c r="P61" s="3088"/>
      <c r="Q61" s="2620"/>
      <c r="R61" s="542"/>
      <c r="S61" s="542"/>
      <c r="T61" s="2621">
        <f>IF(M61&lt;&gt;0,M61*$H61,0)</f>
        <v>6.9614999999999991</v>
      </c>
      <c r="U61" s="2621">
        <f t="shared" ref="U61:X63" si="15">IF(N61&lt;&gt;0,N61*$H61,0)</f>
        <v>4.6409999999999991</v>
      </c>
      <c r="V61" s="2621">
        <f t="shared" si="15"/>
        <v>3.8674999999999997</v>
      </c>
      <c r="W61" s="2621">
        <f t="shared" si="15"/>
        <v>0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2621">
        <f>IF(M62&lt;&gt;0,M62*$H62,0)</f>
        <v>0</v>
      </c>
      <c r="U62" s="2621">
        <f t="shared" si="15"/>
        <v>0</v>
      </c>
      <c r="V62" s="2621">
        <f t="shared" si="15"/>
        <v>0</v>
      </c>
      <c r="W62" s="2621">
        <f t="shared" si="15"/>
        <v>0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1464" t="s">
        <v>708</v>
      </c>
      <c r="E63" s="3071"/>
      <c r="F63" s="307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14.009785714285712</v>
      </c>
      <c r="K63" s="3074">
        <f>K17/(W66)/10*W68*K24</f>
        <v>14.009785714285714</v>
      </c>
      <c r="L63" s="3075">
        <f>K63*H63</f>
        <v>75.022402499999998</v>
      </c>
      <c r="M63" s="3458">
        <f>$K$63*M7/100</f>
        <v>6.0242078571428568</v>
      </c>
      <c r="N63" s="3459">
        <f>$K$63*N7/100</f>
        <v>4.4831314285714283</v>
      </c>
      <c r="O63" s="3459">
        <f>$K$63*O7/100</f>
        <v>3.502446428571429</v>
      </c>
      <c r="P63" s="3459">
        <f>$K$63*P7/100</f>
        <v>0</v>
      </c>
      <c r="Q63" s="3460">
        <f>$K$63*Q7/100</f>
        <v>0</v>
      </c>
      <c r="R63" s="542"/>
      <c r="S63" s="542"/>
      <c r="T63" s="2621">
        <f>IF(M63&lt;&gt;0,M63*$H63,0)</f>
        <v>32.259633075000004</v>
      </c>
      <c r="U63" s="2621">
        <f t="shared" si="15"/>
        <v>24.007168800000002</v>
      </c>
      <c r="V63" s="2621">
        <f t="shared" si="15"/>
        <v>18.755600625000003</v>
      </c>
      <c r="W63" s="2621">
        <f t="shared" si="15"/>
        <v>0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0</v>
      </c>
      <c r="M67" s="253">
        <f t="shared" si="16"/>
        <v>0</v>
      </c>
      <c r="N67" s="254">
        <f t="shared" si="16"/>
        <v>0</v>
      </c>
      <c r="O67" s="254">
        <f t="shared" si="16"/>
        <v>0</v>
      </c>
      <c r="P67" s="254">
        <f t="shared" si="16"/>
        <v>0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3056">
        <v>0.74</v>
      </c>
    </row>
    <row r="69" spans="1:43" s="51" customFormat="1" ht="15" customHeight="1" x14ac:dyDescent="0.2">
      <c r="A69" s="52"/>
      <c r="B69" s="937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7">IF(AND($B69&lt;3,V$5=1),M$7*$I69/100,IF(AND($B69=3,V$5=3),M$7*$I69/100,0))</f>
        <v>0</v>
      </c>
      <c r="N69" s="933">
        <f t="shared" si="17"/>
        <v>0</v>
      </c>
      <c r="O69" s="933">
        <f t="shared" si="17"/>
        <v>0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0</v>
      </c>
      <c r="L77" s="3321">
        <f t="shared" si="18"/>
        <v>0</v>
      </c>
      <c r="M77" s="3321">
        <f t="shared" si="18"/>
        <v>0</v>
      </c>
      <c r="N77" s="3321">
        <f t="shared" si="18"/>
        <v>0</v>
      </c>
      <c r="O77" s="3321">
        <f t="shared" si="18"/>
        <v>0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2" firstPageNumber="15" orientation="portrait" useFirstPageNumber="1" horizontalDpi="300" verticalDpi="300" r:id="rId1"/>
  <headerFooter alignWithMargins="0">
    <oddFooter>&amp;L&amp;12LEL Schwäbisch Gmünd (Abtlg. II)
LAZBW Aulendorf&amp;C&amp;12 90&amp;9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69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0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1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2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3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0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1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2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3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4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6" r:id="rId20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2">
    <tabColor rgb="FF00B050"/>
    <pageSetUpPr fitToPage="1"/>
  </sheetPr>
  <dimension ref="B1:AS99"/>
  <sheetViews>
    <sheetView showGridLines="0" showZeros="0" zoomScaleNormal="100" workbookViewId="0">
      <pane xSplit="13" ySplit="5" topLeftCell="N33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7.140625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'36)GS 3Nutz Biogas Feld-(a)'!H2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'36)GS 3Nutz Biogas Feld-(a)'!K2</f>
        <v>Grassilage 3 Nutz. Biogas ab Feld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5.7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'36)GS 3Nutz Biogas Feld-(a)'!H3</f>
        <v>Grassilage für Verkauf an Biogasanlage ab Feld (ohne Ernte, Lagerraum, Abdeckung);Rücklieferung Gärrest unter 100% Anrechung der Netto-Nährstoffe (30% N-Verluste) und Kosten Gärrestausbringung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'36)GS 3Nutz Biogas Feld-(a)'!M5</f>
        <v>Silage</v>
      </c>
      <c r="O5" s="1568" t="str">
        <f>'36)GS 3Nutz Biogas Feld-(a)'!N5</f>
        <v>Silage</v>
      </c>
      <c r="P5" s="1568" t="str">
        <f>'36)GS 3Nutz Biogas Feld-(a)'!O5</f>
        <v>Silage</v>
      </c>
      <c r="Q5" s="1568">
        <f>'36)GS 3Nutz Biogas Feld-(a)'!P5</f>
        <v>0</v>
      </c>
      <c r="R5" s="1573">
        <f>'36)GS 3Nutz Biogas Feld-(a)'!Q5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'36)GS 3Nutz Biogas Feld-(a)'!K6</f>
        <v>75</v>
      </c>
      <c r="N6" s="1821">
        <f>'36)GS 3Nutz Biogas Feld-(a)'!M6</f>
        <v>32.25</v>
      </c>
      <c r="O6" s="1821">
        <f>'36)GS 3Nutz Biogas Feld-(a)'!N6</f>
        <v>24</v>
      </c>
      <c r="P6" s="1821">
        <f>'36)GS 3Nutz Biogas Feld-(a)'!O6</f>
        <v>18.75</v>
      </c>
      <c r="Q6" s="1821">
        <f>'36)GS 3Nutz Biogas Feld-(a)'!P6</f>
        <v>0</v>
      </c>
      <c r="R6" s="1822">
        <f>'36)GS 3Nutz Biogas Feld-(a)'!Q6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'36)GS 3Nutz Biogas Feld-(a)'!K14</f>
        <v>71.25</v>
      </c>
      <c r="N7" s="452">
        <f>'36)GS 3Nutz Biogas Feld-(a)'!M14</f>
        <v>30.637499999999999</v>
      </c>
      <c r="O7" s="452">
        <f>'36)GS 3Nutz Biogas Feld-(a)'!N14</f>
        <v>22.8</v>
      </c>
      <c r="P7" s="452">
        <f>'36)GS 3Nutz Biogas Feld-(a)'!O14</f>
        <v>17.8125</v>
      </c>
      <c r="Q7" s="452">
        <f>'36)GS 3Nutz Biogas Feld-(a)'!P14</f>
        <v>0</v>
      </c>
      <c r="R7" s="1744">
        <f>'36)GS 3Nutz Biogas Feld-(a)'!Q14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'36)GS 3Nutz Biogas Feld-(a)'!K15</f>
        <v>203.57142857142858</v>
      </c>
      <c r="N8" s="473">
        <f>'36)GS 3Nutz Biogas Feld-(a)'!M15</f>
        <v>87.535714285714278</v>
      </c>
      <c r="O8" s="473">
        <f>'36)GS 3Nutz Biogas Feld-(a)'!N15</f>
        <v>65.142857142857153</v>
      </c>
      <c r="P8" s="473">
        <f>'36)GS 3Nutz Biogas Feld-(a)'!O15</f>
        <v>50.892857142857139</v>
      </c>
      <c r="Q8" s="473">
        <f>'36)GS 3Nutz Biogas Feld-(a)'!P15</f>
        <v>0</v>
      </c>
      <c r="R8" s="1583">
        <f>'36)GS 3Nutz Biogas Feld-(a)'!Q15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'36)GS 3Nutz Biogas Feld-(a)'!K17</f>
        <v>66.262500000000003</v>
      </c>
      <c r="N9" s="452">
        <f>'36)GS 3Nutz Biogas Feld-(a)'!M17</f>
        <v>28.492874999999998</v>
      </c>
      <c r="O9" s="452">
        <f>'36)GS 3Nutz Biogas Feld-(a)'!N17</f>
        <v>21.204000000000001</v>
      </c>
      <c r="P9" s="452">
        <f>'36)GS 3Nutz Biogas Feld-(a)'!O17</f>
        <v>16.565625000000001</v>
      </c>
      <c r="Q9" s="452">
        <f>'36)GS 3Nutz Biogas Feld-(a)'!P17</f>
        <v>0</v>
      </c>
      <c r="R9" s="1744">
        <f>'36)GS 3Nutz Biogas Feld-(a)'!Q17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'36)GS 3Nutz Biogas Feld-(a)'!K18</f>
        <v>179.08783783783784</v>
      </c>
      <c r="N10" s="1748">
        <f>'36)GS 3Nutz Biogas Feld-(a)'!M18</f>
        <v>77.007770270270257</v>
      </c>
      <c r="O10" s="1748">
        <f>'36)GS 3Nutz Biogas Feld-(a)'!N18</f>
        <v>57.308108108108115</v>
      </c>
      <c r="P10" s="1748">
        <f>'36)GS 3Nutz Biogas Feld-(a)'!O18</f>
        <v>44.77195945945946</v>
      </c>
      <c r="Q10" s="1748">
        <f>'36)GS 3Nutz Biogas Feld-(a)'!P18</f>
        <v>0</v>
      </c>
      <c r="R10" s="1745">
        <f>'36)GS 3Nutz Biogas Feld-(a)'!Q18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'36)GS 3Nutz Biogas Feld-(a)'!K19</f>
        <v>29.847972972972968</v>
      </c>
      <c r="N11" s="2094">
        <f>'36)GS 3Nutz Biogas Feld-(a)'!M19</f>
        <v>12.834628378378376</v>
      </c>
      <c r="O11" s="2094">
        <f>'36)GS 3Nutz Biogas Feld-(a)'!N19</f>
        <v>9.5513513513513519</v>
      </c>
      <c r="P11" s="2094">
        <f>'36)GS 3Nutz Biogas Feld-(a)'!O19</f>
        <v>7.461993243243243</v>
      </c>
      <c r="Q11" s="2094">
        <f>'36)GS 3Nutz Biogas Feld-(a)'!P19</f>
        <v>0</v>
      </c>
      <c r="R11" s="2078">
        <f>'36)GS 3Nutz Biogas Feld-(a)'!Q19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'36)GS 3Nutz Biogas Feld-(a)'!K22</f>
        <v>1921.6125</v>
      </c>
      <c r="N12" s="1176">
        <f>'36)GS 3Nutz Biogas Feld-(a)'!M22</f>
        <v>826.29337499999997</v>
      </c>
      <c r="O12" s="1176">
        <f>'36)GS 3Nutz Biogas Feld-(a)'!N22</f>
        <v>614.91600000000005</v>
      </c>
      <c r="P12" s="1176">
        <f>'36)GS 3Nutz Biogas Feld-(a)'!O22</f>
        <v>480.40312500000005</v>
      </c>
      <c r="Q12" s="1176">
        <f>'36)GS 3Nutz Biogas Feld-(a)'!P22</f>
        <v>0</v>
      </c>
      <c r="R12" s="1747">
        <f>'36)GS 3Nutz Biogas Feld-(a)'!Q22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'36)GS 3Nutz Biogas Feld-(a)'!K23</f>
        <v>69.178049999999985</v>
      </c>
      <c r="N13" s="2065">
        <f>'36)GS 3Nutz Biogas Feld-(a)'!M23</f>
        <v>29.746561499999991</v>
      </c>
      <c r="O13" s="2065">
        <f>'36)GS 3Nutz Biogas Feld-(a)'!N23</f>
        <v>22.136975999999997</v>
      </c>
      <c r="P13" s="2065">
        <f>'36)GS 3Nutz Biogas Feld-(a)'!O23</f>
        <v>17.294512499999996</v>
      </c>
      <c r="Q13" s="2065">
        <f>'36)GS 3Nutz Biogas Feld-(a)'!P23</f>
        <v>0</v>
      </c>
      <c r="R13" s="2067">
        <f>'36)GS 3Nutz Biogas Feld-(a)'!Q23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116.1</v>
      </c>
      <c r="O15" s="3340">
        <f t="shared" si="0"/>
        <v>86.4</v>
      </c>
      <c r="P15" s="3339">
        <f t="shared" si="0"/>
        <v>67.5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116.1</v>
      </c>
      <c r="O17" s="2065">
        <f t="shared" si="2"/>
        <v>86.4</v>
      </c>
      <c r="P17" s="3334">
        <f t="shared" si="2"/>
        <v>67.5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'36)GS 3Nutz Biogas Feld-(a)'!L32</f>
        <v>23.54</v>
      </c>
      <c r="N19" s="2071">
        <f>'36)GS 3Nutz Biogas Feld-(a)'!M32</f>
        <v>10.122199999999999</v>
      </c>
      <c r="O19" s="2071">
        <f>'36)GS 3Nutz Biogas Feld-(a)'!N32</f>
        <v>7.5327999999999999</v>
      </c>
      <c r="P19" s="2071">
        <f>'36)GS 3Nutz Biogas Feld-(a)'!O32</f>
        <v>5.8849999999999998</v>
      </c>
      <c r="Q19" s="2071">
        <f>'36)GS 3Nutz Biogas Feld-(a)'!P32</f>
        <v>0</v>
      </c>
      <c r="R19" s="2073">
        <f>'36)GS 3Nutz Biogas Feld-(a)'!Q32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'36)GS 3Nutz Biogas Feld-(a)'!L34</f>
        <v>55.005072499999983</v>
      </c>
      <c r="N20" s="285">
        <f>'36)GS 3Nutz Biogas Feld-(a)'!M34</f>
        <v>23.652181174999992</v>
      </c>
      <c r="O20" s="285">
        <f>'36)GS 3Nutz Biogas Feld-(a)'!N34</f>
        <v>17.601623199999995</v>
      </c>
      <c r="P20" s="285">
        <f>'36)GS 3Nutz Biogas Feld-(a)'!O34</f>
        <v>13.751268124999998</v>
      </c>
      <c r="Q20" s="285">
        <f>'36)GS 3Nutz Biogas Feld-(a)'!P34</f>
        <v>0</v>
      </c>
      <c r="R20" s="1574">
        <f>'36)GS 3Nutz Biogas Feld-(a)'!Q34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'36)GS 3Nutz Biogas Feld-(a)'!L40</f>
        <v>0</v>
      </c>
      <c r="N21" s="285">
        <f>'36)GS 3Nutz Biogas Feld-(a)'!M40</f>
        <v>0</v>
      </c>
      <c r="O21" s="285">
        <f>'36)GS 3Nutz Biogas Feld-(a)'!N40</f>
        <v>0</v>
      </c>
      <c r="P21" s="285">
        <f>'36)GS 3Nutz Biogas Feld-(a)'!O40</f>
        <v>0</v>
      </c>
      <c r="Q21" s="285">
        <f>'36)GS 3Nutz Biogas Feld-(a)'!P40</f>
        <v>0</v>
      </c>
      <c r="R21" s="1574">
        <f>'36)GS 3Nutz Biogas Feld-(a)'!Q40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'36)GS 3Nutz Biogas Feld-(a)'!L67</f>
        <v>0</v>
      </c>
      <c r="N23" s="285">
        <f>'36)GS 3Nutz Biogas Feld-(a)'!M67</f>
        <v>0</v>
      </c>
      <c r="O23" s="285">
        <f>'36)GS 3Nutz Biogas Feld-(a)'!N67</f>
        <v>0</v>
      </c>
      <c r="P23" s="285">
        <f>'36)GS 3Nutz Biogas Feld-(a)'!O67</f>
        <v>0</v>
      </c>
      <c r="Q23" s="285">
        <f>'36)GS 3Nutz Biogas Feld-(a)'!P67</f>
        <v>0</v>
      </c>
      <c r="R23" s="1574">
        <f>'36)GS 3Nutz Biogas Feld-(a)'!Q67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'36)GS 3Nutz Biogas Feld-(a)'!L43</f>
        <v>32.066513305960001</v>
      </c>
      <c r="N24" s="285">
        <f>'36)GS 3Nutz Biogas Feld-(a)'!M43</f>
        <v>12.505674904519999</v>
      </c>
      <c r="O24" s="285">
        <f>'36)GS 3Nutz Biogas Feld-(a)'!N43</f>
        <v>12.505674904519999</v>
      </c>
      <c r="P24" s="285">
        <f>'36)GS 3Nutz Biogas Feld-(a)'!O43</f>
        <v>7.0551634969199988</v>
      </c>
      <c r="Q24" s="285">
        <f>'36)GS 3Nutz Biogas Feld-(a)'!P43</f>
        <v>0</v>
      </c>
      <c r="R24" s="1574">
        <f>'36)GS 3Nutz Biogas Feld-(a)'!Q43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'36)GS 3Nutz Biogas Feld-(a)'!L59</f>
        <v>90.492402499999997</v>
      </c>
      <c r="N25" s="285">
        <f>'36)GS 3Nutz Biogas Feld-(a)'!M59</f>
        <v>39.221133075000004</v>
      </c>
      <c r="O25" s="285">
        <f>'36)GS 3Nutz Biogas Feld-(a)'!N59</f>
        <v>28.648168800000001</v>
      </c>
      <c r="P25" s="285">
        <f>'36)GS 3Nutz Biogas Feld-(a)'!O59</f>
        <v>22.623100625000003</v>
      </c>
      <c r="Q25" s="285">
        <f>'36)GS 3Nutz Biogas Feld-(a)'!P59</f>
        <v>0</v>
      </c>
      <c r="R25" s="1574">
        <f>'36)GS 3Nutz Biogas Feld-(a)'!Q59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'36)GS 3Nutz Biogas Feld-(a)'!L64</f>
        <v>0</v>
      </c>
      <c r="N26" s="1979">
        <f>'36)GS 3Nutz Biogas Feld-(a)'!M64</f>
        <v>0</v>
      </c>
      <c r="O26" s="1979">
        <f>'36)GS 3Nutz Biogas Feld-(a)'!N64</f>
        <v>0</v>
      </c>
      <c r="P26" s="1979">
        <f>'36)GS 3Nutz Biogas Feld-(a)'!O64</f>
        <v>0</v>
      </c>
      <c r="Q26" s="1979">
        <f>'36)GS 3Nutz Biogas Feld-(a)'!P64</f>
        <v>0</v>
      </c>
      <c r="R26" s="1981">
        <f>'36)GS 3Nutz Biogas Feld-(a)'!Q64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201.10398830595997</v>
      </c>
      <c r="N27" s="2407">
        <f t="shared" si="4"/>
        <v>85.501189154519992</v>
      </c>
      <c r="O27" s="2407">
        <f t="shared" si="4"/>
        <v>66.288266904519986</v>
      </c>
      <c r="P27" s="2407">
        <f t="shared" si="4"/>
        <v>49.314532246919995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-201.10398830595997</v>
      </c>
      <c r="N28" s="1777">
        <f t="shared" si="5"/>
        <v>-85.501189154519992</v>
      </c>
      <c r="O28" s="1777">
        <f t="shared" si="5"/>
        <v>-66.288266904519986</v>
      </c>
      <c r="P28" s="1777">
        <f t="shared" si="5"/>
        <v>-49.314532246919995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-0.1046537677632509</v>
      </c>
      <c r="N29" s="1874">
        <f t="shared" si="6"/>
        <v>-0.10347558354140259</v>
      </c>
      <c r="O29" s="1874">
        <f t="shared" si="6"/>
        <v>-0.10780052381873294</v>
      </c>
      <c r="P29" s="1874">
        <f t="shared" si="6"/>
        <v>-0.10265239687381299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116.1</v>
      </c>
      <c r="O30" s="2097">
        <f t="shared" si="7"/>
        <v>86.4</v>
      </c>
      <c r="P30" s="2097">
        <f t="shared" si="7"/>
        <v>67.5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'36)GS 3Nutz Biogas Feld-(a)'!L25</f>
        <v>0</v>
      </c>
      <c r="V30" s="3308">
        <f>'36)GS 3Nutz Biogas Feld-(a)'!M25</f>
        <v>0</v>
      </c>
      <c r="W30" s="3308">
        <f>'36)GS 3Nutz Biogas Feld-(a)'!N25</f>
        <v>0</v>
      </c>
      <c r="X30" s="3308">
        <f>'36)GS 3Nutz Biogas Feld-(a)'!O25</f>
        <v>0</v>
      </c>
      <c r="Y30" s="3308">
        <f>'36)GS 3Nutz Biogas Feld-(a)'!P25</f>
        <v>0</v>
      </c>
      <c r="Z30" s="3308">
        <f>'36)GS 3Nutz Biogas Feld-(a)'!Q25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M27*'36)GS 3Nutz Biogas Feld-(a)'!$L$72*'36)GS 3Nutz Biogas Feld-(a)'!$Q$72/12/100</f>
        <v>1.2568999269122498</v>
      </c>
      <c r="N31" s="1979">
        <f>N27*'36)GS 3Nutz Biogas Feld-(a)'!$L$72*'36)GS 3Nutz Biogas Feld-(a)'!$Q$72/12/100</f>
        <v>0.53438243221574999</v>
      </c>
      <c r="O31" s="1979">
        <f>O27*'36)GS 3Nutz Biogas Feld-(a)'!$L$72*'36)GS 3Nutz Biogas Feld-(a)'!$Q$72/12/100</f>
        <v>0.41430166815324987</v>
      </c>
      <c r="P31" s="1979">
        <f>P27*'36)GS 3Nutz Biogas Feld-(a)'!$L$72*'36)GS 3Nutz Biogas Feld-(a)'!$Q$72/12/100</f>
        <v>0.30821582654324997</v>
      </c>
      <c r="Q31" s="1979">
        <f>Q27*'36)GS 3Nutz Biogas Feld-(a)'!$L$72*'36)GS 3Nutz Biogas Feld-(a)'!$Q$72/12/100</f>
        <v>0</v>
      </c>
      <c r="R31" s="1981">
        <f>R27*'36)GS 3Nutz Biogas Feld-(a)'!$L$72*'36)GS 3Nutz Biogas Feld-(a)'!$Q$72/12/100</f>
        <v>0</v>
      </c>
      <c r="T31" s="3297" t="s">
        <v>1215</v>
      </c>
      <c r="U31" s="8">
        <f>'36)GS 3Nutz Biogas Feld-(a)'!L30</f>
        <v>270</v>
      </c>
      <c r="V31" s="8">
        <f>'36)GS 3Nutz Biogas Feld-(a)'!M30</f>
        <v>116.1</v>
      </c>
      <c r="W31" s="8">
        <f>'36)GS 3Nutz Biogas Feld-(a)'!N30</f>
        <v>86.4</v>
      </c>
      <c r="X31" s="8">
        <f>'36)GS 3Nutz Biogas Feld-(a)'!O30</f>
        <v>67.5</v>
      </c>
      <c r="Y31" s="8">
        <f>'36)GS 3Nutz Biogas Feld-(a)'!P30</f>
        <v>0</v>
      </c>
      <c r="Z31" s="8">
        <f>'36)GS 3Nutz Biogas Feld-(a)'!Q30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67.639111767127773</v>
      </c>
      <c r="N32" s="1769">
        <f t="shared" si="8"/>
        <v>30.064428413264253</v>
      </c>
      <c r="O32" s="1769">
        <f t="shared" si="8"/>
        <v>19.697431427326769</v>
      </c>
      <c r="P32" s="1769">
        <f t="shared" si="8"/>
        <v>17.877251926536754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116.1</v>
      </c>
      <c r="W32" s="429">
        <f t="shared" si="9"/>
        <v>86.4</v>
      </c>
      <c r="X32" s="429">
        <f t="shared" si="9"/>
        <v>67.5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3.5199142265741806E-2</v>
      </c>
      <c r="N33" s="1581">
        <f t="shared" si="10"/>
        <v>3.6384690138976675E-2</v>
      </c>
      <c r="O33" s="1581">
        <f t="shared" si="10"/>
        <v>3.2032718984913007E-2</v>
      </c>
      <c r="P33" s="1581">
        <f t="shared" si="10"/>
        <v>3.721302172323869E-2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0.97775395182616143</v>
      </c>
      <c r="N34" s="2149">
        <f t="shared" si="11"/>
        <v>1.0106858371937968</v>
      </c>
      <c r="O34" s="2149">
        <f t="shared" si="11"/>
        <v>0.88979774958091706</v>
      </c>
      <c r="P34" s="2149">
        <f t="shared" si="11"/>
        <v>1.0336950478677418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'36)GS 3Nutz Biogas Feld-(a)'!K58</f>
        <v>3.6486000000000005</v>
      </c>
      <c r="N36" s="2397">
        <f>'36)GS 3Nutz Biogas Feld-(a)'!M58</f>
        <v>1.4382000000000001</v>
      </c>
      <c r="O36" s="2397">
        <f>'36)GS 3Nutz Biogas Feld-(a)'!N58</f>
        <v>1.4382000000000001</v>
      </c>
      <c r="P36" s="2397">
        <f>'36)GS 3Nutz Biogas Feld-(a)'!O58</f>
        <v>0.77220000000000011</v>
      </c>
      <c r="Q36" s="2397">
        <f>'36)GS 3Nutz Biogas Feld-(a)'!P58</f>
        <v>0</v>
      </c>
      <c r="R36" s="2398">
        <f>'36)GS 3Nutz Biogas Feld-(a)'!Q58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'36)GS 3Nutz Biogas Feld-(a)'!K16</f>
        <v>0</v>
      </c>
      <c r="N37" s="2400">
        <f>'36)GS 3Nutz Biogas Feld-(a)'!M16</f>
        <v>0</v>
      </c>
      <c r="O37" s="2400">
        <f>'36)GS 3Nutz Biogas Feld-(a)'!N16</f>
        <v>0</v>
      </c>
      <c r="P37" s="2400">
        <f>'36)GS 3Nutz Biogas Feld-(a)'!O16</f>
        <v>0</v>
      </c>
      <c r="Q37" s="2400">
        <f>'36)GS 3Nutz Biogas Feld-(a)'!P16</f>
        <v>0</v>
      </c>
      <c r="R37" s="2401">
        <f>'36)GS 3Nutz Biogas Feld-(a)'!Q16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'36)GS 3Nutz Biogas Feld-(a)'!M78</f>
        <v>4.8591666666666669</v>
      </c>
      <c r="O38" s="1997">
        <f>'36)GS 3Nutz Biogas Feld-(a)'!N78</f>
        <v>4.8591666666666669</v>
      </c>
      <c r="P38" s="1997">
        <f>'36)GS 3Nutz Biogas Feld-(a)'!O78</f>
        <v>4.8591666666666669</v>
      </c>
      <c r="Q38" s="1997">
        <f>'36)GS 3Nutz Biogas Feld-(a)'!P78</f>
        <v>0</v>
      </c>
      <c r="R38" s="1998">
        <f>'36)GS 3Nutz Biogas Feld-(a)'!Q78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63.850500000000011</v>
      </c>
      <c r="N39" s="285">
        <f t="shared" si="13"/>
        <v>25.168500000000002</v>
      </c>
      <c r="O39" s="285">
        <f t="shared" si="13"/>
        <v>25.168500000000002</v>
      </c>
      <c r="P39" s="285">
        <f t="shared" si="13"/>
        <v>13.513500000000002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'Festk-Masch-Geb'!T44-'Festk-Masch-Geb'!T30-'Festk-Masch-Geb'!T31-'Festk-Masch-Geb'!T32-'Festk-Masch-Geb'!T33-'Festk-Masch-Geb'!T36-'Festk-Masch-Geb'!T37-'Festk-Masch-Geb'!T38</f>
        <v>247.56691851851858</v>
      </c>
      <c r="N41" s="285">
        <f>N$6/$M$6*$M$41</f>
        <v>106.45377496296298</v>
      </c>
      <c r="O41" s="285">
        <f>O$6/$M$6*$M$41</f>
        <v>79.221413925925944</v>
      </c>
      <c r="P41" s="285">
        <f>P$6/$M$6*$M$41</f>
        <v>61.891729629629644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29.678599999999999</v>
      </c>
      <c r="O42" s="285">
        <f>O$6/$M$6*$M$42</f>
        <v>22.086399999999998</v>
      </c>
      <c r="P42" s="285">
        <f>P$6/$M$6*$M$42</f>
        <v>17.254999999999999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55.384000000000007</v>
      </c>
      <c r="O44" s="1979">
        <f>O$6/$M$6*$M$44</f>
        <v>41.216000000000001</v>
      </c>
      <c r="P44" s="1979">
        <f>P$6/$M$6*$M$44</f>
        <v>32.200000000000003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509.23741851851861</v>
      </c>
      <c r="N45" s="1991">
        <f t="shared" si="14"/>
        <v>216.68487496296299</v>
      </c>
      <c r="O45" s="1991">
        <f t="shared" si="14"/>
        <v>167.69231392592596</v>
      </c>
      <c r="P45" s="1991">
        <f t="shared" si="14"/>
        <v>124.86022962962964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711.59830675139085</v>
      </c>
      <c r="N48" s="2127">
        <f t="shared" si="16"/>
        <v>302.72044654969875</v>
      </c>
      <c r="O48" s="2041">
        <f t="shared" si="16"/>
        <v>234.3948824985992</v>
      </c>
      <c r="P48" s="2041">
        <f t="shared" si="16"/>
        <v>174.4829777030929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-711.59830675139085</v>
      </c>
      <c r="N49" s="2125">
        <f t="shared" si="17"/>
        <v>-302.72044654969875</v>
      </c>
      <c r="O49" s="1772">
        <f t="shared" si="17"/>
        <v>-234.3948824985992</v>
      </c>
      <c r="P49" s="1772">
        <f t="shared" si="17"/>
        <v>-174.4829777030929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-0.37031311294623181</v>
      </c>
      <c r="N50" s="2511">
        <f t="shared" si="18"/>
        <v>-0.36635952279019396</v>
      </c>
      <c r="O50" s="2168">
        <f t="shared" si="18"/>
        <v>-0.38118195411828476</v>
      </c>
      <c r="P50" s="2168">
        <f t="shared" si="18"/>
        <v>-0.36320117131438912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116.1</v>
      </c>
      <c r="O51" s="2185">
        <f t="shared" si="19"/>
        <v>86.4</v>
      </c>
      <c r="P51" s="2185">
        <f t="shared" si="19"/>
        <v>67.5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-441.59830675139085</v>
      </c>
      <c r="N52" s="2178">
        <f t="shared" si="20"/>
        <v>-186.62044654969876</v>
      </c>
      <c r="O52" s="2081">
        <f t="shared" si="20"/>
        <v>-147.9948824985992</v>
      </c>
      <c r="P52" s="2081">
        <f t="shared" si="20"/>
        <v>-106.9829777030929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-0.22980611686871877</v>
      </c>
      <c r="N53" s="2511">
        <f t="shared" si="21"/>
        <v>-0.22585252671268091</v>
      </c>
      <c r="O53" s="2168">
        <f t="shared" si="21"/>
        <v>-0.24067495804077171</v>
      </c>
      <c r="P53" s="2168">
        <f t="shared" si="21"/>
        <v>-0.2226941752368761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441.59830675139085</v>
      </c>
      <c r="N55" s="2038">
        <f t="shared" si="22"/>
        <v>186.62044654969876</v>
      </c>
      <c r="O55" s="2038">
        <f t="shared" si="22"/>
        <v>147.9948824985992</v>
      </c>
      <c r="P55" s="2038">
        <f t="shared" si="22"/>
        <v>106.9829777030929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>IF(M8=0,0,M$55/M8)</f>
        <v>2.1692548401822709</v>
      </c>
      <c r="N56" s="2103">
        <f>IF(N8=0,0,N$55/N8)</f>
        <v>2.1319349259043516</v>
      </c>
      <c r="O56" s="2103">
        <f>IF(O8=0,0,O$55/O8)</f>
        <v>2.2718512664258643</v>
      </c>
      <c r="P56" s="2103">
        <f>IF(P8=0,0,P$55/P8)</f>
        <v>2.1021216671484924</v>
      </c>
      <c r="Q56" s="2103">
        <f>IF(Q10=0,0,Q$55/Q10)</f>
        <v>0</v>
      </c>
      <c r="R56" s="2104">
        <f>IF(R10=0,0,R$55/R10)</f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IF($M$7=0,0,M$55/$M$7)</f>
        <v>6.197870971949345</v>
      </c>
      <c r="N57" s="3427">
        <f>IF($N$7=0,0,N$55/$N$7)</f>
        <v>6.091242645441004</v>
      </c>
      <c r="O57" s="3427">
        <f>IF($O$7=0,0,O$55/$O$7)</f>
        <v>6.4910036183596134</v>
      </c>
      <c r="P57" s="3427">
        <f>IF($P$7=0,0,P$55/$P$7)</f>
        <v>6.006061906138549</v>
      </c>
      <c r="Q57" s="3427">
        <f>IF($Q$7=0,0,Q$55/$Q$7)</f>
        <v>0</v>
      </c>
      <c r="R57" s="3428">
        <f>IF($R$7=0,0,R$55/$R$7)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4">IF(M11=0,0,M$55/M11)</f>
        <v>14.794917804008117</v>
      </c>
      <c r="N58" s="2134">
        <f t="shared" si="24"/>
        <v>14.540385669762399</v>
      </c>
      <c r="O58" s="2134">
        <f t="shared" si="24"/>
        <v>15.494653798664883</v>
      </c>
      <c r="P58" s="2134">
        <f t="shared" si="24"/>
        <v>14.337051001750085</v>
      </c>
      <c r="Q58" s="2134">
        <f t="shared" si="24"/>
        <v>0</v>
      </c>
      <c r="R58" s="2135">
        <f t="shared" si="24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4"/>
        <v>0.22980611686871877</v>
      </c>
      <c r="N59" s="2136">
        <f t="shared" si="24"/>
        <v>0.22585252671268091</v>
      </c>
      <c r="O59" s="2136">
        <f t="shared" si="24"/>
        <v>0.24067495804077171</v>
      </c>
      <c r="P59" s="2136">
        <f t="shared" si="24"/>
        <v>0.2226941752368761</v>
      </c>
      <c r="Q59" s="2136">
        <f t="shared" si="24"/>
        <v>0</v>
      </c>
      <c r="R59" s="2137">
        <f t="shared" si="24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5">M59/$F$60*10</f>
        <v>6.383503246353299E-2</v>
      </c>
      <c r="N60" s="2136">
        <f t="shared" si="25"/>
        <v>6.2736812975744696E-2</v>
      </c>
      <c r="O60" s="2136">
        <f t="shared" si="25"/>
        <v>6.6854155011325481E-2</v>
      </c>
      <c r="P60" s="2136">
        <f t="shared" si="25"/>
        <v>6.185949312135447E-2</v>
      </c>
      <c r="Q60" s="2136">
        <f t="shared" si="25"/>
        <v>0</v>
      </c>
      <c r="R60" s="2137">
        <f t="shared" si="25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hidden="1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6">IF(M13=0,0,M$55/M13)</f>
        <v>6.3835032463533006</v>
      </c>
      <c r="N62" s="2513">
        <f t="shared" si="26"/>
        <v>6.2736812975744716</v>
      </c>
      <c r="O62" s="2513">
        <f t="shared" si="26"/>
        <v>6.6854155011325496</v>
      </c>
      <c r="P62" s="2513">
        <f t="shared" si="26"/>
        <v>6.185949312135449</v>
      </c>
      <c r="Q62" s="2513">
        <f t="shared" si="26"/>
        <v>0</v>
      </c>
      <c r="R62" s="2514">
        <f t="shared" si="26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7">M55-M40</f>
        <v>441.59830675139085</v>
      </c>
      <c r="N63" s="1769">
        <f t="shared" si="27"/>
        <v>186.62044654969876</v>
      </c>
      <c r="O63" s="1769">
        <f t="shared" si="27"/>
        <v>147.9948824985992</v>
      </c>
      <c r="P63" s="1769">
        <f t="shared" si="27"/>
        <v>106.9829777030929</v>
      </c>
      <c r="Q63" s="1769">
        <f t="shared" si="27"/>
        <v>0</v>
      </c>
      <c r="R63" s="1776">
        <f t="shared" si="27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IF($M$7=0,0,M$63/$M$7)</f>
        <v>6.197870971949345</v>
      </c>
      <c r="N64" s="3427">
        <f>IF($N$7=0,0,N$63/$N$7)</f>
        <v>6.091242645441004</v>
      </c>
      <c r="O64" s="3427">
        <f>IF($O$7=0,0,O$63/$O$7)</f>
        <v>6.4910036183596134</v>
      </c>
      <c r="P64" s="3427">
        <f>IF($P$7=0,0,P$63/$P$7)</f>
        <v>6.006061906138549</v>
      </c>
      <c r="Q64" s="3427">
        <f>IF($Q$7=0,0,Q$63/$Q$7)</f>
        <v>0</v>
      </c>
      <c r="R64" s="3428">
        <f>IF($R$7=0,0,R$63/$R$7)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8">IF(M12=0,0,M$63/M12)</f>
        <v>0.22980611686871877</v>
      </c>
      <c r="N65" s="2169">
        <f t="shared" si="28"/>
        <v>0.22585252671268091</v>
      </c>
      <c r="O65" s="2169">
        <f t="shared" si="28"/>
        <v>0.24067495804077171</v>
      </c>
      <c r="P65" s="2169">
        <f t="shared" si="28"/>
        <v>0.2226941752368761</v>
      </c>
      <c r="Q65" s="2169">
        <f t="shared" si="28"/>
        <v>0</v>
      </c>
      <c r="R65" s="2172">
        <f t="shared" si="28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f>C65+1</f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6.383503246353299E-2</v>
      </c>
      <c r="N66" s="2169">
        <f>N63/N12*10/$F$60</f>
        <v>6.2736812975744696E-2</v>
      </c>
      <c r="O66" s="2169">
        <f>O63/O12*10/$F$60</f>
        <v>6.6854155011325467E-2</v>
      </c>
      <c r="P66" s="2169">
        <f>P63/P12*10/$F$60</f>
        <v>6.1859493121354477E-2</v>
      </c>
      <c r="Q66" s="2169">
        <f>IF(Q12=0,0,Q63/Q12*10/$F$60)</f>
        <v>0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f t="shared" ref="C67:C72" si="29">C66+1</f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30">IF(M13=0,0,M$63/M13)</f>
        <v>6.3835032463533006</v>
      </c>
      <c r="N67" s="2171">
        <f t="shared" si="30"/>
        <v>6.2736812975744716</v>
      </c>
      <c r="O67" s="2171">
        <f t="shared" si="30"/>
        <v>6.6854155011325496</v>
      </c>
      <c r="P67" s="2171">
        <f t="shared" si="30"/>
        <v>6.185949312135449</v>
      </c>
      <c r="Q67" s="2171">
        <f t="shared" si="30"/>
        <v>0</v>
      </c>
      <c r="R67" s="2173">
        <f t="shared" si="30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1">M19+M20+M21+M22+M23+M31</f>
        <v>79.801972426912229</v>
      </c>
      <c r="N69" s="1772">
        <f t="shared" si="31"/>
        <v>34.308763607215738</v>
      </c>
      <c r="O69" s="1772">
        <f t="shared" si="31"/>
        <v>25.548724868153244</v>
      </c>
      <c r="P69" s="1772">
        <f t="shared" si="31"/>
        <v>19.944483951543248</v>
      </c>
      <c r="Q69" s="1772">
        <f t="shared" si="31"/>
        <v>0</v>
      </c>
      <c r="R69" s="1773">
        <f t="shared" si="31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 t="shared" si="29"/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2">IF(M69=0,0,M69/M12)</f>
        <v>4.1528649728762815E-2</v>
      </c>
      <c r="N70" s="2031">
        <f t="shared" si="32"/>
        <v>4.1521286077376256E-2</v>
      </c>
      <c r="O70" s="2031">
        <f t="shared" si="32"/>
        <v>4.1548316954109571E-2</v>
      </c>
      <c r="P70" s="2031">
        <f t="shared" si="32"/>
        <v>4.1516141160703825E-2</v>
      </c>
      <c r="Q70" s="2031">
        <f t="shared" si="32"/>
        <v>0</v>
      </c>
      <c r="R70" s="2032">
        <f t="shared" si="32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 t="shared" si="29"/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3">M24+M25+M26+M41+M39</f>
        <v>433.97633432447856</v>
      </c>
      <c r="N71" s="1769">
        <f t="shared" si="33"/>
        <v>183.34908294248299</v>
      </c>
      <c r="O71" s="1769">
        <f t="shared" si="33"/>
        <v>145.54375763044595</v>
      </c>
      <c r="P71" s="1769">
        <f t="shared" si="33"/>
        <v>105.08349375154965</v>
      </c>
      <c r="Q71" s="1769">
        <f t="shared" si="33"/>
        <v>0</v>
      </c>
      <c r="R71" s="1776">
        <f t="shared" si="33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 t="shared" si="29"/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4">IF(M71=0,0,M71/M12)</f>
        <v>0.22583967075801109</v>
      </c>
      <c r="N72" s="2168">
        <f t="shared" si="34"/>
        <v>0.22189344425335977</v>
      </c>
      <c r="O72" s="2168">
        <f t="shared" si="34"/>
        <v>0.23668884470471729</v>
      </c>
      <c r="P72" s="2168">
        <f t="shared" si="34"/>
        <v>0.2187402376942274</v>
      </c>
      <c r="Q72" s="2168">
        <f t="shared" si="34"/>
        <v>0</v>
      </c>
      <c r="R72" s="2187">
        <f t="shared" si="34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55:B72"/>
    <mergeCell ref="B47:B53"/>
    <mergeCell ref="B28:B34"/>
    <mergeCell ref="B36:B45"/>
    <mergeCell ref="D32:K32"/>
    <mergeCell ref="D28:K28"/>
    <mergeCell ref="D19:D23"/>
    <mergeCell ref="B3:B5"/>
    <mergeCell ref="B19:B27"/>
    <mergeCell ref="D24:D26"/>
    <mergeCell ref="B6:B13"/>
    <mergeCell ref="B1:H1"/>
    <mergeCell ref="L1:N1"/>
    <mergeCell ref="O1:R1"/>
    <mergeCell ref="F3:G3"/>
    <mergeCell ref="I3:R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3" firstPageNumber="15" orientation="portrait" useFirstPageNumber="1" horizontalDpi="300" verticalDpi="300" r:id="rId1"/>
  <headerFooter alignWithMargins="0">
    <oddFooter>&amp;L&amp;12LEL Schwäbisch Gmünd (Abtlg. II)
LAZBW Aulendorf&amp;C&amp;12 91&amp;9
&amp;R&amp;12&amp;F
&amp;A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5">
    <tabColor rgb="FF00B050"/>
    <pageSetUpPr fitToPage="1"/>
  </sheetPr>
  <dimension ref="A1:AS83"/>
  <sheetViews>
    <sheetView showGridLines="0" showZeros="0" topLeftCell="A16" zoomScaleNormal="100" workbookViewId="0">
      <selection activeCell="M52" sqref="M52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6" width="9.28515625" style="7" customWidth="1"/>
    <col min="7" max="7" width="10.5703125" style="7" customWidth="1"/>
    <col min="8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8.5703125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690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2" t="s">
        <v>1389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>
        <f>VLOOKUP($Y$5,$S$4:$T$9,2)</f>
        <v>0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6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75</v>
      </c>
      <c r="L6" s="1676"/>
      <c r="M6" s="520">
        <f>$K$6*M7/100</f>
        <v>32.25</v>
      </c>
      <c r="N6" s="521">
        <f>$K$6*N7/100</f>
        <v>24</v>
      </c>
      <c r="O6" s="521">
        <f>$K$6*O7/100</f>
        <v>18.75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43</v>
      </c>
      <c r="N7" s="466">
        <v>32</v>
      </c>
      <c r="O7" s="466">
        <v>25</v>
      </c>
      <c r="P7" s="466"/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2605"/>
      <c r="M10" s="412">
        <v>35</v>
      </c>
      <c r="N10" s="412">
        <v>35</v>
      </c>
      <c r="O10" s="412">
        <v>35</v>
      </c>
      <c r="P10" s="412">
        <v>0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2520">
        <v>37</v>
      </c>
      <c r="N11" s="413">
        <v>37</v>
      </c>
      <c r="O11" s="413">
        <v>37</v>
      </c>
      <c r="P11" s="413">
        <v>0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5.9999999999999991</v>
      </c>
      <c r="L12" s="1679"/>
      <c r="M12" s="881">
        <v>6</v>
      </c>
      <c r="N12" s="881">
        <v>6</v>
      </c>
      <c r="O12" s="881">
        <v>6</v>
      </c>
      <c r="P12" s="881">
        <v>0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2.2199999999999998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30.637499999999999</v>
      </c>
      <c r="N14" s="252">
        <f>N6*(100-N8)/100</f>
        <v>22.8</v>
      </c>
      <c r="O14" s="252">
        <f>O6*(100-O8)/100</f>
        <v>17.8125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577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203.57142857142858</v>
      </c>
      <c r="L15" s="1684"/>
      <c r="M15" s="251">
        <f>IF(M10=0,0,M14/M10*100)</f>
        <v>87.535714285714278</v>
      </c>
      <c r="N15" s="252">
        <f>IF(N10=0,0,N14/N10*100)</f>
        <v>65.142857142857153</v>
      </c>
      <c r="O15" s="252">
        <f>IF(O10=0,0,O14/O10*100)</f>
        <v>50.892857142857139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579" t="s">
        <v>436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 t="shared" si="0"/>
        <v>33.928571428571431</v>
      </c>
      <c r="L16" s="4311"/>
      <c r="M16" s="2419">
        <f>IF(S16=FALSE,0,IF(M12=0,0,M15/M12))</f>
        <v>14.589285714285714</v>
      </c>
      <c r="N16" s="2420">
        <f>IF(S16=FALSE,0,IF(N12=0,0,N15/N12))</f>
        <v>10.857142857142859</v>
      </c>
      <c r="O16" s="2420">
        <f>IF(S16=FALSE,0,IF(O12=0,0,O15/O12))</f>
        <v>8.4821428571428559</v>
      </c>
      <c r="P16" s="2420">
        <f>IF(S16=FALSE,0,IF(P12=0,0,P15/P12))</f>
        <v>0</v>
      </c>
      <c r="Q16" s="2421">
        <f>IF(S16=FALSE,0,IF(Q12=0,0,1/Q12*Q15))</f>
        <v>0</v>
      </c>
      <c r="R16" s="539"/>
      <c r="S16" s="2633" t="b">
        <v>1</v>
      </c>
      <c r="T16" s="608"/>
      <c r="U16" s="608"/>
      <c r="V16" s="608"/>
      <c r="W16" s="608"/>
      <c r="X16" s="608"/>
      <c r="Y16"/>
      <c r="Z16" s="608"/>
      <c r="AA16" s="2579" t="s">
        <v>437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28.492874999999998</v>
      </c>
      <c r="N17" s="254">
        <f>N14*(100-N9)/100</f>
        <v>21.204000000000001</v>
      </c>
      <c r="O17" s="254">
        <f>O14*(100-O9)/100</f>
        <v>16.565625000000001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2579" t="s">
        <v>438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179.08783783783784</v>
      </c>
      <c r="L18" s="1686"/>
      <c r="M18" s="251">
        <f>IF(M11=0,0,M17/M11*100)</f>
        <v>77.007770270270257</v>
      </c>
      <c r="N18" s="254">
        <f>IF(N11=0,0,N17/N11*100)</f>
        <v>57.308108108108115</v>
      </c>
      <c r="O18" s="254">
        <f>IF(O11=0,0,O17/O11*100)</f>
        <v>44.77195945945946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12.834628378378376</v>
      </c>
      <c r="N19" s="505">
        <f>IF(N12=0,0,1/N12*N18)</f>
        <v>9.5513513513513519</v>
      </c>
      <c r="O19" s="505">
        <f>IF(O12=0,0,1/O12*O18)</f>
        <v>7.461993243243243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28.999999999999996</v>
      </c>
      <c r="L20" s="1689"/>
      <c r="M20" s="312">
        <v>29</v>
      </c>
      <c r="N20" s="313">
        <v>29</v>
      </c>
      <c r="O20" s="313">
        <v>29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1.0439999999999998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0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1921.6125</v>
      </c>
      <c r="L22" s="1690"/>
      <c r="M22" s="446">
        <f t="shared" ref="M22:Q23" si="1">M$17*M20</f>
        <v>826.29337499999997</v>
      </c>
      <c r="N22" s="448">
        <f t="shared" si="1"/>
        <v>614.91600000000005</v>
      </c>
      <c r="O22" s="448">
        <f t="shared" si="1"/>
        <v>480.40312500000005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69.178049999999985</v>
      </c>
      <c r="L23" s="1691"/>
      <c r="M23" s="447">
        <f t="shared" si="1"/>
        <v>29.746561499999991</v>
      </c>
      <c r="N23" s="449">
        <f t="shared" si="1"/>
        <v>22.136975999999997</v>
      </c>
      <c r="O23" s="449">
        <f t="shared" si="1"/>
        <v>17.294512499999996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194"/>
      <c r="C24" s="231"/>
      <c r="D24" s="323" t="s">
        <v>912</v>
      </c>
      <c r="E24" s="2586"/>
      <c r="F24" s="2587"/>
      <c r="G24" s="323"/>
      <c r="H24" s="2588"/>
      <c r="I24" s="2589"/>
      <c r="J24" s="2634" t="str">
        <f>"Güllewert bei Güllerücknahme zu "&amp;K24*100&amp;"%"</f>
        <v>Güllewert bei Güllerücknahme zu 100%</v>
      </c>
      <c r="K24" s="3182">
        <v>1</v>
      </c>
      <c r="L24" s="1693">
        <f>K24*(L36*(1-$AC$14)+L37*(1-$AC$15)+L38*(1-$AC$16)+L39*(1-$AC$17))</f>
        <v>442.41220041666662</v>
      </c>
      <c r="M24" s="2603">
        <f>M14/$K$14*$L$24</f>
        <v>190.23724617916665</v>
      </c>
      <c r="N24" s="2604">
        <f>N14/$K$14*$L$24</f>
        <v>141.57190413333333</v>
      </c>
      <c r="O24" s="2604">
        <f>O14/$K$14*$L$24</f>
        <v>110.60305010416666</v>
      </c>
      <c r="P24" s="2604">
        <f>P14/$K$14*$L$24</f>
        <v>0</v>
      </c>
      <c r="Q24" s="45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69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116.1</v>
      </c>
      <c r="N30" s="254">
        <f>$L30*N7/100</f>
        <v>86.4</v>
      </c>
      <c r="O30" s="254">
        <f>$L30*O7/100</f>
        <v>67.5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10.122199999999999</v>
      </c>
      <c r="N32" s="461">
        <f>$L32*N$7/100</f>
        <v>7.5327999999999999</v>
      </c>
      <c r="O32" s="461">
        <f>$L32*O$7/100</f>
        <v>5.8849999999999998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442€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55.005072499999983</v>
      </c>
      <c r="M34" s="460">
        <f>$L34*M$7/100</f>
        <v>23.652181174999992</v>
      </c>
      <c r="N34" s="461">
        <f>$L34*N$7/100</f>
        <v>17.601623199999995</v>
      </c>
      <c r="O34" s="461">
        <f>$L34*O$7/100</f>
        <v>13.751268124999998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-50</v>
      </c>
      <c r="J36" s="159"/>
      <c r="K36" s="1703">
        <f>H36*$K$14+I36</f>
        <v>106.75</v>
      </c>
      <c r="L36" s="1704">
        <f>K36*$F36</f>
        <v>183.35024166666668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0.48</v>
      </c>
      <c r="I39" s="120"/>
      <c r="J39" s="161"/>
      <c r="K39" s="1705">
        <f>H39*$K$14+I39</f>
        <v>34.199999999999996</v>
      </c>
      <c r="L39" s="1706">
        <f>K39*$F39</f>
        <v>20.348999999999997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249.44244773006392</v>
      </c>
      <c r="M43" s="484">
        <f>SUM(Z46:Z56)</f>
        <v>99.207315925844668</v>
      </c>
      <c r="N43" s="484">
        <f>SUM(AA46:AA56)</f>
        <v>86.25333161927324</v>
      </c>
      <c r="O43" s="484">
        <f>SUM(AB46:AB56)</f>
        <v>63.981800184945982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0.99</v>
      </c>
      <c r="K46" s="1651">
        <f t="shared" ref="K46:K56" si="3">J46*H46</f>
        <v>0.81179999999999997</v>
      </c>
      <c r="L46" s="1704">
        <f t="shared" ref="L46:L56" si="4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5">IF(M46&lt;&gt;0,M46*$H46,0)</f>
        <v>0.27060000000000001</v>
      </c>
      <c r="U46" s="479">
        <f t="shared" ref="U46:U56" si="6">IF(N46&lt;&gt;0,N46*$H46,0)</f>
        <v>0.27060000000000001</v>
      </c>
      <c r="V46" s="479">
        <f t="shared" ref="V46:V56" si="7">IF(O46&lt;&gt;0,O46*$H46,0)</f>
        <v>0.27060000000000001</v>
      </c>
      <c r="W46" s="479">
        <f t="shared" ref="W46:W56" si="8">IF(P46&lt;&gt;0,P46*$H46,0)</f>
        <v>0</v>
      </c>
      <c r="X46" s="480">
        <f t="shared" ref="X46:X56" si="9">IF(Q46&lt;&gt;0,Q46*$H46,0)</f>
        <v>0</v>
      </c>
      <c r="Y46"/>
      <c r="Z46" s="478">
        <f t="shared" ref="Z46:Z56" si="10">IF(M46&lt;&gt;0,M46*$I46,0)</f>
        <v>3.9342326672879988</v>
      </c>
      <c r="AA46" s="479">
        <f t="shared" ref="AA46:AA56" si="11">IF(N46&lt;&gt;0,N46*$I46,0)</f>
        <v>3.9342326672879988</v>
      </c>
      <c r="AB46" s="479">
        <f t="shared" ref="AB46:AB56" si="12">IF(O46&lt;&gt;0,O46*$I46,0)</f>
        <v>3.9342326672879988</v>
      </c>
      <c r="AC46" s="479">
        <f t="shared" ref="AC46:AC56" si="13">IF(P46&lt;&gt;0,P46*$I46,0)</f>
        <v>0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0.99</v>
      </c>
      <c r="K47" s="1651">
        <f t="shared" si="3"/>
        <v>0.47519999999999996</v>
      </c>
      <c r="L47" s="1704">
        <f t="shared" si="4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5"/>
        <v>0.15840000000000001</v>
      </c>
      <c r="U47" s="479">
        <f t="shared" si="6"/>
        <v>0.15840000000000001</v>
      </c>
      <c r="V47" s="479">
        <f t="shared" si="7"/>
        <v>0.15840000000000001</v>
      </c>
      <c r="W47" s="479">
        <f t="shared" si="8"/>
        <v>0</v>
      </c>
      <c r="X47" s="480">
        <f t="shared" si="9"/>
        <v>0</v>
      </c>
      <c r="Y47"/>
      <c r="Z47" s="478">
        <f t="shared" si="10"/>
        <v>3.1209308296319995</v>
      </c>
      <c r="AA47" s="479">
        <f t="shared" si="11"/>
        <v>3.1209308296319995</v>
      </c>
      <c r="AB47" s="479">
        <f t="shared" si="12"/>
        <v>3.1209308296319995</v>
      </c>
      <c r="AC47" s="479">
        <f t="shared" si="13"/>
        <v>0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 t="str">
        <f>IF($B49=0,0,VLOOKUP($B49,Arbeitsgänge!$B$27:$O$75,2))</f>
        <v>Mähkomb. Heck/Front (6,2 m insg.)</v>
      </c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</v>
      </c>
      <c r="K49" s="1651">
        <f t="shared" si="3"/>
        <v>0.89999999999999991</v>
      </c>
      <c r="L49" s="1704">
        <f t="shared" si="4"/>
        <v>55.7749332</v>
      </c>
      <c r="M49" s="317">
        <v>1</v>
      </c>
      <c r="N49" s="318">
        <v>1</v>
      </c>
      <c r="O49" s="318">
        <v>1</v>
      </c>
      <c r="P49" s="318"/>
      <c r="Q49" s="319"/>
      <c r="R49" s="542"/>
      <c r="S49" s="542"/>
      <c r="T49" s="478">
        <f t="shared" si="5"/>
        <v>0.3</v>
      </c>
      <c r="U49" s="479">
        <f t="shared" si="6"/>
        <v>0.3</v>
      </c>
      <c r="V49" s="479">
        <f t="shared" si="7"/>
        <v>0.3</v>
      </c>
      <c r="W49" s="479">
        <f t="shared" si="8"/>
        <v>0</v>
      </c>
      <c r="X49" s="480">
        <f t="shared" si="9"/>
        <v>0</v>
      </c>
      <c r="Y49"/>
      <c r="Z49" s="478">
        <f t="shared" si="10"/>
        <v>18.5916444</v>
      </c>
      <c r="AA49" s="479">
        <f t="shared" si="11"/>
        <v>18.5916444</v>
      </c>
      <c r="AB49" s="479">
        <f t="shared" si="12"/>
        <v>18.5916444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 t="str">
        <f>IF($B50=0,0,VLOOKUP($B50,Arbeitsgänge!$B$27:$O$75,2))</f>
        <v>Kreiselwender 5,5 m</v>
      </c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2</v>
      </c>
      <c r="K50" s="1651">
        <f t="shared" si="3"/>
        <v>0.7</v>
      </c>
      <c r="L50" s="1704">
        <f t="shared" si="4"/>
        <v>17.155150935999998</v>
      </c>
      <c r="M50" s="317">
        <v>1</v>
      </c>
      <c r="N50" s="318">
        <v>1</v>
      </c>
      <c r="O50" s="318"/>
      <c r="P50" s="318"/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 t="str">
        <f>IF($B51=0,0,VLOOKUP($B51,Arbeitsgänge!$B$27:$O$75,2))</f>
        <v>Kreiselschwader: 7,5 m Seitenablage</v>
      </c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3</v>
      </c>
      <c r="K51" s="1651">
        <f t="shared" si="3"/>
        <v>0.78</v>
      </c>
      <c r="L51" s="1704">
        <f t="shared" si="4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24</v>
      </c>
      <c r="C52" s="104"/>
      <c r="D52" s="137" t="str">
        <f>IF($B52=0,0,VLOOKUP($B52,Arbeitsgänge!$B$27:$O$75,2))</f>
        <v>Grassilotransp Anwelkgut 3S-Kipper (10t Nutzl.) 7,7 t FM/ha</v>
      </c>
      <c r="E52" s="8"/>
      <c r="F52" s="8"/>
      <c r="G52" s="468" t="str">
        <f>IF($B52=0,0,VLOOKUP($B52,Arbeitsgänge!$B$27:$T$80,7))</f>
        <v>102 kW</v>
      </c>
      <c r="H52" s="507">
        <f>IF($B52=0,0,VLOOKUP($B52,Arbeitsgänge!$B$27:$O$79,12))</f>
        <v>0.66</v>
      </c>
      <c r="I52" s="469">
        <f>IF($B52=0,0,VLOOKUP($B52,Arbeitsgänge!$B$27:$T$80,14))</f>
        <v>23.779723352000001</v>
      </c>
      <c r="J52" s="593">
        <f t="shared" si="2"/>
        <v>2.6437847866419295</v>
      </c>
      <c r="K52" s="1651">
        <f t="shared" si="3"/>
        <v>1.7448979591836735</v>
      </c>
      <c r="L52" s="1704">
        <f t="shared" si="4"/>
        <v>62.868470828571432</v>
      </c>
      <c r="M52" s="317">
        <f>M15/77</f>
        <v>1.1368274582560296</v>
      </c>
      <c r="N52" s="318">
        <f>N15/77</f>
        <v>0.84601113172541753</v>
      </c>
      <c r="O52" s="318">
        <f>O15/77</f>
        <v>0.66094619666048238</v>
      </c>
      <c r="P52" s="318">
        <f>P15/77</f>
        <v>0</v>
      </c>
      <c r="Q52" s="319">
        <f>Q15/77</f>
        <v>0</v>
      </c>
      <c r="R52" s="542"/>
      <c r="S52" s="542"/>
      <c r="T52" s="478">
        <f t="shared" si="5"/>
        <v>0.75030612244897954</v>
      </c>
      <c r="U52" s="479">
        <f t="shared" si="6"/>
        <v>0.55836734693877554</v>
      </c>
      <c r="V52" s="479">
        <f t="shared" si="7"/>
        <v>0.43622448979591838</v>
      </c>
      <c r="W52" s="479">
        <f t="shared" si="8"/>
        <v>0</v>
      </c>
      <c r="X52" s="480">
        <f t="shared" si="9"/>
        <v>0</v>
      </c>
      <c r="Y52"/>
      <c r="Z52" s="478">
        <f t="shared" si="10"/>
        <v>27.033442456285712</v>
      </c>
      <c r="AA52" s="479">
        <f t="shared" si="11"/>
        <v>20.117910665142862</v>
      </c>
      <c r="AB52" s="479">
        <f t="shared" si="12"/>
        <v>15.717117707142858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 t="str">
        <f>IF($B53=0,0,VLOOKUP($B53,Arbeitsgänge!$B$27:$O$75,2))</f>
        <v>Grassilo festwalzen 7,7 t FM/ha mit Schlepper</v>
      </c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2.6437847866419295</v>
      </c>
      <c r="K53" s="1651">
        <f t="shared" si="3"/>
        <v>2.1150278293135436</v>
      </c>
      <c r="L53" s="1704">
        <f t="shared" si="4"/>
        <v>54.895022867532468</v>
      </c>
      <c r="M53" s="317">
        <f>M15/77</f>
        <v>1.1368274582560296</v>
      </c>
      <c r="N53" s="318">
        <f>N15/77</f>
        <v>0.84601113172541753</v>
      </c>
      <c r="O53" s="318">
        <f>O15/77</f>
        <v>0.66094619666048238</v>
      </c>
      <c r="P53" s="318">
        <f>P15/77</f>
        <v>0</v>
      </c>
      <c r="Q53" s="319">
        <f>Q15/77</f>
        <v>0</v>
      </c>
      <c r="R53" s="542"/>
      <c r="S53" s="542"/>
      <c r="T53" s="478">
        <f t="shared" si="5"/>
        <v>0.9094619666048237</v>
      </c>
      <c r="U53" s="479">
        <f t="shared" si="6"/>
        <v>0.67680890538033411</v>
      </c>
      <c r="V53" s="479">
        <f t="shared" si="7"/>
        <v>0.5287569573283859</v>
      </c>
      <c r="W53" s="479">
        <f t="shared" si="8"/>
        <v>0</v>
      </c>
      <c r="X53" s="480">
        <f t="shared" si="9"/>
        <v>0</v>
      </c>
      <c r="Y53"/>
      <c r="Z53" s="478">
        <f t="shared" si="10"/>
        <v>23.604859833038958</v>
      </c>
      <c r="AA53" s="479">
        <f t="shared" si="11"/>
        <v>17.566407317610391</v>
      </c>
      <c r="AB53" s="479">
        <f t="shared" si="12"/>
        <v>13.723755716883117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50</v>
      </c>
      <c r="C54" s="104"/>
      <c r="D54" s="137" t="str">
        <f>IF($B54=0,0,VLOOKUP($B54,Arbeitsgänge!$B$27:$O$75,2))</f>
        <v>Betreuung Portionsweide pauschal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 t="str">
        <f>IF($B55=0,0,VLOOKUP($B55,Arbeitsgänge!$B$27:$O$75,2))</f>
        <v>Betreuung Portionsweide pauschal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 t="str">
        <f>IF($B56=0,0,VLOOKUP($B56,Arbeitsgänge!$B$27:$O$75,2))</f>
        <v>Betreuung Portionsweide pauschal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8.2669257884972183</v>
      </c>
      <c r="L57" s="1716"/>
      <c r="M57" s="278">
        <f>SUM(T46:T56)</f>
        <v>3.3687680890538032</v>
      </c>
      <c r="N57" s="508">
        <f>SUM(U46:U56)</f>
        <v>2.9441762523191097</v>
      </c>
      <c r="O57" s="508">
        <f>SUM(V46:V56)</f>
        <v>1.9539814471243044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14.880466419294992</v>
      </c>
      <c r="L58" s="1718"/>
      <c r="M58" s="270">
        <f>IF(M57+(M57*$G$58/100)&gt;M57+10,M57+10,M57+(M57*$G$58/100))</f>
        <v>6.063782560296846</v>
      </c>
      <c r="N58" s="509">
        <f>IF(N57+(N57*$G$58/100)&gt;N57+10,N57+10,N57+(N57*$G$58/100))</f>
        <v>5.2995172541743978</v>
      </c>
      <c r="O58" s="509">
        <f>IF(O57+(O57*$G$58/100)&gt;O57+10,O57+10,O57+(O57*$G$58/100))</f>
        <v>3.517166604823748</v>
      </c>
      <c r="P58" s="509">
        <f>IF(P57+(P57*$G$58/100)&gt;P57+10,P57+10,P57+(P57*$G$58/100))</f>
        <v>0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251.14240249999997</v>
      </c>
      <c r="M59" s="253">
        <f>SUM(T61:T63)</f>
        <v>92.771133074999995</v>
      </c>
      <c r="N59" s="254">
        <f>SUM(U61:U63)</f>
        <v>82.198168799999991</v>
      </c>
      <c r="O59" s="254">
        <f>SUM(V61:V63)</f>
        <v>76.173100625000004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50" t="s">
        <v>695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0.09</v>
      </c>
      <c r="N61" s="3088">
        <v>0.06</v>
      </c>
      <c r="O61" s="3088">
        <v>0.05</v>
      </c>
      <c r="P61" s="3088">
        <f>P7/100</f>
        <v>0</v>
      </c>
      <c r="Q61" s="2620"/>
      <c r="R61" s="542"/>
      <c r="S61" s="542"/>
      <c r="T61" s="2621">
        <f>IF(M61&lt;&gt;0,M61*$H61,0)</f>
        <v>6.9614999999999991</v>
      </c>
      <c r="U61" s="2621">
        <f t="shared" ref="U61:X63" si="15">IF(N61&lt;&gt;0,N61*$H61,0)</f>
        <v>4.6409999999999991</v>
      </c>
      <c r="V61" s="2621">
        <f t="shared" si="15"/>
        <v>3.8674999999999997</v>
      </c>
      <c r="W61" s="2621">
        <f t="shared" si="15"/>
        <v>0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461" t="s">
        <v>1374</v>
      </c>
      <c r="E62" s="3067"/>
      <c r="F62" s="3067"/>
      <c r="G62" s="3441">
        <v>45</v>
      </c>
      <c r="H62" s="932">
        <f>G62*(100+$H$59)/100</f>
        <v>53.55</v>
      </c>
      <c r="I62" s="933"/>
      <c r="J62" s="3068">
        <f>SUM(M62:Q62)</f>
        <v>3</v>
      </c>
      <c r="K62" s="2304"/>
      <c r="L62" s="3069">
        <f>SUM(T62:X62)</f>
        <v>160.64999999999998</v>
      </c>
      <c r="M62" s="3442">
        <v>1</v>
      </c>
      <c r="N62" s="3443">
        <v>1</v>
      </c>
      <c r="O62" s="3443">
        <v>1</v>
      </c>
      <c r="P62" s="3443"/>
      <c r="Q62" s="3444"/>
      <c r="R62" s="542"/>
      <c r="S62" s="542"/>
      <c r="T62" s="2621">
        <f>IF(M62&lt;&gt;0,M62*$H62,0)</f>
        <v>53.55</v>
      </c>
      <c r="U62" s="2621">
        <f t="shared" si="15"/>
        <v>53.55</v>
      </c>
      <c r="V62" s="2621">
        <f t="shared" si="15"/>
        <v>53.55</v>
      </c>
      <c r="W62" s="2621">
        <f t="shared" si="15"/>
        <v>0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1464" t="s">
        <v>708</v>
      </c>
      <c r="E63" s="3071"/>
      <c r="F63" s="307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14.009785714285712</v>
      </c>
      <c r="K63" s="3074">
        <f>K17/(W66)/10*W68*K24</f>
        <v>14.009785714285714</v>
      </c>
      <c r="L63" s="3075">
        <f>K63*H63</f>
        <v>75.022402499999998</v>
      </c>
      <c r="M63" s="3184">
        <f>$K$63*M7/100</f>
        <v>6.0242078571428568</v>
      </c>
      <c r="N63" s="3183">
        <f>$K$63*N7/100</f>
        <v>4.4831314285714283</v>
      </c>
      <c r="O63" s="3183">
        <f>$K$63*O7/100</f>
        <v>3.502446428571429</v>
      </c>
      <c r="P63" s="3183">
        <f>$K$63*P7/100</f>
        <v>0</v>
      </c>
      <c r="Q63" s="3183">
        <f>$K$63*Q7/100</f>
        <v>0</v>
      </c>
      <c r="R63" s="542"/>
      <c r="S63" s="542"/>
      <c r="T63" s="2621">
        <f>IF(M63&lt;&gt;0,M63*$H63,0)</f>
        <v>32.259633075000004</v>
      </c>
      <c r="U63" s="2621">
        <f t="shared" si="15"/>
        <v>24.007168800000002</v>
      </c>
      <c r="V63" s="2621">
        <f t="shared" si="15"/>
        <v>18.755600625000003</v>
      </c>
      <c r="W63" s="2621">
        <f t="shared" si="15"/>
        <v>0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41.65</v>
      </c>
      <c r="M67" s="253">
        <f t="shared" si="16"/>
        <v>17.909500000000001</v>
      </c>
      <c r="N67" s="254">
        <f t="shared" si="16"/>
        <v>13.327999999999999</v>
      </c>
      <c r="O67" s="254">
        <f t="shared" si="16"/>
        <v>10.4125</v>
      </c>
      <c r="P67" s="254">
        <f t="shared" si="16"/>
        <v>0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2599">
        <v>0.74</v>
      </c>
    </row>
    <row r="69" spans="1:43" s="51" customFormat="1" ht="15" customHeight="1" x14ac:dyDescent="0.2">
      <c r="A69" s="52"/>
      <c r="B69" s="937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17.909500000000001</v>
      </c>
      <c r="N69" s="933">
        <f t="shared" si="17"/>
        <v>13.327999999999999</v>
      </c>
      <c r="O69" s="933">
        <f t="shared" si="17"/>
        <v>10.4125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33.928571428571431</v>
      </c>
      <c r="L77" s="3321">
        <f t="shared" si="18"/>
        <v>0</v>
      </c>
      <c r="M77" s="3321">
        <f t="shared" si="18"/>
        <v>14.589285714285714</v>
      </c>
      <c r="N77" s="3321">
        <f t="shared" si="18"/>
        <v>10.857142857142859</v>
      </c>
      <c r="O77" s="3321">
        <f t="shared" si="18"/>
        <v>8.4821428571428559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164.86458333333337</v>
      </c>
      <c r="L79" s="3321"/>
      <c r="M79" s="3321">
        <f>M78*M16</f>
        <v>70.891770833333339</v>
      </c>
      <c r="N79" s="3321">
        <f>N78*N16</f>
        <v>52.756666666666682</v>
      </c>
      <c r="O79" s="3321">
        <f>O78*O16</f>
        <v>41.216145833333329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92&amp;9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7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18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19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0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2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5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6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7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8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9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0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1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2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4" r:id="rId20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6">
    <tabColor rgb="FF00B050"/>
    <pageSetUpPr fitToPage="1"/>
  </sheetPr>
  <dimension ref="B1:AS99"/>
  <sheetViews>
    <sheetView showGridLines="0" showZeros="0" zoomScaleNormal="100" workbookViewId="0">
      <pane xSplit="13" ySplit="5" topLeftCell="N33" activePane="bottomRight" state="frozen"/>
      <selection activeCell="G1" sqref="G1:I1"/>
      <selection pane="topRight" activeCell="G1" sqref="G1:I1"/>
      <selection pane="bottomLeft" activeCell="G1" sqref="G1:I1"/>
      <selection pane="bottomRight" activeCell="W12" sqref="W11:W12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'37)GS 3Nutz Biogas ex Silo 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'37)GS 3Nutz Biogas ex Silo (a)'!K2</f>
        <v>Grassilage 3 Nutz. Biogas ex Silo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6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'37)GS 3Nutz Biogas ex Silo (a)'!H3</f>
        <v>Silage für Biogasanlage; Rücklieferung Gärrest unter 100% Anrechung der Netto-Nährstoffe (30% N-Verluste); Vollkosten incl. Kosten der Gärrest-Ausbringung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'37)GS 3Nutz Biogas ex Silo (a)'!M5</f>
        <v>Silage</v>
      </c>
      <c r="O5" s="1568" t="str">
        <f>'37)GS 3Nutz Biogas ex Silo (a)'!N5</f>
        <v>Silage</v>
      </c>
      <c r="P5" s="1568" t="str">
        <f>'37)GS 3Nutz Biogas ex Silo (a)'!O5</f>
        <v>Silage</v>
      </c>
      <c r="Q5" s="1568">
        <f>'37)GS 3Nutz Biogas ex Silo (a)'!P5</f>
        <v>0</v>
      </c>
      <c r="R5" s="1573">
        <f>'37)GS 3Nutz Biogas ex Silo 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'37)GS 3Nutz Biogas ex Silo (a)'!K6</f>
        <v>75</v>
      </c>
      <c r="N6" s="1821">
        <f>'37)GS 3Nutz Biogas ex Silo (a)'!M6</f>
        <v>32.25</v>
      </c>
      <c r="O6" s="1821">
        <f>'37)GS 3Nutz Biogas ex Silo (a)'!N6</f>
        <v>24</v>
      </c>
      <c r="P6" s="1821">
        <f>'37)GS 3Nutz Biogas ex Silo (a)'!O6</f>
        <v>18.75</v>
      </c>
      <c r="Q6" s="1821">
        <f>'37)GS 3Nutz Biogas ex Silo (a)'!P6</f>
        <v>0</v>
      </c>
      <c r="R6" s="1822">
        <f>'37)GS 3Nutz Biogas ex Silo 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'37)GS 3Nutz Biogas ex Silo (a)'!K14</f>
        <v>71.25</v>
      </c>
      <c r="N7" s="452">
        <f>'37)GS 3Nutz Biogas ex Silo (a)'!M14</f>
        <v>30.637499999999999</v>
      </c>
      <c r="O7" s="452">
        <f>'37)GS 3Nutz Biogas ex Silo (a)'!N14</f>
        <v>22.8</v>
      </c>
      <c r="P7" s="452">
        <f>'37)GS 3Nutz Biogas ex Silo (a)'!O14</f>
        <v>17.8125</v>
      </c>
      <c r="Q7" s="452">
        <f>'37)GS 3Nutz Biogas ex Silo (a)'!P14</f>
        <v>0</v>
      </c>
      <c r="R7" s="1744">
        <f>'37)GS 3Nutz Biogas ex Silo 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'37)GS 3Nutz Biogas ex Silo (a)'!K15</f>
        <v>203.57142857142858</v>
      </c>
      <c r="N8" s="473">
        <f>'37)GS 3Nutz Biogas ex Silo (a)'!M15</f>
        <v>87.535714285714278</v>
      </c>
      <c r="O8" s="473">
        <f>'37)GS 3Nutz Biogas ex Silo (a)'!N15</f>
        <v>65.142857142857153</v>
      </c>
      <c r="P8" s="473">
        <f>'37)GS 3Nutz Biogas ex Silo (a)'!O15</f>
        <v>50.892857142857139</v>
      </c>
      <c r="Q8" s="473">
        <f>'37)GS 3Nutz Biogas ex Silo (a)'!P15</f>
        <v>0</v>
      </c>
      <c r="R8" s="1583">
        <f>'37)GS 3Nutz Biogas ex Silo 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'37)GS 3Nutz Biogas ex Silo (a)'!K17</f>
        <v>66.262500000000003</v>
      </c>
      <c r="N9" s="452">
        <f>'37)GS 3Nutz Biogas ex Silo (a)'!M17</f>
        <v>28.492874999999998</v>
      </c>
      <c r="O9" s="452">
        <f>'37)GS 3Nutz Biogas ex Silo (a)'!N17</f>
        <v>21.204000000000001</v>
      </c>
      <c r="P9" s="452">
        <f>'37)GS 3Nutz Biogas ex Silo (a)'!O17</f>
        <v>16.565625000000001</v>
      </c>
      <c r="Q9" s="452">
        <f>'37)GS 3Nutz Biogas ex Silo (a)'!P17</f>
        <v>0</v>
      </c>
      <c r="R9" s="1744">
        <f>'37)GS 3Nutz Biogas ex Silo 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'37)GS 3Nutz Biogas ex Silo (a)'!K18</f>
        <v>179.08783783783784</v>
      </c>
      <c r="N10" s="1748">
        <f>'37)GS 3Nutz Biogas ex Silo (a)'!M18</f>
        <v>77.007770270270257</v>
      </c>
      <c r="O10" s="1748">
        <f>'37)GS 3Nutz Biogas ex Silo (a)'!N18</f>
        <v>57.308108108108115</v>
      </c>
      <c r="P10" s="1748">
        <f>'37)GS 3Nutz Biogas ex Silo (a)'!O18</f>
        <v>44.77195945945946</v>
      </c>
      <c r="Q10" s="1748">
        <f>'37)GS 3Nutz Biogas ex Silo (a)'!P18</f>
        <v>0</v>
      </c>
      <c r="R10" s="1745">
        <f>'37)GS 3Nutz Biogas ex Silo 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'37)GS 3Nutz Biogas ex Silo (a)'!K19</f>
        <v>29.847972972972968</v>
      </c>
      <c r="N11" s="2094">
        <f>'37)GS 3Nutz Biogas ex Silo (a)'!M19</f>
        <v>12.834628378378376</v>
      </c>
      <c r="O11" s="2094">
        <f>'37)GS 3Nutz Biogas ex Silo (a)'!N19</f>
        <v>9.5513513513513519</v>
      </c>
      <c r="P11" s="2094">
        <f>'37)GS 3Nutz Biogas ex Silo (a)'!O19</f>
        <v>7.461993243243243</v>
      </c>
      <c r="Q11" s="2094">
        <f>'37)GS 3Nutz Biogas ex Silo (a)'!P19</f>
        <v>0</v>
      </c>
      <c r="R11" s="2078">
        <f>'37)GS 3Nutz Biogas ex Silo 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'37)GS 3Nutz Biogas ex Silo (a)'!K22</f>
        <v>1921.6125</v>
      </c>
      <c r="N12" s="1176">
        <f>'37)GS 3Nutz Biogas ex Silo (a)'!M22</f>
        <v>826.29337499999997</v>
      </c>
      <c r="O12" s="1176">
        <f>'37)GS 3Nutz Biogas ex Silo (a)'!N22</f>
        <v>614.91600000000005</v>
      </c>
      <c r="P12" s="1176">
        <f>'37)GS 3Nutz Biogas ex Silo (a)'!O22</f>
        <v>480.40312500000005</v>
      </c>
      <c r="Q12" s="1176">
        <f>'37)GS 3Nutz Biogas ex Silo (a)'!P22</f>
        <v>0</v>
      </c>
      <c r="R12" s="1747">
        <f>'37)GS 3Nutz Biogas ex Silo 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'37)GS 3Nutz Biogas ex Silo (a)'!K23</f>
        <v>69.178049999999985</v>
      </c>
      <c r="N13" s="2065">
        <f>'37)GS 3Nutz Biogas ex Silo (a)'!M23</f>
        <v>29.746561499999991</v>
      </c>
      <c r="O13" s="2065">
        <f>'37)GS 3Nutz Biogas ex Silo (a)'!N23</f>
        <v>22.136975999999997</v>
      </c>
      <c r="P13" s="2065">
        <f>'37)GS 3Nutz Biogas ex Silo (a)'!O23</f>
        <v>17.294512499999996</v>
      </c>
      <c r="Q13" s="2065">
        <f>'37)GS 3Nutz Biogas ex Silo (a)'!P23</f>
        <v>0</v>
      </c>
      <c r="R13" s="2067">
        <f>'37)GS 3Nutz Biogas ex Silo 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116.1</v>
      </c>
      <c r="O15" s="3340">
        <f t="shared" si="0"/>
        <v>86.4</v>
      </c>
      <c r="P15" s="3339">
        <f t="shared" si="0"/>
        <v>67.5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116.1</v>
      </c>
      <c r="O17" s="2065">
        <f t="shared" si="2"/>
        <v>86.4</v>
      </c>
      <c r="P17" s="3334">
        <f t="shared" si="2"/>
        <v>67.5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'37)GS 3Nutz Biogas ex Silo (a)'!L32</f>
        <v>23.54</v>
      </c>
      <c r="N19" s="2071">
        <f>'37)GS 3Nutz Biogas ex Silo (a)'!M32</f>
        <v>10.122199999999999</v>
      </c>
      <c r="O19" s="2071">
        <f>'37)GS 3Nutz Biogas ex Silo (a)'!N32</f>
        <v>7.5327999999999999</v>
      </c>
      <c r="P19" s="2071">
        <f>'37)GS 3Nutz Biogas ex Silo (a)'!O32</f>
        <v>5.8849999999999998</v>
      </c>
      <c r="Q19" s="2071">
        <f>'37)GS 3Nutz Biogas ex Silo (a)'!P32</f>
        <v>0</v>
      </c>
      <c r="R19" s="2073">
        <f>'37)GS 3Nutz Biogas ex Silo 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'37)GS 3Nutz Biogas ex Silo (a)'!L34</f>
        <v>55.005072499999983</v>
      </c>
      <c r="N20" s="285">
        <f>'37)GS 3Nutz Biogas ex Silo (a)'!M34</f>
        <v>23.652181174999992</v>
      </c>
      <c r="O20" s="285">
        <f>'37)GS 3Nutz Biogas ex Silo (a)'!N34</f>
        <v>17.601623199999995</v>
      </c>
      <c r="P20" s="285">
        <f>'37)GS 3Nutz Biogas ex Silo (a)'!O34</f>
        <v>13.751268124999998</v>
      </c>
      <c r="Q20" s="285">
        <f>'37)GS 3Nutz Biogas ex Silo (a)'!P34</f>
        <v>0</v>
      </c>
      <c r="R20" s="1574">
        <f>'37)GS 3Nutz Biogas ex Silo 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'37)GS 3Nutz Biogas ex Silo (a)'!L40</f>
        <v>0</v>
      </c>
      <c r="N21" s="285">
        <f>'37)GS 3Nutz Biogas ex Silo (a)'!M40</f>
        <v>0</v>
      </c>
      <c r="O21" s="285">
        <f>'37)GS 3Nutz Biogas ex Silo (a)'!N40</f>
        <v>0</v>
      </c>
      <c r="P21" s="285">
        <f>'37)GS 3Nutz Biogas ex Silo (a)'!O40</f>
        <v>0</v>
      </c>
      <c r="Q21" s="285">
        <f>'37)GS 3Nutz Biogas ex Silo (a)'!P40</f>
        <v>0</v>
      </c>
      <c r="R21" s="1574">
        <f>'37)GS 3Nutz Biogas ex Silo 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'37)GS 3Nutz Biogas ex Silo (a)'!L67</f>
        <v>41.65</v>
      </c>
      <c r="N23" s="285">
        <f>'37)GS 3Nutz Biogas ex Silo (a)'!M67</f>
        <v>17.909500000000001</v>
      </c>
      <c r="O23" s="285">
        <f>'37)GS 3Nutz Biogas ex Silo (a)'!N67</f>
        <v>13.327999999999999</v>
      </c>
      <c r="P23" s="285">
        <f>'37)GS 3Nutz Biogas ex Silo (a)'!O67</f>
        <v>10.4125</v>
      </c>
      <c r="Q23" s="285">
        <f>'37)GS 3Nutz Biogas ex Silo (a)'!P67</f>
        <v>0</v>
      </c>
      <c r="R23" s="1574">
        <f>'37)GS 3Nutz Biogas ex Silo 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'37)GS 3Nutz Biogas ex Silo (a)'!L43</f>
        <v>249.44244773006392</v>
      </c>
      <c r="N24" s="285">
        <f>'37)GS 3Nutz Biogas ex Silo (a)'!M43</f>
        <v>99.207315925844668</v>
      </c>
      <c r="O24" s="285">
        <f>'37)GS 3Nutz Biogas ex Silo (a)'!N43</f>
        <v>86.25333161927324</v>
      </c>
      <c r="P24" s="285">
        <f>'37)GS 3Nutz Biogas ex Silo (a)'!O43</f>
        <v>63.981800184945982</v>
      </c>
      <c r="Q24" s="285">
        <f>'37)GS 3Nutz Biogas ex Silo (a)'!P43</f>
        <v>0</v>
      </c>
      <c r="R24" s="1574">
        <f>'37)GS 3Nutz Biogas ex Silo 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'37)GS 3Nutz Biogas ex Silo (a)'!L59</f>
        <v>251.14240249999997</v>
      </c>
      <c r="N25" s="285">
        <f>'37)GS 3Nutz Biogas ex Silo (a)'!M59</f>
        <v>92.771133074999995</v>
      </c>
      <c r="O25" s="285">
        <f>'37)GS 3Nutz Biogas ex Silo (a)'!N59</f>
        <v>82.198168799999991</v>
      </c>
      <c r="P25" s="285">
        <f>'37)GS 3Nutz Biogas ex Silo (a)'!O59</f>
        <v>76.173100625000004</v>
      </c>
      <c r="Q25" s="285">
        <f>'37)GS 3Nutz Biogas ex Silo (a)'!P59</f>
        <v>0</v>
      </c>
      <c r="R25" s="1574">
        <f>'37)GS 3Nutz Biogas ex Silo 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'37)GS 3Nutz Biogas ex Silo (a)'!L64</f>
        <v>0</v>
      </c>
      <c r="N26" s="1979">
        <f>'37)GS 3Nutz Biogas ex Silo (a)'!M64</f>
        <v>0</v>
      </c>
      <c r="O26" s="1979">
        <f>'37)GS 3Nutz Biogas ex Silo (a)'!N64</f>
        <v>0</v>
      </c>
      <c r="P26" s="1979">
        <f>'37)GS 3Nutz Biogas ex Silo (a)'!O64</f>
        <v>0</v>
      </c>
      <c r="Q26" s="1979">
        <f>'37)GS 3Nutz Biogas ex Silo (a)'!P64</f>
        <v>0</v>
      </c>
      <c r="R26" s="1981">
        <f>'37)GS 3Nutz Biogas ex Silo 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620.77992273006384</v>
      </c>
      <c r="N27" s="2407">
        <f t="shared" si="4"/>
        <v>243.66233017584466</v>
      </c>
      <c r="O27" s="2407">
        <f t="shared" si="4"/>
        <v>206.91392361927322</v>
      </c>
      <c r="P27" s="2407">
        <f t="shared" si="4"/>
        <v>170.20366893494599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-620.77992273006384</v>
      </c>
      <c r="N28" s="1777">
        <f t="shared" si="5"/>
        <v>-243.66233017584466</v>
      </c>
      <c r="O28" s="1777">
        <f t="shared" si="5"/>
        <v>-206.91392361927322</v>
      </c>
      <c r="P28" s="1777">
        <f t="shared" si="5"/>
        <v>-170.20366893494599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-0.3230515635853034</v>
      </c>
      <c r="N29" s="1874">
        <f t="shared" si="6"/>
        <v>-0.29488597821063817</v>
      </c>
      <c r="O29" s="1874">
        <f t="shared" si="6"/>
        <v>-0.33649136405504687</v>
      </c>
      <c r="P29" s="1874">
        <f t="shared" si="6"/>
        <v>-0.35429342582845602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116.1</v>
      </c>
      <c r="O30" s="2097">
        <f t="shared" si="7"/>
        <v>86.4</v>
      </c>
      <c r="P30" s="2097">
        <f t="shared" si="7"/>
        <v>67.5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'37)GS 3Nutz Biogas ex Silo (a)'!L25</f>
        <v>0</v>
      </c>
      <c r="V30" s="3308">
        <f>'37)GS 3Nutz Biogas ex Silo (a)'!M25</f>
        <v>0</v>
      </c>
      <c r="W30" s="3308">
        <f>'37)GS 3Nutz Biogas ex Silo (a)'!N25</f>
        <v>0</v>
      </c>
      <c r="X30" s="3308">
        <f>'37)GS 3Nutz Biogas ex Silo (a)'!O25</f>
        <v>0</v>
      </c>
      <c r="Y30" s="3308">
        <f>'37)GS 3Nutz Biogas ex Silo (a)'!P25</f>
        <v>0</v>
      </c>
      <c r="Z30" s="3308">
        <f>'37)GS 3Nutz Biogas ex Silo (a)'!Q25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M27*'37)GS 3Nutz Biogas ex Silo (a)'!$L$72*'37)GS 3Nutz Biogas ex Silo (a)'!$Q$72/12/100</f>
        <v>3.8798745170628992</v>
      </c>
      <c r="N31" s="1979">
        <f>N27*'37)GS 3Nutz Biogas ex Silo (a)'!$L$72*'37)GS 3Nutz Biogas ex Silo (a)'!$Q$72/12/100</f>
        <v>1.5228895635990292</v>
      </c>
      <c r="O31" s="1979">
        <f>O27*'37)GS 3Nutz Biogas ex Silo (a)'!$L$72*'37)GS 3Nutz Biogas ex Silo (a)'!$Q$72/12/100</f>
        <v>1.2932120226204578</v>
      </c>
      <c r="P31" s="1979">
        <f>P27*'37)GS 3Nutz Biogas ex Silo (a)'!$L$72*'37)GS 3Nutz Biogas ex Silo (a)'!$Q$72/12/100</f>
        <v>1.0637729308434125</v>
      </c>
      <c r="Q31" s="1979">
        <f>Q27*'37)GS 3Nutz Biogas ex Silo (a)'!$L$72*'37)GS 3Nutz Biogas ex Silo (a)'!$Q$72/12/100</f>
        <v>0</v>
      </c>
      <c r="R31" s="1981">
        <f>R27*'37)GS 3Nutz Biogas ex Silo (a)'!$L$72*'37)GS 3Nutz Biogas ex Silo (a)'!$Q$72/12/100</f>
        <v>0</v>
      </c>
      <c r="T31" s="3297" t="s">
        <v>1215</v>
      </c>
      <c r="U31" s="3308">
        <f>'37)GS 3Nutz Biogas ex Silo (a)'!L30</f>
        <v>270</v>
      </c>
      <c r="V31" s="3308">
        <f>'37)GS 3Nutz Biogas ex Silo (a)'!M30</f>
        <v>116.1</v>
      </c>
      <c r="W31" s="3308">
        <f>'37)GS 3Nutz Biogas ex Silo (a)'!N30</f>
        <v>86.4</v>
      </c>
      <c r="X31" s="3308">
        <f>'37)GS 3Nutz Biogas ex Silo (a)'!O30</f>
        <v>67.5</v>
      </c>
      <c r="Y31" s="3308">
        <f>'37)GS 3Nutz Biogas ex Silo (a)'!P30</f>
        <v>0</v>
      </c>
      <c r="Z31" s="3308">
        <f>'37)GS 3Nutz Biogas ex Silo 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-354.65979724712673</v>
      </c>
      <c r="N32" s="1769">
        <f t="shared" si="8"/>
        <v>-129.08521973944369</v>
      </c>
      <c r="O32" s="1769">
        <f t="shared" si="8"/>
        <v>-121.80713564189367</v>
      </c>
      <c r="P32" s="1769">
        <f t="shared" si="8"/>
        <v>-103.76744186578941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116.1</v>
      </c>
      <c r="W32" s="429">
        <f t="shared" si="9"/>
        <v>86.4</v>
      </c>
      <c r="X32" s="429">
        <f t="shared" si="9"/>
        <v>67.5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-0.18456363978019852</v>
      </c>
      <c r="N33" s="1581">
        <f t="shared" si="10"/>
        <v>-0.15622201949694162</v>
      </c>
      <c r="O33" s="1581">
        <f t="shared" si="10"/>
        <v>-0.19808743900287787</v>
      </c>
      <c r="P33" s="1581">
        <f t="shared" si="10"/>
        <v>-0.21600076366237084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-5.1267677716721822</v>
      </c>
      <c r="N34" s="2149">
        <f t="shared" si="11"/>
        <v>-4.3395005415817129</v>
      </c>
      <c r="O34" s="2149">
        <f t="shared" si="11"/>
        <v>-5.5024288611910537</v>
      </c>
      <c r="P34" s="2149">
        <f t="shared" si="11"/>
        <v>-6.0000212128436363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'37)GS 3Nutz Biogas ex Silo (a)'!K58</f>
        <v>14.880466419294992</v>
      </c>
      <c r="N36" s="2397">
        <f>'37)GS 3Nutz Biogas ex Silo (a)'!M58</f>
        <v>6.063782560296846</v>
      </c>
      <c r="O36" s="2397">
        <f>'37)GS 3Nutz Biogas ex Silo (a)'!N58</f>
        <v>5.2995172541743978</v>
      </c>
      <c r="P36" s="2397">
        <f>'37)GS 3Nutz Biogas ex Silo (a)'!O58</f>
        <v>3.517166604823748</v>
      </c>
      <c r="Q36" s="2397">
        <f>'37)GS 3Nutz Biogas ex Silo (a)'!P58</f>
        <v>0</v>
      </c>
      <c r="R36" s="2398">
        <f>'37)GS 3Nutz Biogas ex Silo 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'37)GS 3Nutz Biogas ex Silo (a)'!K16</f>
        <v>33.928571428571431</v>
      </c>
      <c r="N37" s="2400">
        <f>'37)GS 3Nutz Biogas ex Silo (a)'!M16</f>
        <v>14.589285714285714</v>
      </c>
      <c r="O37" s="2400">
        <f>'37)GS 3Nutz Biogas ex Silo (a)'!N16</f>
        <v>10.857142857142859</v>
      </c>
      <c r="P37" s="2400">
        <f>'37)GS 3Nutz Biogas ex Silo (a)'!O16</f>
        <v>8.4821428571428559</v>
      </c>
      <c r="Q37" s="2400">
        <f>'37)GS 3Nutz Biogas ex Silo (a)'!P16</f>
        <v>0</v>
      </c>
      <c r="R37" s="2401">
        <f>'37)GS 3Nutz Biogas ex Silo 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'37)GS 3Nutz Biogas ex Silo (a)'!M78</f>
        <v>4.8591666666666669</v>
      </c>
      <c r="O38" s="1997">
        <f>'37)GS 3Nutz Biogas ex Silo (a)'!N78</f>
        <v>4.8591666666666669</v>
      </c>
      <c r="P38" s="1997">
        <f>'37)GS 3Nutz Biogas ex Silo (a)'!O78</f>
        <v>4.8591666666666669</v>
      </c>
      <c r="Q38" s="1997">
        <f>'37)GS 3Nutz Biogas ex Silo (a)'!P78</f>
        <v>0</v>
      </c>
      <c r="R38" s="1998">
        <f>'37)GS 3Nutz Biogas ex Silo 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260.40816233766236</v>
      </c>
      <c r="N39" s="285">
        <f t="shared" si="13"/>
        <v>106.11619480519481</v>
      </c>
      <c r="O39" s="285">
        <f t="shared" si="13"/>
        <v>92.741551948051963</v>
      </c>
      <c r="P39" s="285">
        <f t="shared" si="13"/>
        <v>61.550415584415589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164.86458333333337</v>
      </c>
      <c r="N40" s="285">
        <f>N37*N38</f>
        <v>70.891770833333339</v>
      </c>
      <c r="O40" s="285">
        <f>O37*O38</f>
        <v>52.756666666666682</v>
      </c>
      <c r="P40" s="285">
        <f>P37*P38</f>
        <v>41.216145833333329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'Festk-Masch-Geb'!T44-'Festk-Masch-Geb'!T36-'Festk-Masch-Geb'!T37</f>
        <v>400.65863846801352</v>
      </c>
      <c r="N41" s="285">
        <f>N$6/$M$6*$M$41</f>
        <v>172.2832145412458</v>
      </c>
      <c r="O41" s="285">
        <f>O$6/$M$6*$M$41</f>
        <v>128.21076430976433</v>
      </c>
      <c r="P41" s="285">
        <f>P$6/$M$6*$M$41</f>
        <v>100.16465961700338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29.678599999999999</v>
      </c>
      <c r="O42" s="285">
        <f>O$6/$M$6*$M$42</f>
        <v>22.086399999999998</v>
      </c>
      <c r="P42" s="285">
        <f>P$6/$M$6*$M$42</f>
        <v>17.254999999999999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55.384000000000007</v>
      </c>
      <c r="O44" s="1979">
        <f>O$6/$M$6*$M$44</f>
        <v>41.216000000000001</v>
      </c>
      <c r="P44" s="1979">
        <f>P$6/$M$6*$M$44</f>
        <v>32.200000000000003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1023.7513841390091</v>
      </c>
      <c r="N45" s="1991">
        <f t="shared" si="14"/>
        <v>434.35378017977399</v>
      </c>
      <c r="O45" s="1991">
        <f t="shared" si="14"/>
        <v>337.01138292448297</v>
      </c>
      <c r="P45" s="1991">
        <f t="shared" si="14"/>
        <v>252.38622103475228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1648.4111813861359</v>
      </c>
      <c r="N48" s="2127">
        <f t="shared" si="16"/>
        <v>679.53899991921764</v>
      </c>
      <c r="O48" s="2041">
        <f t="shared" si="16"/>
        <v>545.21851856637659</v>
      </c>
      <c r="P48" s="2041">
        <f t="shared" si="16"/>
        <v>423.65366290054169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-1648.4111813861359</v>
      </c>
      <c r="N49" s="2125">
        <f t="shared" si="17"/>
        <v>-679.53899991921764</v>
      </c>
      <c r="O49" s="1772">
        <f t="shared" si="17"/>
        <v>-545.21851856637659</v>
      </c>
      <c r="P49" s="1772">
        <f t="shared" si="17"/>
        <v>-423.65366290054169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-0.85782704961907563</v>
      </c>
      <c r="N50" s="2511">
        <f t="shared" si="18"/>
        <v>-0.82239434622021224</v>
      </c>
      <c r="O50" s="2168">
        <f t="shared" si="18"/>
        <v>-0.8866552806665895</v>
      </c>
      <c r="P50" s="2168">
        <f t="shared" si="18"/>
        <v>-0.88187116372430274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116.1</v>
      </c>
      <c r="O51" s="2185">
        <f t="shared" si="19"/>
        <v>86.4</v>
      </c>
      <c r="P51" s="2185">
        <f t="shared" si="19"/>
        <v>67.5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-1378.4111813861359</v>
      </c>
      <c r="N52" s="2178">
        <f t="shared" si="20"/>
        <v>-563.43899991921762</v>
      </c>
      <c r="O52" s="2081">
        <f t="shared" si="20"/>
        <v>-458.81851856637661</v>
      </c>
      <c r="P52" s="2081">
        <f t="shared" si="20"/>
        <v>-356.15366290054169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-0.71732005354156259</v>
      </c>
      <c r="N53" s="2511">
        <f t="shared" si="21"/>
        <v>-0.68188735014269919</v>
      </c>
      <c r="O53" s="2168">
        <f t="shared" si="21"/>
        <v>-0.74614828458907656</v>
      </c>
      <c r="P53" s="2168">
        <f t="shared" si="21"/>
        <v>-0.7413641676467897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1378.4111813861359</v>
      </c>
      <c r="N55" s="2038">
        <f t="shared" si="22"/>
        <v>563.43899991921762</v>
      </c>
      <c r="O55" s="2038">
        <f t="shared" si="22"/>
        <v>458.81851856637661</v>
      </c>
      <c r="P55" s="2038">
        <f t="shared" si="22"/>
        <v>356.15366290054169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7.6968441745009661</v>
      </c>
      <c r="N56" s="2103">
        <f t="shared" si="24"/>
        <v>7.3166512670311636</v>
      </c>
      <c r="O56" s="2103">
        <f t="shared" si="24"/>
        <v>8.0061710936407913</v>
      </c>
      <c r="P56" s="2103">
        <f t="shared" si="24"/>
        <v>7.954837518850054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20.802281552705313</v>
      </c>
      <c r="N57" s="3427">
        <f>IF($N$7=0,0,N$55/$N$9)</f>
        <v>19.774733154138278</v>
      </c>
      <c r="O57" s="3427">
        <f>IF($O$7=0,0,O$55/$O$9)</f>
        <v>21.638300253083219</v>
      </c>
      <c r="P57" s="3427">
        <f>IF($P$7=0,0,P$55/$P$9)</f>
        <v>21.499560861756901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46.181065047005809</v>
      </c>
      <c r="N58" s="2134">
        <f t="shared" si="25"/>
        <v>43.899907602186978</v>
      </c>
      <c r="O58" s="2134">
        <f t="shared" si="25"/>
        <v>48.037026561844748</v>
      </c>
      <c r="P58" s="2134">
        <f t="shared" si="25"/>
        <v>47.729025113100327</v>
      </c>
      <c r="Q58" s="2134">
        <f t="shared" si="25"/>
        <v>0</v>
      </c>
      <c r="R58" s="2135">
        <f t="shared" si="25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5"/>
        <v>0.71732005354156259</v>
      </c>
      <c r="N59" s="2136">
        <f t="shared" si="25"/>
        <v>0.68188735014269919</v>
      </c>
      <c r="O59" s="2136">
        <f t="shared" si="25"/>
        <v>0.74614828458907656</v>
      </c>
      <c r="P59" s="2136">
        <f t="shared" si="25"/>
        <v>0.7413641676467897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6">M59/$F$60*10</f>
        <v>0.19925557042821185</v>
      </c>
      <c r="N60" s="2136">
        <f t="shared" si="26"/>
        <v>0.18941315281741644</v>
      </c>
      <c r="O60" s="2136">
        <f t="shared" si="26"/>
        <v>0.20726341238585461</v>
      </c>
      <c r="P60" s="2136">
        <f t="shared" si="26"/>
        <v>0.20593449101299716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7">IF(M13=0,0,M$55/M13)</f>
        <v>19.925557042821186</v>
      </c>
      <c r="N62" s="2513">
        <f t="shared" si="27"/>
        <v>18.941315281741648</v>
      </c>
      <c r="O62" s="2513">
        <f t="shared" si="27"/>
        <v>20.726341238585462</v>
      </c>
      <c r="P62" s="2513">
        <f t="shared" si="27"/>
        <v>20.593449101299719</v>
      </c>
      <c r="Q62" s="2513">
        <f t="shared" si="27"/>
        <v>0</v>
      </c>
      <c r="R62" s="2514">
        <f t="shared" si="27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8">M55-M40</f>
        <v>1213.5465980528024</v>
      </c>
      <c r="N63" s="1769">
        <f t="shared" si="28"/>
        <v>492.54722908588428</v>
      </c>
      <c r="O63" s="1769">
        <f t="shared" si="28"/>
        <v>406.06185189970995</v>
      </c>
      <c r="P63" s="1769">
        <f t="shared" si="28"/>
        <v>314.93751706720838</v>
      </c>
      <c r="Q63" s="1769">
        <f t="shared" si="28"/>
        <v>0</v>
      </c>
      <c r="R63" s="1776">
        <f t="shared" si="28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18.314228984007581</v>
      </c>
      <c r="N64" s="3427">
        <f>IF($N$7=0,0,N$63/$N$9)</f>
        <v>17.286680585440546</v>
      </c>
      <c r="O64" s="3427">
        <f>IF($O$7=0,0,O$63/$O$9)</f>
        <v>19.150247684385491</v>
      </c>
      <c r="P64" s="3427">
        <f>IF($P$7=0,0,P$63/$P$9)</f>
        <v>19.011508293059173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9">IF(M12=0,0,M$63/M12)</f>
        <v>0.63152513737957183</v>
      </c>
      <c r="N65" s="2169">
        <f t="shared" si="29"/>
        <v>0.59609243398070844</v>
      </c>
      <c r="O65" s="2169">
        <f t="shared" si="29"/>
        <v>0.66035336842708581</v>
      </c>
      <c r="P65" s="2169">
        <f t="shared" si="29"/>
        <v>0.65556925148479905</v>
      </c>
      <c r="Q65" s="2169">
        <f t="shared" si="29"/>
        <v>0</v>
      </c>
      <c r="R65" s="2172">
        <f t="shared" si="29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f>C65+1</f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0.17542364927210327</v>
      </c>
      <c r="N66" s="2169">
        <f>N63/N12*10/$F$60</f>
        <v>0.16558123166130789</v>
      </c>
      <c r="O66" s="2169">
        <f>O63/O12*10/$F$60</f>
        <v>0.18343149122974606</v>
      </c>
      <c r="P66" s="2169">
        <f>P63/P12*10/$F$60</f>
        <v>0.18210256985688864</v>
      </c>
      <c r="Q66" s="2169">
        <f>IF(Q12=0,0,Q63/Q12*10/$F$60)</f>
        <v>0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30">IF(M13=0,0,M$63/M13)</f>
        <v>17.542364927210333</v>
      </c>
      <c r="N67" s="2171">
        <f t="shared" si="30"/>
        <v>16.558123166130795</v>
      </c>
      <c r="O67" s="2171">
        <f t="shared" si="30"/>
        <v>18.343149122974612</v>
      </c>
      <c r="P67" s="2171">
        <f t="shared" si="30"/>
        <v>18.210256985688869</v>
      </c>
      <c r="Q67" s="2171">
        <f t="shared" si="30"/>
        <v>0</v>
      </c>
      <c r="R67" s="2173">
        <f t="shared" si="30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f>C67+1</f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1">M19+M20+M21+M22+M23+M31</f>
        <v>124.07494701706288</v>
      </c>
      <c r="N69" s="1772">
        <f t="shared" si="31"/>
        <v>53.206770738599019</v>
      </c>
      <c r="O69" s="1772">
        <f t="shared" si="31"/>
        <v>39.755635222620448</v>
      </c>
      <c r="P69" s="1772">
        <f t="shared" si="31"/>
        <v>31.112541055843408</v>
      </c>
      <c r="Q69" s="1772">
        <f t="shared" si="31"/>
        <v>0</v>
      </c>
      <c r="R69" s="1773">
        <f t="shared" si="31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>C69+1</f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2">IF(M69=0,0,M69/M12)</f>
        <v>6.4568141088311451E-2</v>
      </c>
      <c r="N70" s="2031">
        <f t="shared" si="32"/>
        <v>6.4392106179719785E-2</v>
      </c>
      <c r="O70" s="2031">
        <f t="shared" si="32"/>
        <v>6.4652139841247333E-2</v>
      </c>
      <c r="P70" s="2031">
        <f t="shared" si="32"/>
        <v>6.4763402727331151E-2</v>
      </c>
      <c r="Q70" s="2031">
        <f t="shared" si="32"/>
        <v>0</v>
      </c>
      <c r="R70" s="2032">
        <f t="shared" si="32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>C70+1</f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3">M24+M25+M26+M41+M39</f>
        <v>1161.6516510357399</v>
      </c>
      <c r="N71" s="1769">
        <f t="shared" si="33"/>
        <v>470.37785834728527</v>
      </c>
      <c r="O71" s="1769">
        <f t="shared" si="33"/>
        <v>389.40381667708954</v>
      </c>
      <c r="P71" s="1769">
        <f t="shared" si="33"/>
        <v>301.86997601136494</v>
      </c>
      <c r="Q71" s="1769">
        <f t="shared" si="33"/>
        <v>0</v>
      </c>
      <c r="R71" s="1776">
        <f t="shared" si="33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>C71+1</f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4">IF(M71=0,0,M71/M12)</f>
        <v>0.60451919990931569</v>
      </c>
      <c r="N72" s="2168">
        <f t="shared" si="34"/>
        <v>0.56926253141904382</v>
      </c>
      <c r="O72" s="2168">
        <f t="shared" si="34"/>
        <v>0.63326343220389369</v>
      </c>
      <c r="P72" s="2168">
        <f t="shared" si="34"/>
        <v>0.62836805237552296</v>
      </c>
      <c r="Q72" s="2168">
        <f t="shared" si="34"/>
        <v>0</v>
      </c>
      <c r="R72" s="2187">
        <f t="shared" si="34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55:B72"/>
    <mergeCell ref="B47:B53"/>
    <mergeCell ref="B28:B34"/>
    <mergeCell ref="B36:B45"/>
    <mergeCell ref="F3:G3"/>
    <mergeCell ref="D19:D23"/>
    <mergeCell ref="B3:B5"/>
    <mergeCell ref="B19:B27"/>
    <mergeCell ref="D24:D26"/>
    <mergeCell ref="B1:H1"/>
    <mergeCell ref="L1:N1"/>
    <mergeCell ref="O1:R1"/>
    <mergeCell ref="D32:K32"/>
    <mergeCell ref="B6:B13"/>
    <mergeCell ref="D28:K28"/>
    <mergeCell ref="I3:R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2" firstPageNumber="15" orientation="portrait" useFirstPageNumber="1" horizontalDpi="300" verticalDpi="300" r:id="rId1"/>
  <headerFooter alignWithMargins="0">
    <oddFooter>&amp;L&amp;12LEL Schwäbisch Gmünd (Abtlg. II)
LAZBW Aulendorf&amp;C&amp;12 93&amp;9
&amp;R&amp;12&amp;F
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rgb="FF00B050"/>
    <pageSetUpPr fitToPage="1"/>
  </sheetPr>
  <dimension ref="A1:AN109"/>
  <sheetViews>
    <sheetView showGridLines="0" showZeros="0" topLeftCell="S1" zoomScaleNormal="100" zoomScaleSheetLayoutView="63" workbookViewId="0">
      <pane ySplit="3" topLeftCell="A4" activePane="bottomLeft" state="frozen"/>
      <selection pane="bottomLeft" activeCell="AD11" sqref="AD11"/>
    </sheetView>
  </sheetViews>
  <sheetFormatPr baseColWidth="10" defaultColWidth="11.42578125" defaultRowHeight="12.75" x14ac:dyDescent="0.2"/>
  <cols>
    <col min="1" max="1" width="7.5703125" style="3544" customWidth="1"/>
    <col min="2" max="2" width="8.7109375" style="3545" customWidth="1"/>
    <col min="3" max="3" width="3.85546875" style="3545" customWidth="1"/>
    <col min="4" max="4" width="24" style="3545" customWidth="1"/>
    <col min="5" max="5" width="10.7109375" style="3545" customWidth="1"/>
    <col min="6" max="6" width="25.85546875" style="3545" customWidth="1"/>
    <col min="7" max="7" width="9.140625" style="3545" customWidth="1"/>
    <col min="8" max="8" width="7.28515625" style="3545" customWidth="1"/>
    <col min="9" max="9" width="7.85546875" style="3546" customWidth="1"/>
    <col min="10" max="10" width="7.28515625" style="3546" customWidth="1"/>
    <col min="11" max="11" width="8.140625" style="3546" customWidth="1"/>
    <col min="12" max="12" width="6.140625" style="3546" customWidth="1"/>
    <col min="13" max="13" width="7.42578125" style="3545" customWidth="1"/>
    <col min="14" max="14" width="6.5703125" style="3545" customWidth="1"/>
    <col min="15" max="15" width="7.28515625" style="3545" customWidth="1"/>
    <col min="16" max="16" width="4.140625" style="3545" customWidth="1"/>
    <col min="17" max="17" width="19" style="3545" customWidth="1"/>
    <col min="18" max="18" width="10" style="3545" customWidth="1"/>
    <col min="19" max="19" width="3" style="3545" customWidth="1"/>
    <col min="20" max="20" width="24.42578125" style="3545" customWidth="1"/>
    <col min="21" max="21" width="15.28515625" style="3546" customWidth="1"/>
    <col min="22" max="22" width="14.140625" style="3546" customWidth="1"/>
    <col min="23" max="23" width="16" style="3546" customWidth="1"/>
    <col min="24" max="24" width="7.28515625" style="3546" customWidth="1"/>
    <col min="25" max="25" width="8" style="3545" customWidth="1"/>
    <col min="26" max="27" width="11.42578125" style="3544"/>
    <col min="28" max="28" width="2.85546875" style="3544" customWidth="1"/>
    <col min="29" max="29" width="13.140625" style="3544" customWidth="1"/>
    <col min="30" max="16384" width="11.42578125" style="3544"/>
  </cols>
  <sheetData>
    <row r="1" spans="1:40" s="542" customFormat="1" ht="15.75" customHeight="1" x14ac:dyDescent="0.2">
      <c r="B1" s="4192"/>
      <c r="C1" s="4192"/>
      <c r="D1" s="4192"/>
      <c r="E1" s="3705"/>
      <c r="F1" s="3754" t="s">
        <v>1657</v>
      </c>
      <c r="G1" s="4206"/>
      <c r="H1" s="4206"/>
      <c r="I1" s="4206"/>
      <c r="J1" s="3753"/>
      <c r="K1" s="3753"/>
      <c r="L1" s="3753"/>
      <c r="M1" s="3753"/>
      <c r="N1" s="3753"/>
      <c r="O1" s="3759"/>
      <c r="P1" s="3759"/>
      <c r="Q1" s="3761"/>
      <c r="R1" s="3761"/>
      <c r="Y1" s="540"/>
      <c r="AE1" s="540"/>
      <c r="AF1" s="540"/>
      <c r="AG1" s="540"/>
    </row>
    <row r="2" spans="1:40" ht="20.25" x14ac:dyDescent="0.2">
      <c r="A2" s="3551"/>
      <c r="B2"/>
      <c r="C2"/>
      <c r="D2"/>
      <c r="E2"/>
      <c r="F2" s="8"/>
      <c r="G2" s="4207"/>
      <c r="H2" s="4207"/>
      <c r="I2" s="4207"/>
      <c r="J2" s="4208"/>
      <c r="K2" s="3707"/>
      <c r="L2" s="3706"/>
      <c r="M2" s="3706"/>
      <c r="N2" s="3706"/>
      <c r="O2" s="3706"/>
      <c r="P2" s="3706"/>
      <c r="Q2" s="3706"/>
      <c r="R2"/>
      <c r="S2"/>
      <c r="U2" s="3548"/>
      <c r="V2" s="948" t="s">
        <v>517</v>
      </c>
      <c r="W2" s="3548"/>
      <c r="X2"/>
      <c r="AA2" s="71" t="s">
        <v>518</v>
      </c>
    </row>
    <row r="3" spans="1:40" ht="52.5" customHeight="1" x14ac:dyDescent="0.2">
      <c r="A3" s="3551"/>
      <c r="B3"/>
      <c r="C3" s="895"/>
      <c r="D3" s="8"/>
      <c r="E3" s="8"/>
      <c r="F3" s="8"/>
      <c r="G3" s="3704" t="s">
        <v>493</v>
      </c>
      <c r="H3" s="4209">
        <f>Deckbl!D27</f>
        <v>44635</v>
      </c>
      <c r="I3" s="4209"/>
      <c r="L3" s="3704"/>
      <c r="M3" s="8"/>
      <c r="N3"/>
      <c r="O3" s="3548"/>
      <c r="Q3" s="3548"/>
      <c r="R3" s="3548"/>
      <c r="S3"/>
      <c r="U3" s="3548"/>
      <c r="V3" s="948" t="s">
        <v>606</v>
      </c>
      <c r="W3"/>
      <c r="X3"/>
      <c r="Z3" s="3550"/>
      <c r="AA3" s="72">
        <f>'Preise-Stammdaten'!N4</f>
        <v>2022</v>
      </c>
      <c r="AB3" s="3550"/>
    </row>
    <row r="4" spans="1:40" ht="67.349999999999994" customHeight="1" thickBot="1" x14ac:dyDescent="0.3">
      <c r="A4" s="3551"/>
      <c r="B4" s="3548"/>
      <c r="C4"/>
      <c r="D4" s="4203" t="s">
        <v>1568</v>
      </c>
      <c r="E4" s="4203"/>
      <c r="F4" s="4203"/>
      <c r="G4" s="4203"/>
      <c r="H4" s="4203"/>
      <c r="I4" s="4203"/>
      <c r="J4" s="4203"/>
      <c r="K4" s="4203"/>
      <c r="L4" s="4203"/>
      <c r="M4" s="4203"/>
      <c r="N4" s="4203"/>
      <c r="O4" s="3548"/>
      <c r="P4"/>
      <c r="Q4"/>
      <c r="R4"/>
      <c r="S4"/>
      <c r="T4"/>
      <c r="U4"/>
      <c r="V4" s="3548"/>
      <c r="W4" s="3548"/>
      <c r="X4"/>
      <c r="Y4"/>
      <c r="Z4" s="3550"/>
      <c r="AA4" s="3550"/>
      <c r="AB4" s="3550"/>
    </row>
    <row r="5" spans="1:40" ht="28.5" customHeight="1" thickBot="1" x14ac:dyDescent="0.3">
      <c r="A5" s="3551"/>
      <c r="C5"/>
      <c r="D5"/>
      <c r="E5"/>
      <c r="F5"/>
      <c r="G5"/>
      <c r="H5"/>
      <c r="I5"/>
      <c r="J5"/>
      <c r="K5"/>
      <c r="L5"/>
      <c r="M5"/>
      <c r="O5" s="3864"/>
      <c r="P5" s="3865"/>
      <c r="Q5" s="3866"/>
      <c r="R5" s="3867" t="s">
        <v>1054</v>
      </c>
      <c r="S5" s="3868"/>
      <c r="T5" s="3868"/>
      <c r="U5" s="3869"/>
      <c r="V5"/>
      <c r="W5"/>
      <c r="X5"/>
      <c r="Y5"/>
      <c r="Z5" s="3550"/>
      <c r="AA5" s="3550"/>
      <c r="AB5" s="3550"/>
    </row>
    <row r="6" spans="1:40" ht="22.7" customHeight="1" thickBot="1" x14ac:dyDescent="0.3">
      <c r="A6" s="3551"/>
      <c r="B6"/>
      <c r="C6" s="943" t="s">
        <v>552</v>
      </c>
      <c r="D6" s="3368" t="s">
        <v>553</v>
      </c>
      <c r="E6"/>
      <c r="F6"/>
      <c r="G6" s="3782"/>
      <c r="H6" s="3782"/>
      <c r="I6" s="4204" t="s">
        <v>1575</v>
      </c>
      <c r="J6" s="4204"/>
      <c r="K6" s="4204"/>
      <c r="L6" s="4205"/>
      <c r="M6" s="3783"/>
      <c r="N6" s="3783"/>
      <c r="O6" s="3781" t="s">
        <v>602</v>
      </c>
      <c r="Q6"/>
      <c r="R6" s="3850"/>
      <c r="S6" s="3851"/>
      <c r="T6" s="3852"/>
      <c r="U6" s="3852"/>
      <c r="V6" s="3851" t="s">
        <v>554</v>
      </c>
      <c r="W6" s="3852"/>
      <c r="X6" s="2527"/>
      <c r="Y6" s="2527"/>
      <c r="Z6" s="2527"/>
      <c r="AA6" s="3862" t="s">
        <v>602</v>
      </c>
      <c r="AB6" s="3550"/>
      <c r="AC6" s="3550"/>
      <c r="AD6" s="3550"/>
    </row>
    <row r="7" spans="1:40" ht="19.5" customHeight="1" thickTop="1" thickBot="1" x14ac:dyDescent="0.3">
      <c r="A7" s="3551"/>
      <c r="B7"/>
      <c r="C7" s="172"/>
      <c r="D7" s="2490" t="s">
        <v>603</v>
      </c>
      <c r="E7" s="36"/>
      <c r="F7" s="36"/>
      <c r="G7" s="3784" t="s">
        <v>554</v>
      </c>
      <c r="H7" s="2926">
        <v>2018</v>
      </c>
      <c r="I7" s="2926">
        <v>2019</v>
      </c>
      <c r="J7" s="2926">
        <v>2020</v>
      </c>
      <c r="K7" s="2926">
        <v>2021</v>
      </c>
      <c r="L7" s="2926">
        <v>2022</v>
      </c>
      <c r="M7" s="2926">
        <v>2023</v>
      </c>
      <c r="N7" s="2926">
        <v>2024</v>
      </c>
      <c r="O7" s="2926">
        <v>2021</v>
      </c>
      <c r="Q7"/>
      <c r="R7" s="2706"/>
      <c r="S7" s="172"/>
      <c r="T7" s="172"/>
      <c r="U7" s="172"/>
      <c r="V7" s="1882">
        <v>2019</v>
      </c>
      <c r="W7" s="1882">
        <v>2020</v>
      </c>
      <c r="X7" s="1882">
        <v>2021</v>
      </c>
      <c r="Y7" s="1882">
        <v>2022</v>
      </c>
      <c r="Z7" s="1882">
        <v>2023</v>
      </c>
      <c r="AA7" s="3863">
        <f>AA3</f>
        <v>2022</v>
      </c>
      <c r="AB7" s="3550"/>
      <c r="AC7" s="3550"/>
      <c r="AD7" s="3550"/>
    </row>
    <row r="8" spans="1:40" s="3553" customFormat="1" ht="18" customHeight="1" x14ac:dyDescent="0.2">
      <c r="B8" s="3825"/>
      <c r="C8" s="3938">
        <v>1</v>
      </c>
      <c r="D8" s="3939" t="s">
        <v>1576</v>
      </c>
      <c r="E8" s="3940"/>
      <c r="F8" s="3940"/>
      <c r="G8" s="3941"/>
      <c r="H8" s="3942">
        <v>75</v>
      </c>
      <c r="I8" s="3943">
        <v>75</v>
      </c>
      <c r="J8" s="3943">
        <v>75</v>
      </c>
      <c r="K8" s="3943">
        <v>75</v>
      </c>
      <c r="L8" s="3944"/>
      <c r="M8" s="3944"/>
      <c r="N8" s="3945"/>
      <c r="O8" s="3946">
        <f>IF($O$7=$H$7,H8,IF($O$7=$I$7,I8,IF($O$7=$J$7,J8,IF($O$7=$K$7,K8,IF($O$7=$L$7,L8,IF($O$7=$M$7,M8,IF($O$7=$N$7,N8,0)))))))</f>
        <v>75</v>
      </c>
      <c r="P8" s="3552"/>
      <c r="Q8" s="3825"/>
      <c r="R8" s="3853">
        <v>1</v>
      </c>
      <c r="S8" s="3846" t="s">
        <v>1492</v>
      </c>
      <c r="T8" s="3847"/>
      <c r="U8" s="3848"/>
      <c r="V8" s="3849">
        <v>270</v>
      </c>
      <c r="W8" s="3849">
        <v>270</v>
      </c>
      <c r="X8" s="3849">
        <v>270</v>
      </c>
      <c r="Y8" s="3849">
        <v>270</v>
      </c>
      <c r="Z8" s="3849"/>
      <c r="AA8" s="3854">
        <f>IF($AA$7=$V$7,V8,IF($AA$7=$W$7,W8,IF($AA$7=$X$7,X8,IF($AA$7=$Y$7,Y8,IF($AA$7=$Z$7,Z8,0)))))</f>
        <v>270</v>
      </c>
    </row>
    <row r="9" spans="1:40" s="3553" customFormat="1" ht="18" customHeight="1" thickBot="1" x14ac:dyDescent="0.25">
      <c r="B9" s="3825"/>
      <c r="C9" s="3947">
        <f t="shared" ref="C9:C17" si="0">C8+1</f>
        <v>2</v>
      </c>
      <c r="D9" s="3948" t="s">
        <v>1577</v>
      </c>
      <c r="E9" s="3949"/>
      <c r="F9" s="3949"/>
      <c r="G9" s="3950"/>
      <c r="H9" s="3951">
        <v>80</v>
      </c>
      <c r="I9" s="3951">
        <v>80</v>
      </c>
      <c r="J9" s="3951">
        <v>80</v>
      </c>
      <c r="K9" s="3951">
        <v>80</v>
      </c>
      <c r="L9" s="3952"/>
      <c r="M9" s="3952"/>
      <c r="N9" s="3953"/>
      <c r="O9" s="3954">
        <f t="shared" ref="O9:O32" si="1">IF($O$7=$H$7,H9,IF($O$7=$I$7,I9,IF($O$7=$J$7,J9,IF($O$7=$K$7,K9,IF($O$7=$L$7,L9,IF($O$7=$M$7,M9,IF($O$7=$N$7,N9,0)))))))</f>
        <v>80</v>
      </c>
      <c r="P9" s="3552"/>
      <c r="Q9" s="3552"/>
      <c r="R9" s="3855">
        <v>2</v>
      </c>
      <c r="S9" s="3856" t="s">
        <v>1584</v>
      </c>
      <c r="T9" s="3857"/>
      <c r="U9" s="3858"/>
      <c r="V9" s="3859">
        <v>270</v>
      </c>
      <c r="W9" s="3859">
        <v>270</v>
      </c>
      <c r="X9" s="3860"/>
      <c r="Y9" s="3860"/>
      <c r="Z9" s="3860"/>
      <c r="AA9" s="3861">
        <f>IF($AA$7=$V$7,V9,IF($AA$7=$W$7,W9,IF($AA$7=$X$7,X9,IF($AA$7=$Y$7,Y9,IF($AA$7=$Z$7,Z9,0)))))</f>
        <v>0</v>
      </c>
    </row>
    <row r="10" spans="1:40" s="3553" customFormat="1" ht="18" customHeight="1" x14ac:dyDescent="0.2">
      <c r="B10" s="3825"/>
      <c r="C10" s="3947">
        <f t="shared" si="0"/>
        <v>3</v>
      </c>
      <c r="D10" s="3948" t="s">
        <v>1578</v>
      </c>
      <c r="E10" s="3949"/>
      <c r="F10" s="3949"/>
      <c r="G10" s="3950"/>
      <c r="H10" s="3951">
        <v>150</v>
      </c>
      <c r="I10" s="3951">
        <v>150</v>
      </c>
      <c r="J10" s="3951">
        <v>150</v>
      </c>
      <c r="K10" s="3951">
        <v>150</v>
      </c>
      <c r="L10" s="3952"/>
      <c r="M10" s="3952"/>
      <c r="N10" s="3953"/>
      <c r="O10" s="3954">
        <f t="shared" si="1"/>
        <v>150</v>
      </c>
      <c r="P10" s="3552"/>
      <c r="Q10" s="3548"/>
      <c r="R10" s="3548"/>
      <c r="S10" s="3548"/>
      <c r="T10" s="3548"/>
      <c r="U10" s="3548"/>
      <c r="V10" s="3548"/>
      <c r="W10" s="3548"/>
      <c r="X10" s="3548"/>
      <c r="Y10" s="3548"/>
      <c r="Z10" s="3548"/>
      <c r="AA10" s="3548"/>
    </row>
    <row r="11" spans="1:40" s="3547" customFormat="1" ht="18" customHeight="1" x14ac:dyDescent="0.2">
      <c r="B11" s="3552"/>
      <c r="C11" s="3947">
        <f t="shared" si="0"/>
        <v>4</v>
      </c>
      <c r="D11" s="3948" t="s">
        <v>1579</v>
      </c>
      <c r="E11" s="3955"/>
      <c r="F11" s="3955"/>
      <c r="G11" s="3950"/>
      <c r="H11" s="3951">
        <v>150</v>
      </c>
      <c r="I11" s="3951">
        <v>150</v>
      </c>
      <c r="J11" s="3951">
        <v>150</v>
      </c>
      <c r="K11" s="3951">
        <v>150</v>
      </c>
      <c r="L11" s="3952"/>
      <c r="M11" s="3952"/>
      <c r="N11" s="3953"/>
      <c r="O11" s="3954">
        <f t="shared" si="1"/>
        <v>150</v>
      </c>
      <c r="P11" s="3552"/>
      <c r="Q11" s="3548"/>
      <c r="R11" s="3583" t="s">
        <v>1487</v>
      </c>
      <c r="S11" s="3582"/>
      <c r="T11" s="3581"/>
      <c r="U11" s="3581"/>
      <c r="V11" s="3579"/>
      <c r="W11" s="3580"/>
      <c r="X11" s="3580"/>
      <c r="Y11" s="3580"/>
      <c r="Z11" s="3580"/>
      <c r="AA11" s="3579"/>
    </row>
    <row r="12" spans="1:40" s="3547" customFormat="1" ht="18" customHeight="1" x14ac:dyDescent="0.2">
      <c r="B12" s="3552"/>
      <c r="C12" s="3947">
        <f t="shared" si="0"/>
        <v>5</v>
      </c>
      <c r="D12" s="3948"/>
      <c r="E12" s="3949"/>
      <c r="F12" s="3949"/>
      <c r="G12" s="3950"/>
      <c r="H12" s="3951"/>
      <c r="I12" s="3951"/>
      <c r="J12" s="3951"/>
      <c r="K12" s="3951"/>
      <c r="L12" s="3952"/>
      <c r="M12" s="3952"/>
      <c r="N12" s="3953"/>
      <c r="O12" s="3954">
        <f t="shared" si="1"/>
        <v>0</v>
      </c>
      <c r="P12" s="3552"/>
      <c r="R12" s="3557" t="s">
        <v>1485</v>
      </c>
      <c r="S12" s="3578"/>
      <c r="T12" s="3578"/>
      <c r="U12" s="3578"/>
      <c r="V12" s="3578"/>
      <c r="W12" s="3578"/>
      <c r="X12" s="3578"/>
      <c r="Y12" s="3578"/>
      <c r="Z12" s="3578"/>
      <c r="AA12" s="3578"/>
      <c r="AN12" s="3548"/>
    </row>
    <row r="13" spans="1:40" s="3547" customFormat="1" ht="18" customHeight="1" x14ac:dyDescent="0.2">
      <c r="B13" s="3552"/>
      <c r="C13" s="3947">
        <f t="shared" si="0"/>
        <v>6</v>
      </c>
      <c r="D13" s="3948"/>
      <c r="E13" s="3949"/>
      <c r="F13" s="3949"/>
      <c r="G13" s="3950"/>
      <c r="H13" s="3951"/>
      <c r="I13" s="3951"/>
      <c r="J13" s="3951"/>
      <c r="K13" s="3951"/>
      <c r="L13" s="3952"/>
      <c r="M13" s="3952"/>
      <c r="N13" s="3953"/>
      <c r="O13" s="3954">
        <f t="shared" si="1"/>
        <v>0</v>
      </c>
      <c r="P13" s="3552"/>
      <c r="R13" s="3577" t="s">
        <v>1486</v>
      </c>
      <c r="S13" s="3576"/>
      <c r="T13" s="3576"/>
      <c r="U13" s="3576"/>
      <c r="V13" s="3576"/>
      <c r="W13" s="3576"/>
      <c r="X13" s="3576"/>
      <c r="Y13" s="3576"/>
      <c r="Z13" s="3576"/>
      <c r="AA13" s="3576"/>
      <c r="AN13" s="3548"/>
    </row>
    <row r="14" spans="1:40" s="3547" customFormat="1" ht="18" customHeight="1" x14ac:dyDescent="0.2">
      <c r="B14" s="3554"/>
      <c r="C14" s="3947">
        <f t="shared" si="0"/>
        <v>7</v>
      </c>
      <c r="D14" s="3948" t="s">
        <v>1580</v>
      </c>
      <c r="E14" s="3955"/>
      <c r="F14" s="3955"/>
      <c r="G14" s="3950"/>
      <c r="H14" s="3951">
        <v>230</v>
      </c>
      <c r="I14" s="3951">
        <v>230</v>
      </c>
      <c r="J14" s="3951">
        <v>230</v>
      </c>
      <c r="K14" s="3951">
        <v>230</v>
      </c>
      <c r="L14" s="3952"/>
      <c r="M14" s="3952"/>
      <c r="N14" s="3953"/>
      <c r="O14" s="3954">
        <f t="shared" si="1"/>
        <v>230</v>
      </c>
      <c r="P14" s="3552"/>
      <c r="AN14" s="3548"/>
    </row>
    <row r="15" spans="1:40" s="3547" customFormat="1" ht="18" customHeight="1" thickBot="1" x14ac:dyDescent="0.3">
      <c r="B15" s="3554"/>
      <c r="C15" s="3947">
        <f t="shared" si="0"/>
        <v>8</v>
      </c>
      <c r="D15" s="3948" t="s">
        <v>1581</v>
      </c>
      <c r="E15" s="3955"/>
      <c r="F15" s="3955"/>
      <c r="G15" s="3950"/>
      <c r="H15" s="3951">
        <v>260</v>
      </c>
      <c r="I15" s="3951">
        <v>260</v>
      </c>
      <c r="J15" s="3951">
        <v>260</v>
      </c>
      <c r="K15" s="3951">
        <v>260</v>
      </c>
      <c r="L15" s="3952"/>
      <c r="M15" s="3952"/>
      <c r="N15" s="3953"/>
      <c r="O15" s="3954">
        <f t="shared" si="1"/>
        <v>260</v>
      </c>
      <c r="P15" s="3552"/>
      <c r="Q15" s="3564"/>
      <c r="AN15" s="3548"/>
    </row>
    <row r="16" spans="1:40" s="3547" customFormat="1" ht="18" customHeight="1" x14ac:dyDescent="0.25">
      <c r="B16" s="3554"/>
      <c r="C16" s="3947">
        <f t="shared" si="0"/>
        <v>9</v>
      </c>
      <c r="D16" s="3948" t="s">
        <v>1582</v>
      </c>
      <c r="E16" s="3955"/>
      <c r="F16" s="3955"/>
      <c r="G16" s="3956"/>
      <c r="H16" s="3951">
        <v>280</v>
      </c>
      <c r="I16" s="3951">
        <v>280</v>
      </c>
      <c r="J16" s="3951">
        <v>280</v>
      </c>
      <c r="K16" s="3951">
        <v>280</v>
      </c>
      <c r="L16" s="3952"/>
      <c r="M16" s="3952"/>
      <c r="N16" s="3953"/>
      <c r="O16" s="3954">
        <f t="shared" si="1"/>
        <v>280</v>
      </c>
      <c r="P16" s="3548"/>
      <c r="Q16" s="3564"/>
      <c r="R16" s="3575" t="s">
        <v>1488</v>
      </c>
      <c r="S16" s="3574"/>
      <c r="T16" s="3574"/>
      <c r="U16" s="3574"/>
      <c r="V16" s="3574"/>
      <c r="W16" s="3574"/>
      <c r="X16" s="3574"/>
      <c r="Y16" s="3574"/>
      <c r="Z16" s="3574"/>
      <c r="AA16" s="3573"/>
    </row>
    <row r="17" spans="2:30" s="3547" customFormat="1" ht="18" customHeight="1" x14ac:dyDescent="0.25">
      <c r="B17" s="3554"/>
      <c r="C17" s="3947">
        <f t="shared" si="0"/>
        <v>10</v>
      </c>
      <c r="D17" s="3948" t="s">
        <v>1583</v>
      </c>
      <c r="E17" s="3955"/>
      <c r="F17" s="3955"/>
      <c r="G17" s="3956"/>
      <c r="H17" s="3951">
        <v>280</v>
      </c>
      <c r="I17" s="3951">
        <v>280</v>
      </c>
      <c r="J17" s="3951">
        <v>280</v>
      </c>
      <c r="K17" s="3951">
        <v>280</v>
      </c>
      <c r="L17" s="3952"/>
      <c r="M17" s="3952"/>
      <c r="N17" s="3953"/>
      <c r="O17" s="3954">
        <f t="shared" si="1"/>
        <v>280</v>
      </c>
      <c r="P17" s="3548"/>
      <c r="Q17" s="3564"/>
      <c r="R17" s="3570"/>
      <c r="S17" s="3569"/>
      <c r="T17" s="3569"/>
      <c r="U17" s="3569"/>
      <c r="V17" s="3569"/>
      <c r="W17" s="3569"/>
      <c r="X17" s="3572"/>
      <c r="Y17" s="3572"/>
      <c r="Z17" s="3572"/>
      <c r="AA17" s="3571"/>
    </row>
    <row r="18" spans="2:30" s="3547" customFormat="1" ht="18" customHeight="1" x14ac:dyDescent="0.25">
      <c r="B18" s="3554"/>
      <c r="C18" s="3947">
        <v>11</v>
      </c>
      <c r="D18" s="3948" t="s">
        <v>1715</v>
      </c>
      <c r="E18" s="3955"/>
      <c r="F18" s="3955"/>
      <c r="G18" s="3956"/>
      <c r="H18" s="3951">
        <v>50</v>
      </c>
      <c r="I18" s="3951">
        <v>50</v>
      </c>
      <c r="J18" s="3951">
        <v>50</v>
      </c>
      <c r="K18" s="3951">
        <v>50</v>
      </c>
      <c r="L18" s="3952"/>
      <c r="M18" s="3952"/>
      <c r="N18" s="3953"/>
      <c r="O18" s="3954">
        <f t="shared" si="1"/>
        <v>50</v>
      </c>
      <c r="P18" s="3552"/>
      <c r="Q18" s="3564"/>
      <c r="R18" s="4210" t="s">
        <v>1489</v>
      </c>
      <c r="S18" s="4211"/>
      <c r="T18" s="4211"/>
      <c r="U18" s="4211"/>
      <c r="V18" s="4211"/>
      <c r="W18" s="4211"/>
      <c r="X18" s="3569"/>
      <c r="Y18" s="3569"/>
      <c r="Z18" s="3569"/>
      <c r="AA18" s="3568"/>
    </row>
    <row r="19" spans="2:30" s="3547" customFormat="1" ht="18" customHeight="1" x14ac:dyDescent="0.25">
      <c r="B19" s="3554"/>
      <c r="C19" s="3947">
        <f>C18+1</f>
        <v>12</v>
      </c>
      <c r="D19" s="3948" t="s">
        <v>1472</v>
      </c>
      <c r="E19" s="3955"/>
      <c r="F19" s="3955"/>
      <c r="G19" s="3956"/>
      <c r="H19" s="3951">
        <v>190</v>
      </c>
      <c r="I19" s="3951">
        <v>190</v>
      </c>
      <c r="J19" s="3951">
        <v>190</v>
      </c>
      <c r="K19" s="3951">
        <v>190</v>
      </c>
      <c r="L19" s="3952"/>
      <c r="M19" s="3952"/>
      <c r="N19" s="3953"/>
      <c r="O19" s="3954">
        <f t="shared" si="1"/>
        <v>190</v>
      </c>
      <c r="P19" s="3552"/>
      <c r="Q19" s="3564"/>
      <c r="R19" s="3570"/>
      <c r="S19" s="3569"/>
      <c r="T19" s="3569"/>
      <c r="U19" s="3569"/>
      <c r="V19" s="3569"/>
      <c r="W19" s="3569"/>
      <c r="X19" s="3569"/>
      <c r="Y19" s="3569"/>
      <c r="Z19" s="3569"/>
      <c r="AA19" s="3568"/>
    </row>
    <row r="20" spans="2:30" s="3547" customFormat="1" ht="18" customHeight="1" x14ac:dyDescent="0.25">
      <c r="B20" s="3554"/>
      <c r="C20" s="3947">
        <f>C19+1</f>
        <v>13</v>
      </c>
      <c r="D20" s="3948" t="s">
        <v>1473</v>
      </c>
      <c r="E20" s="3955"/>
      <c r="F20" s="3955"/>
      <c r="G20" s="3956"/>
      <c r="H20" s="3951">
        <v>350</v>
      </c>
      <c r="I20" s="3951">
        <v>350</v>
      </c>
      <c r="J20" s="3951">
        <v>350</v>
      </c>
      <c r="K20" s="3951">
        <v>350</v>
      </c>
      <c r="L20" s="3952"/>
      <c r="M20" s="3952"/>
      <c r="N20" s="3953"/>
      <c r="O20" s="3954">
        <f t="shared" si="1"/>
        <v>350</v>
      </c>
      <c r="P20" s="3552"/>
      <c r="Q20" s="3564"/>
      <c r="R20" s="4194" t="s">
        <v>1490</v>
      </c>
      <c r="S20" s="4195"/>
      <c r="T20" s="4195"/>
      <c r="U20" s="4195"/>
      <c r="V20" s="4195"/>
      <c r="W20" s="4195"/>
      <c r="X20" s="4195"/>
      <c r="Y20" s="4195"/>
      <c r="Z20" s="4195"/>
      <c r="AA20" s="4196"/>
    </row>
    <row r="21" spans="2:30" s="3547" customFormat="1" ht="18" customHeight="1" x14ac:dyDescent="0.25">
      <c r="B21" s="3554"/>
      <c r="C21" s="3947">
        <f>C20+1</f>
        <v>14</v>
      </c>
      <c r="D21" s="3948" t="s">
        <v>1474</v>
      </c>
      <c r="E21" s="3955"/>
      <c r="F21" s="3955"/>
      <c r="G21" s="3956"/>
      <c r="H21" s="3951">
        <v>230</v>
      </c>
      <c r="I21" s="3951">
        <v>230</v>
      </c>
      <c r="J21" s="3951">
        <v>230</v>
      </c>
      <c r="K21" s="3951">
        <v>230</v>
      </c>
      <c r="L21" s="3952"/>
      <c r="M21" s="3952"/>
      <c r="N21" s="3953"/>
      <c r="O21" s="3954">
        <f t="shared" si="1"/>
        <v>230</v>
      </c>
      <c r="P21" s="3552"/>
      <c r="Q21" s="3564"/>
      <c r="R21" s="4194"/>
      <c r="S21" s="4195"/>
      <c r="T21" s="4195"/>
      <c r="U21" s="4195"/>
      <c r="V21" s="4195"/>
      <c r="W21" s="4195"/>
      <c r="X21" s="4195"/>
      <c r="Y21" s="4195"/>
      <c r="Z21" s="4195"/>
      <c r="AA21" s="4196"/>
    </row>
    <row r="22" spans="2:30" s="3547" customFormat="1" ht="18" customHeight="1" x14ac:dyDescent="0.25">
      <c r="B22" s="3554"/>
      <c r="C22" s="3947">
        <v>15</v>
      </c>
      <c r="D22" s="3948" t="s">
        <v>1475</v>
      </c>
      <c r="E22" s="3955"/>
      <c r="F22" s="3955"/>
      <c r="G22" s="3956"/>
      <c r="H22" s="3951">
        <v>70</v>
      </c>
      <c r="I22" s="3951">
        <v>70</v>
      </c>
      <c r="J22" s="3951">
        <v>70</v>
      </c>
      <c r="K22" s="3951">
        <v>70</v>
      </c>
      <c r="L22" s="3952"/>
      <c r="M22" s="3952"/>
      <c r="N22" s="3953"/>
      <c r="O22" s="3954">
        <f t="shared" si="1"/>
        <v>70</v>
      </c>
      <c r="P22" s="3552"/>
      <c r="Q22" s="3564"/>
      <c r="R22" s="3567"/>
      <c r="S22" s="3566"/>
      <c r="T22" s="3566"/>
      <c r="U22" s="3566"/>
      <c r="V22" s="3566"/>
      <c r="W22" s="3566"/>
      <c r="X22" s="3566"/>
      <c r="Y22" s="3566"/>
      <c r="Z22" s="3566"/>
      <c r="AA22" s="3565"/>
    </row>
    <row r="23" spans="2:30" s="3547" customFormat="1" ht="18" customHeight="1" x14ac:dyDescent="0.25">
      <c r="B23" s="3554"/>
      <c r="C23" s="3947">
        <f t="shared" ref="C23:C44" si="2">C22+1</f>
        <v>16</v>
      </c>
      <c r="D23" s="3948" t="s">
        <v>1476</v>
      </c>
      <c r="E23" s="3955"/>
      <c r="F23" s="3955"/>
      <c r="G23" s="3956"/>
      <c r="H23" s="3951">
        <v>90</v>
      </c>
      <c r="I23" s="3951">
        <v>90</v>
      </c>
      <c r="J23" s="3951">
        <v>90</v>
      </c>
      <c r="K23" s="3951">
        <v>90</v>
      </c>
      <c r="L23" s="3952"/>
      <c r="M23" s="3952"/>
      <c r="N23" s="3953"/>
      <c r="O23" s="3954">
        <f t="shared" si="1"/>
        <v>90</v>
      </c>
      <c r="P23" s="3552"/>
      <c r="Q23" s="3564"/>
      <c r="R23" s="4197" t="s">
        <v>1491</v>
      </c>
      <c r="S23" s="4198"/>
      <c r="T23" s="4198"/>
      <c r="U23" s="4198"/>
      <c r="V23" s="4198"/>
      <c r="W23" s="4198"/>
      <c r="X23" s="4198"/>
      <c r="Y23" s="4198"/>
      <c r="Z23" s="4198"/>
      <c r="AA23" s="4199"/>
    </row>
    <row r="24" spans="2:30" s="3547" customFormat="1" ht="18" customHeight="1" thickBot="1" x14ac:dyDescent="0.25">
      <c r="B24" s="3554"/>
      <c r="C24" s="3947">
        <f t="shared" si="2"/>
        <v>17</v>
      </c>
      <c r="D24" s="3948" t="s">
        <v>1747</v>
      </c>
      <c r="E24" s="3955"/>
      <c r="F24" s="3955"/>
      <c r="G24" s="3956"/>
      <c r="H24" s="3951">
        <v>710</v>
      </c>
      <c r="I24" s="3951">
        <v>710</v>
      </c>
      <c r="J24" s="3951">
        <v>710</v>
      </c>
      <c r="K24" s="3951">
        <v>710</v>
      </c>
      <c r="L24" s="3952"/>
      <c r="M24" s="3952"/>
      <c r="N24" s="3953"/>
      <c r="O24" s="3954">
        <f t="shared" si="1"/>
        <v>710</v>
      </c>
      <c r="P24" s="3552"/>
      <c r="Q24" s="3548"/>
      <c r="R24" s="4200"/>
      <c r="S24" s="4201"/>
      <c r="T24" s="4201"/>
      <c r="U24" s="4201"/>
      <c r="V24" s="4201"/>
      <c r="W24" s="4201"/>
      <c r="X24" s="4201"/>
      <c r="Y24" s="4201"/>
      <c r="Z24" s="4201"/>
      <c r="AA24" s="4202"/>
    </row>
    <row r="25" spans="2:30" s="3547" customFormat="1" ht="18" customHeight="1" x14ac:dyDescent="0.2">
      <c r="B25" s="3554"/>
      <c r="C25" s="3947">
        <f t="shared" si="2"/>
        <v>18</v>
      </c>
      <c r="D25" s="3948" t="s">
        <v>1748</v>
      </c>
      <c r="E25" s="3955"/>
      <c r="F25" s="3955"/>
      <c r="G25" s="3956"/>
      <c r="H25" s="3951">
        <v>330</v>
      </c>
      <c r="I25" s="3951">
        <v>330</v>
      </c>
      <c r="J25" s="3951">
        <v>330</v>
      </c>
      <c r="K25" s="3951">
        <v>330</v>
      </c>
      <c r="L25" s="3952"/>
      <c r="M25" s="3952"/>
      <c r="N25" s="3953"/>
      <c r="O25" s="3954">
        <f t="shared" si="1"/>
        <v>330</v>
      </c>
      <c r="P25" s="3552"/>
      <c r="Q25" s="3548"/>
      <c r="U25" s="3548"/>
      <c r="V25" s="3548"/>
      <c r="W25" s="3548"/>
      <c r="X25" s="3548"/>
      <c r="Y25" s="3548"/>
      <c r="Z25" s="3548"/>
      <c r="AA25" s="3548"/>
    </row>
    <row r="26" spans="2:30" s="3547" customFormat="1" ht="18" customHeight="1" x14ac:dyDescent="0.2">
      <c r="B26" s="3554"/>
      <c r="C26" s="3947">
        <f t="shared" si="2"/>
        <v>19</v>
      </c>
      <c r="D26" s="3948" t="s">
        <v>1477</v>
      </c>
      <c r="E26" s="3955"/>
      <c r="F26" s="3955"/>
      <c r="G26" s="3956"/>
      <c r="H26" s="3951">
        <v>80</v>
      </c>
      <c r="I26" s="3951">
        <v>80</v>
      </c>
      <c r="J26" s="3951">
        <v>80</v>
      </c>
      <c r="K26" s="3951">
        <v>80</v>
      </c>
      <c r="L26" s="3952"/>
      <c r="M26" s="3952"/>
      <c r="N26" s="3953"/>
      <c r="O26" s="3954">
        <f t="shared" si="1"/>
        <v>80</v>
      </c>
      <c r="P26" s="3552"/>
      <c r="Q26" s="3548"/>
      <c r="R26" s="3548"/>
      <c r="S26" s="3563" t="s">
        <v>310</v>
      </c>
      <c r="T26" s="3548"/>
      <c r="U26" s="3548"/>
      <c r="V26" s="3548"/>
      <c r="W26" s="3548"/>
      <c r="X26" s="3548"/>
      <c r="Y26" s="3548"/>
      <c r="Z26" s="3548"/>
      <c r="AA26" s="3548"/>
    </row>
    <row r="27" spans="2:30" s="3547" customFormat="1" ht="18" customHeight="1" x14ac:dyDescent="0.2">
      <c r="B27" s="3554"/>
      <c r="C27" s="3947">
        <f t="shared" si="2"/>
        <v>20</v>
      </c>
      <c r="D27" s="3948" t="s">
        <v>1478</v>
      </c>
      <c r="E27" s="3955"/>
      <c r="F27" s="3955"/>
      <c r="G27" s="3956"/>
      <c r="H27" s="3951">
        <v>60</v>
      </c>
      <c r="I27" s="3951">
        <v>60</v>
      </c>
      <c r="J27" s="3951">
        <v>60</v>
      </c>
      <c r="K27" s="3951">
        <v>60</v>
      </c>
      <c r="L27" s="3952"/>
      <c r="M27" s="3952"/>
      <c r="N27" s="3953"/>
      <c r="O27" s="3954">
        <f t="shared" si="1"/>
        <v>60</v>
      </c>
      <c r="P27" s="3552"/>
      <c r="Q27" s="3548"/>
      <c r="S27" s="3563" t="s">
        <v>925</v>
      </c>
      <c r="T27" s="3548"/>
      <c r="U27" s="3548"/>
      <c r="V27" s="3548"/>
      <c r="W27" s="3548"/>
      <c r="X27" s="3548"/>
      <c r="Y27" s="3548"/>
      <c r="Z27" s="3548"/>
      <c r="AA27" s="3548"/>
    </row>
    <row r="28" spans="2:30" s="3547" customFormat="1" ht="18" customHeight="1" x14ac:dyDescent="0.2">
      <c r="B28" s="3554"/>
      <c r="C28" s="3947">
        <f t="shared" si="2"/>
        <v>21</v>
      </c>
      <c r="D28" s="3948" t="s">
        <v>1479</v>
      </c>
      <c r="E28" s="3955"/>
      <c r="F28" s="3955"/>
      <c r="G28" s="3956"/>
      <c r="H28" s="3951">
        <v>100</v>
      </c>
      <c r="I28" s="3951">
        <v>100</v>
      </c>
      <c r="J28" s="3951">
        <v>100</v>
      </c>
      <c r="K28" s="3951">
        <v>100</v>
      </c>
      <c r="L28" s="3952"/>
      <c r="M28" s="3952"/>
      <c r="N28" s="3953"/>
      <c r="O28" s="3954">
        <f t="shared" si="1"/>
        <v>100</v>
      </c>
      <c r="P28" s="3552"/>
      <c r="Q28" s="3548"/>
      <c r="S28" s="3562" t="s">
        <v>560</v>
      </c>
      <c r="T28" s="3548"/>
      <c r="U28" s="3548"/>
      <c r="V28" s="3548"/>
      <c r="W28" s="3548"/>
      <c r="X28" s="3548"/>
      <c r="Y28" s="3548"/>
      <c r="Z28" s="3548"/>
      <c r="AA28" s="3548"/>
    </row>
    <row r="29" spans="2:30" s="3547" customFormat="1" ht="18" customHeight="1" x14ac:dyDescent="0.2">
      <c r="B29" s="3554"/>
      <c r="C29" s="3947">
        <f t="shared" si="2"/>
        <v>22</v>
      </c>
      <c r="D29" s="3948" t="s">
        <v>1480</v>
      </c>
      <c r="E29" s="3955"/>
      <c r="F29" s="3955"/>
      <c r="G29" s="3956"/>
      <c r="H29" s="3951">
        <v>60</v>
      </c>
      <c r="I29" s="3951">
        <v>60</v>
      </c>
      <c r="J29" s="3951">
        <v>60</v>
      </c>
      <c r="K29" s="3951">
        <v>60</v>
      </c>
      <c r="L29" s="3952"/>
      <c r="M29" s="3952"/>
      <c r="N29" s="3953"/>
      <c r="O29" s="3954">
        <f t="shared" si="1"/>
        <v>60</v>
      </c>
      <c r="P29" s="3552"/>
      <c r="Q29" s="3548"/>
      <c r="R29" s="3561"/>
      <c r="W29" s="3548"/>
      <c r="X29" s="3548"/>
      <c r="Y29" s="3548"/>
      <c r="Z29" s="3548"/>
      <c r="AA29" s="3548"/>
    </row>
    <row r="30" spans="2:30" s="3547" customFormat="1" ht="18" customHeight="1" thickBot="1" x14ac:dyDescent="0.25">
      <c r="B30" s="3554"/>
      <c r="C30" s="3947">
        <f t="shared" si="2"/>
        <v>23</v>
      </c>
      <c r="D30" s="3948" t="s">
        <v>1481</v>
      </c>
      <c r="E30" s="3955"/>
      <c r="F30" s="3955"/>
      <c r="G30" s="3956"/>
      <c r="H30" s="3951">
        <v>80</v>
      </c>
      <c r="I30" s="3951">
        <v>80</v>
      </c>
      <c r="J30" s="3951">
        <v>80</v>
      </c>
      <c r="K30" s="3951">
        <v>80</v>
      </c>
      <c r="L30" s="3952"/>
      <c r="M30" s="3952"/>
      <c r="N30" s="3953"/>
      <c r="O30" s="3954">
        <f t="shared" si="1"/>
        <v>80</v>
      </c>
      <c r="P30" s="3552"/>
      <c r="Q30" s="3548"/>
      <c r="R30" s="3561"/>
      <c r="S30" s="3681" t="s">
        <v>1808</v>
      </c>
      <c r="T30"/>
      <c r="U30"/>
      <c r="V30"/>
      <c r="W30"/>
      <c r="X30" s="3681" t="s">
        <v>1809</v>
      </c>
      <c r="Y30"/>
      <c r="Z30"/>
      <c r="AA30"/>
      <c r="AB30"/>
      <c r="AC30"/>
    </row>
    <row r="31" spans="2:30" s="3547" customFormat="1" ht="18" customHeight="1" thickBot="1" x14ac:dyDescent="0.25">
      <c r="B31" s="3554"/>
      <c r="C31" s="3947">
        <f t="shared" si="2"/>
        <v>24</v>
      </c>
      <c r="D31" s="3948" t="s">
        <v>1482</v>
      </c>
      <c r="E31" s="3955"/>
      <c r="F31" s="3955"/>
      <c r="G31" s="3956"/>
      <c r="H31" s="3951">
        <v>120</v>
      </c>
      <c r="I31" s="3951">
        <v>120</v>
      </c>
      <c r="J31" s="3951">
        <v>120</v>
      </c>
      <c r="K31" s="3951">
        <v>120</v>
      </c>
      <c r="L31" s="3952"/>
      <c r="M31" s="3952"/>
      <c r="N31" s="3953"/>
      <c r="O31" s="3954">
        <f t="shared" si="1"/>
        <v>120</v>
      </c>
      <c r="P31" s="3552"/>
      <c r="Q31" s="3548"/>
      <c r="S31" s="3903" t="s">
        <v>1781</v>
      </c>
      <c r="T31" s="3904"/>
      <c r="U31" s="3905" t="s">
        <v>1778</v>
      </c>
      <c r="V31" s="3906" t="s">
        <v>1779</v>
      </c>
      <c r="W31" s="3907" t="s">
        <v>1780</v>
      </c>
      <c r="X31" s="3909" t="s">
        <v>1806</v>
      </c>
      <c r="Y31" s="3910"/>
      <c r="Z31" s="3910"/>
      <c r="AA31" s="3910"/>
      <c r="AB31" s="3911"/>
      <c r="AC31" s="4115" t="s">
        <v>1807</v>
      </c>
      <c r="AD31" s="4114"/>
    </row>
    <row r="32" spans="2:30" s="3547" customFormat="1" ht="18" customHeight="1" thickTop="1" thickBot="1" x14ac:dyDescent="0.25">
      <c r="B32" s="3554"/>
      <c r="C32" s="3957">
        <f t="shared" si="2"/>
        <v>25</v>
      </c>
      <c r="D32" s="3958"/>
      <c r="E32" s="3959"/>
      <c r="F32" s="3959"/>
      <c r="G32" s="3960"/>
      <c r="H32" s="3961"/>
      <c r="I32" s="3961"/>
      <c r="J32" s="3961"/>
      <c r="K32" s="3961"/>
      <c r="L32" s="3962"/>
      <c r="M32" s="3962"/>
      <c r="N32" s="3963"/>
      <c r="O32" s="3964">
        <f t="shared" si="1"/>
        <v>0</v>
      </c>
      <c r="P32" s="3552"/>
      <c r="Q32" s="3548"/>
      <c r="R32" s="3547">
        <f>IF($O$7=$O$37,$O$7)</f>
        <v>2021</v>
      </c>
      <c r="S32" s="3888" t="s">
        <v>1782</v>
      </c>
      <c r="T32" s="3899"/>
      <c r="U32" s="3893" t="s">
        <v>1796</v>
      </c>
      <c r="V32" s="3896" t="s">
        <v>1787</v>
      </c>
      <c r="W32" s="3889" t="s">
        <v>1795</v>
      </c>
      <c r="X32" s="3908" t="s">
        <v>1801</v>
      </c>
      <c r="Y32" s="172"/>
      <c r="Z32" s="172"/>
      <c r="AA32" s="172"/>
      <c r="AB32" s="3552"/>
      <c r="AC32" s="3912" t="s">
        <v>1570</v>
      </c>
    </row>
    <row r="33" spans="1:29" s="3547" customFormat="1" ht="18" customHeight="1" x14ac:dyDescent="0.2">
      <c r="B33" s="3554"/>
      <c r="C33" s="3555">
        <f t="shared" si="2"/>
        <v>26</v>
      </c>
      <c r="D33" s="3552"/>
      <c r="O33" s="3560">
        <f t="shared" ref="O33:O44" si="3">IF($M$8=$I$8,I33,IF($O$7=$I$7,I33,IF($O$7=$J$7,J33,IF($O$7=$K$7,K33,IF($O$7=$L$7,L33,0)))))</f>
        <v>0</v>
      </c>
      <c r="Q33" s="3548"/>
      <c r="R33" s="3548"/>
      <c r="S33" s="3890" t="s">
        <v>1783</v>
      </c>
      <c r="T33" s="3900"/>
      <c r="U33" s="3894" t="s">
        <v>1797</v>
      </c>
      <c r="V33" s="3896" t="s">
        <v>1788</v>
      </c>
      <c r="W33" s="3889" t="s">
        <v>1717</v>
      </c>
      <c r="X33" s="3908" t="s">
        <v>1802</v>
      </c>
      <c r="Y33" s="172"/>
      <c r="Z33" s="172"/>
      <c r="AA33" s="172"/>
      <c r="AB33" s="3552"/>
      <c r="AC33" s="3912" t="s">
        <v>1571</v>
      </c>
    </row>
    <row r="34" spans="1:29" s="3547" customFormat="1" ht="18" customHeight="1" x14ac:dyDescent="0.2">
      <c r="B34" s="3554"/>
      <c r="C34" s="3555">
        <f t="shared" si="2"/>
        <v>27</v>
      </c>
      <c r="D34" s="3583" t="s">
        <v>1484</v>
      </c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8">
        <f t="shared" si="3"/>
        <v>0</v>
      </c>
      <c r="P34" s="3548"/>
      <c r="Q34" s="3548"/>
      <c r="R34" s="3548"/>
      <c r="S34" s="3890" t="s">
        <v>1786</v>
      </c>
      <c r="T34" s="3900"/>
      <c r="U34" s="3894" t="s">
        <v>1798</v>
      </c>
      <c r="V34" s="3896" t="s">
        <v>1789</v>
      </c>
      <c r="W34" s="3889" t="s">
        <v>1794</v>
      </c>
      <c r="X34" s="3908" t="s">
        <v>1803</v>
      </c>
      <c r="Y34" s="172"/>
      <c r="Z34" s="172"/>
      <c r="AA34" s="172"/>
      <c r="AB34" s="3552"/>
      <c r="AC34" s="3912" t="s">
        <v>1572</v>
      </c>
    </row>
    <row r="35" spans="1:29" s="3547" customFormat="1" ht="18.399999999999999" customHeight="1" x14ac:dyDescent="0.2">
      <c r="B35" s="3554"/>
      <c r="C35" s="3555">
        <f t="shared" si="2"/>
        <v>28</v>
      </c>
      <c r="D35" s="3820" t="s">
        <v>1627</v>
      </c>
      <c r="E35" s="3557"/>
      <c r="F35" s="3557"/>
      <c r="G35" s="3557"/>
      <c r="H35" s="3557"/>
      <c r="I35" s="3557"/>
      <c r="J35" s="3557"/>
      <c r="K35" s="3557"/>
      <c r="L35" s="3557"/>
      <c r="M35" s="3557"/>
      <c r="N35" s="3557"/>
      <c r="O35" s="3556">
        <f t="shared" si="3"/>
        <v>0</v>
      </c>
      <c r="P35" s="3548"/>
      <c r="Q35" s="3548"/>
      <c r="R35" s="3548"/>
      <c r="S35" s="3890" t="s">
        <v>1785</v>
      </c>
      <c r="T35" s="3901"/>
      <c r="U35" s="3894" t="s">
        <v>1799</v>
      </c>
      <c r="V35" s="3896" t="s">
        <v>1790</v>
      </c>
      <c r="W35" s="3889" t="s">
        <v>1793</v>
      </c>
      <c r="X35" s="3908" t="s">
        <v>1804</v>
      </c>
      <c r="Y35" s="3552"/>
      <c r="Z35" s="3552"/>
      <c r="AA35" s="3552"/>
      <c r="AB35" s="3552"/>
      <c r="AC35" s="3912" t="s">
        <v>1573</v>
      </c>
    </row>
    <row r="36" spans="1:29" s="3547" customFormat="1" ht="18" customHeight="1" thickBot="1" x14ac:dyDescent="0.25">
      <c r="B36" s="3554"/>
      <c r="C36" s="3555">
        <f t="shared" si="2"/>
        <v>29</v>
      </c>
      <c r="D36" s="3821" t="s">
        <v>1483</v>
      </c>
      <c r="E36" s="3557"/>
      <c r="F36" s="3557"/>
      <c r="G36" s="3557"/>
      <c r="H36" s="3557"/>
      <c r="I36" s="3557"/>
      <c r="J36" s="3557"/>
      <c r="K36" s="3557"/>
      <c r="L36" s="3557"/>
      <c r="M36" s="3557"/>
      <c r="N36" s="3557"/>
      <c r="O36" s="3556">
        <f t="shared" si="3"/>
        <v>0</v>
      </c>
      <c r="P36" s="3548"/>
      <c r="Q36" s="3548"/>
      <c r="R36" s="3548"/>
      <c r="S36" s="3891" t="s">
        <v>1784</v>
      </c>
      <c r="T36" s="3902"/>
      <c r="U36" s="3895" t="s">
        <v>1800</v>
      </c>
      <c r="V36" s="3897" t="s">
        <v>1791</v>
      </c>
      <c r="W36" s="3892" t="s">
        <v>1792</v>
      </c>
      <c r="X36" s="3908" t="s">
        <v>1805</v>
      </c>
      <c r="Y36" s="3552"/>
      <c r="Z36" s="3552"/>
      <c r="AA36" s="3552"/>
      <c r="AB36" s="3552"/>
      <c r="AC36" s="3912" t="s">
        <v>346</v>
      </c>
    </row>
    <row r="37" spans="1:29" s="3547" customFormat="1" ht="17.649999999999999" customHeight="1" thickBot="1" x14ac:dyDescent="0.25">
      <c r="B37" s="3554"/>
      <c r="C37" s="3555">
        <f t="shared" si="2"/>
        <v>30</v>
      </c>
      <c r="D37" s="3831" t="s">
        <v>1749</v>
      </c>
      <c r="E37" s="3832"/>
      <c r="F37" s="3833"/>
      <c r="G37" s="3830">
        <v>2017</v>
      </c>
      <c r="H37" s="3826">
        <v>2018</v>
      </c>
      <c r="I37" s="3826">
        <v>2019</v>
      </c>
      <c r="J37" s="3826">
        <v>2020</v>
      </c>
      <c r="K37" s="3826">
        <v>2021</v>
      </c>
      <c r="L37" s="3827">
        <v>2022</v>
      </c>
      <c r="M37" s="3827">
        <v>2023</v>
      </c>
      <c r="N37" s="3828">
        <v>2024</v>
      </c>
      <c r="O37" s="3829">
        <v>2021</v>
      </c>
      <c r="P37" s="3552"/>
      <c r="Q37" s="3548"/>
      <c r="R37" s="3548"/>
      <c r="S37" s="3915"/>
      <c r="T37" s="172"/>
      <c r="U37" s="172"/>
      <c r="V37" s="172"/>
      <c r="W37" s="3552"/>
      <c r="X37" s="680"/>
      <c r="Y37" s="3680"/>
      <c r="Z37" s="3680"/>
      <c r="AA37" s="3680"/>
      <c r="AB37" s="3680"/>
      <c r="AC37" s="1400"/>
    </row>
    <row r="38" spans="1:29" s="3547" customFormat="1" ht="18" customHeight="1" thickBot="1" x14ac:dyDescent="0.3">
      <c r="B38" s="3554"/>
      <c r="C38" s="3822">
        <f t="shared" si="2"/>
        <v>31</v>
      </c>
      <c r="D38" s="3965" t="s">
        <v>1606</v>
      </c>
      <c r="E38" s="3966"/>
      <c r="F38" s="3966"/>
      <c r="G38" s="3967">
        <v>80</v>
      </c>
      <c r="H38" s="3943">
        <v>80</v>
      </c>
      <c r="I38" s="3943">
        <v>80</v>
      </c>
      <c r="J38" s="3943">
        <v>80</v>
      </c>
      <c r="K38" s="3943">
        <v>80</v>
      </c>
      <c r="L38" s="3944"/>
      <c r="M38" s="3944"/>
      <c r="N38" s="3968"/>
      <c r="O38" s="3946">
        <f>IF($O$7=$H$7,H38,IF($O$7=$I$7,I38,IF($O$7=$J$7,J38,IF($O$7=$K$7,K38,IF($O$7=$L$7,L38,IF($O$7=$M$7,M38,IF($O$7=$N$7,N38,0)))))))</f>
        <v>80</v>
      </c>
      <c r="P38" s="3552"/>
      <c r="Q38" s="3548"/>
      <c r="R38" s="3548"/>
      <c r="S38" s="3915" t="s">
        <v>1810</v>
      </c>
      <c r="T38" s="3915"/>
      <c r="U38" s="3915"/>
      <c r="V38" s="3915"/>
      <c r="W38" s="3552"/>
      <c r="X38" s="3898" t="s">
        <v>1569</v>
      </c>
      <c r="Y38" s="3552"/>
      <c r="Z38" s="3552"/>
      <c r="AA38" s="3552"/>
      <c r="AB38" s="3552"/>
      <c r="AC38" s="3914" t="s">
        <v>346</v>
      </c>
    </row>
    <row r="39" spans="1:29" s="3547" customFormat="1" ht="18" customHeight="1" x14ac:dyDescent="0.2">
      <c r="B39" s="3554"/>
      <c r="C39" s="3823">
        <f t="shared" si="2"/>
        <v>32</v>
      </c>
      <c r="D39" s="3969" t="s">
        <v>1607</v>
      </c>
      <c r="E39" s="3955"/>
      <c r="F39" s="3955"/>
      <c r="G39" s="3956">
        <v>60</v>
      </c>
      <c r="H39" s="3951">
        <v>60</v>
      </c>
      <c r="I39" s="3951">
        <v>60</v>
      </c>
      <c r="J39" s="3951">
        <v>60</v>
      </c>
      <c r="K39" s="3951">
        <v>60</v>
      </c>
      <c r="L39" s="3952"/>
      <c r="M39" s="3952"/>
      <c r="N39" s="3970"/>
      <c r="O39" s="3954">
        <f t="shared" si="3"/>
        <v>60</v>
      </c>
      <c r="P39" s="3552"/>
      <c r="Q39" s="3548"/>
      <c r="R39" s="3548"/>
      <c r="S39" s="3916"/>
      <c r="T39" s="2527"/>
      <c r="U39" s="2527"/>
      <c r="V39" s="2527"/>
      <c r="W39" s="3887"/>
      <c r="X39" s="207"/>
      <c r="Y39" s="3552"/>
      <c r="Z39" s="3552"/>
      <c r="AA39" s="3552"/>
      <c r="AB39" s="3552"/>
      <c r="AC39" s="614"/>
    </row>
    <row r="40" spans="1:29" s="3547" customFormat="1" ht="17.100000000000001" customHeight="1" x14ac:dyDescent="0.25">
      <c r="B40" s="3554"/>
      <c r="C40" s="3823">
        <f t="shared" si="2"/>
        <v>33</v>
      </c>
      <c r="D40" s="3969" t="s">
        <v>1608</v>
      </c>
      <c r="E40" s="3955"/>
      <c r="F40" s="3955"/>
      <c r="G40" s="3956">
        <v>40</v>
      </c>
      <c r="H40" s="3951">
        <v>40</v>
      </c>
      <c r="I40" s="3951">
        <v>40</v>
      </c>
      <c r="J40" s="3971">
        <v>40</v>
      </c>
      <c r="K40" s="3951">
        <v>40</v>
      </c>
      <c r="L40" s="3952"/>
      <c r="M40" s="3952"/>
      <c r="N40" s="3970"/>
      <c r="O40" s="3954">
        <f t="shared" si="3"/>
        <v>40</v>
      </c>
      <c r="P40" s="3552"/>
      <c r="Q40" s="3548"/>
      <c r="R40" s="3548"/>
      <c r="S40" s="2706" t="s">
        <v>1811</v>
      </c>
      <c r="T40" s="172"/>
      <c r="U40" s="172"/>
      <c r="V40" s="172"/>
      <c r="W40" s="3552"/>
      <c r="X40" s="3898" t="s">
        <v>11</v>
      </c>
      <c r="Y40" s="3552"/>
      <c r="Z40" s="3552"/>
      <c r="AA40" s="3552"/>
      <c r="AB40" s="3552"/>
      <c r="AC40" s="3914" t="s">
        <v>1574</v>
      </c>
    </row>
    <row r="41" spans="1:29" s="3547" customFormat="1" ht="17.100000000000001" customHeight="1" thickBot="1" x14ac:dyDescent="0.3">
      <c r="B41" s="3554"/>
      <c r="C41" s="3823">
        <f t="shared" si="2"/>
        <v>34</v>
      </c>
      <c r="D41" s="3969" t="s">
        <v>1609</v>
      </c>
      <c r="E41" s="3955"/>
      <c r="F41" s="3955"/>
      <c r="G41" s="3956"/>
      <c r="H41" s="3951"/>
      <c r="I41" s="3951"/>
      <c r="J41" s="3972"/>
      <c r="K41" s="3951"/>
      <c r="L41" s="3952"/>
      <c r="M41" s="3952"/>
      <c r="N41" s="3970"/>
      <c r="O41" s="3954">
        <f t="shared" si="3"/>
        <v>0</v>
      </c>
      <c r="P41" s="3552"/>
      <c r="Q41" s="3548"/>
      <c r="R41" s="3548"/>
      <c r="S41" s="3913"/>
      <c r="T41" s="1779"/>
      <c r="U41" s="1779"/>
      <c r="V41" s="1779"/>
      <c r="W41" s="1779"/>
      <c r="X41" s="3618"/>
      <c r="Y41" s="3584"/>
      <c r="Z41" s="3584"/>
      <c r="AA41" s="3584"/>
      <c r="AB41" s="3584"/>
      <c r="AC41" s="89"/>
    </row>
    <row r="42" spans="1:29" s="3547" customFormat="1" ht="17.100000000000001" customHeight="1" x14ac:dyDescent="0.25">
      <c r="B42" s="3554"/>
      <c r="C42" s="3823">
        <f t="shared" si="2"/>
        <v>35</v>
      </c>
      <c r="D42" s="3969"/>
      <c r="E42" s="3955"/>
      <c r="F42" s="3955"/>
      <c r="G42" s="3956"/>
      <c r="H42" s="3951"/>
      <c r="I42" s="3951"/>
      <c r="J42" s="3951"/>
      <c r="K42" s="3951"/>
      <c r="L42" s="3952"/>
      <c r="M42" s="3952"/>
      <c r="N42" s="3970"/>
      <c r="O42" s="3954">
        <f t="shared" si="3"/>
        <v>0</v>
      </c>
      <c r="P42" s="3552"/>
      <c r="Q42" s="3785"/>
      <c r="R42" s="3548"/>
      <c r="S42" s="3548"/>
      <c r="T42" s="3548"/>
      <c r="U42" s="3548"/>
      <c r="V42" s="3548"/>
      <c r="X42" s="1882"/>
      <c r="AC42"/>
    </row>
    <row r="43" spans="1:29" s="3547" customFormat="1" ht="17.100000000000001" customHeight="1" x14ac:dyDescent="0.25">
      <c r="B43" s="3554"/>
      <c r="C43" s="3823">
        <f t="shared" si="2"/>
        <v>36</v>
      </c>
      <c r="D43" s="3969"/>
      <c r="E43" s="3955"/>
      <c r="F43" s="3955"/>
      <c r="G43" s="3956"/>
      <c r="H43" s="3951"/>
      <c r="I43" s="3951"/>
      <c r="J43" s="3951"/>
      <c r="K43" s="3951"/>
      <c r="L43" s="3952"/>
      <c r="M43" s="3952"/>
      <c r="N43" s="3970"/>
      <c r="O43" s="3954">
        <f t="shared" si="3"/>
        <v>0</v>
      </c>
      <c r="P43" s="3552"/>
      <c r="Q43" s="3548"/>
      <c r="R43" s="3548"/>
      <c r="S43" s="3548" t="s">
        <v>1629</v>
      </c>
      <c r="T43" s="3548"/>
      <c r="U43" s="3548"/>
      <c r="V43" s="3548"/>
      <c r="X43" s="1882"/>
      <c r="AC43"/>
    </row>
    <row r="44" spans="1:29" s="3547" customFormat="1" ht="17.100000000000001" customHeight="1" thickBot="1" x14ac:dyDescent="0.25">
      <c r="B44" s="3554"/>
      <c r="C44" s="3824">
        <f t="shared" si="2"/>
        <v>37</v>
      </c>
      <c r="D44" s="3958"/>
      <c r="E44" s="3959"/>
      <c r="F44" s="3973"/>
      <c r="G44" s="3960"/>
      <c r="H44" s="3961"/>
      <c r="I44" s="3961"/>
      <c r="J44" s="3961"/>
      <c r="K44" s="3961"/>
      <c r="L44" s="3962"/>
      <c r="M44" s="3962"/>
      <c r="N44" s="3974"/>
      <c r="O44" s="3964">
        <f t="shared" si="3"/>
        <v>0</v>
      </c>
      <c r="P44" s="3552"/>
      <c r="Q44" s="3548"/>
      <c r="R44" s="3548"/>
      <c r="S44" s="3682" t="s">
        <v>1628</v>
      </c>
      <c r="T44" s="3548"/>
      <c r="V44" s="3548"/>
    </row>
    <row r="45" spans="1:29" ht="19.5" customHeight="1" x14ac:dyDescent="0.2">
      <c r="A45" s="3551"/>
      <c r="B45" s="3548"/>
      <c r="C45" s="3555"/>
      <c r="D45" s="3548"/>
      <c r="E45" s="3548"/>
      <c r="F45" s="3548"/>
      <c r="G45" s="3548"/>
      <c r="H45" s="3548"/>
      <c r="I45" s="3548"/>
      <c r="J45" s="3548"/>
      <c r="K45" s="3548"/>
      <c r="L45" s="3548"/>
      <c r="M45" s="3548"/>
      <c r="O45" s="3548"/>
      <c r="X45" s="3548"/>
      <c r="Y45" s="3548"/>
      <c r="Z45" s="3550"/>
      <c r="AA45" s="3550"/>
      <c r="AB45" s="3550"/>
    </row>
    <row r="46" spans="1:29" ht="20.25" customHeight="1" x14ac:dyDescent="0.25">
      <c r="A46" s="3551"/>
      <c r="B46" s="3548"/>
      <c r="C46" s="3555"/>
      <c r="D46" s="3873"/>
      <c r="E46" s="3873"/>
      <c r="F46" s="3873"/>
      <c r="G46" s="3874"/>
      <c r="H46" s="3874"/>
      <c r="I46" s="3874"/>
      <c r="J46" s="3874"/>
      <c r="K46" s="3874"/>
      <c r="L46" s="3874"/>
      <c r="M46" s="3874"/>
      <c r="N46" s="3870"/>
      <c r="O46" s="3875"/>
      <c r="S46" s="3886" t="s">
        <v>1812</v>
      </c>
      <c r="X46" s="3548"/>
      <c r="Y46" s="3548"/>
      <c r="Z46" s="3550"/>
      <c r="AA46" s="3550"/>
      <c r="AB46" s="3550"/>
    </row>
    <row r="47" spans="1:29" ht="21.2" customHeight="1" x14ac:dyDescent="0.25">
      <c r="A47" s="3551"/>
      <c r="B47" s="3548"/>
      <c r="C47" s="3555"/>
      <c r="D47" s="3871"/>
      <c r="E47" s="3871"/>
      <c r="F47" s="3871"/>
      <c r="G47" s="3876"/>
      <c r="H47" s="3876"/>
      <c r="I47" s="3876"/>
      <c r="J47" s="3876"/>
      <c r="K47" s="3876"/>
      <c r="L47" s="3876"/>
      <c r="M47" s="3876"/>
      <c r="N47" s="3877"/>
      <c r="O47" s="3876"/>
      <c r="P47" s="3548"/>
      <c r="Q47" s="3548"/>
      <c r="S47" s="3885" t="s">
        <v>1815</v>
      </c>
      <c r="X47" s="3548"/>
      <c r="Y47" s="3548"/>
      <c r="Z47" s="3550"/>
      <c r="AA47" s="3550"/>
      <c r="AB47" s="3550"/>
    </row>
    <row r="48" spans="1:29" ht="17.45" customHeight="1" x14ac:dyDescent="0.2">
      <c r="A48" s="3551"/>
      <c r="B48" s="3548"/>
      <c r="C48" s="3555"/>
      <c r="D48" s="3871"/>
      <c r="E48" s="3871"/>
      <c r="F48" s="3871"/>
      <c r="G48" s="3871"/>
      <c r="H48" s="3871"/>
      <c r="I48" s="3871"/>
      <c r="J48" s="3871"/>
      <c r="K48" s="3871"/>
      <c r="L48" s="3871"/>
      <c r="M48" s="3871"/>
      <c r="N48" s="3878"/>
      <c r="O48" s="3871"/>
      <c r="P48" s="3548"/>
      <c r="Q48" s="3548"/>
      <c r="S48" s="3885" t="s">
        <v>1814</v>
      </c>
      <c r="X48" s="3548"/>
      <c r="Y48" s="3548"/>
      <c r="Z48" s="3550"/>
      <c r="AA48" s="3550"/>
      <c r="AB48" s="3550"/>
    </row>
    <row r="49" spans="2:25" s="3549" customFormat="1" ht="18" customHeight="1" x14ac:dyDescent="0.2">
      <c r="B49" s="3548"/>
      <c r="C49" s="3555"/>
      <c r="D49" s="3871"/>
      <c r="E49" s="3871"/>
      <c r="F49" s="3871"/>
      <c r="G49" s="3871"/>
      <c r="H49" s="3871"/>
      <c r="I49" s="3871"/>
      <c r="J49" s="3871"/>
      <c r="K49" s="3871"/>
      <c r="L49" s="3871"/>
      <c r="M49" s="3871"/>
      <c r="N49" s="3878"/>
      <c r="O49" s="3871"/>
      <c r="P49" s="3548"/>
      <c r="Q49" s="3548"/>
      <c r="R49" s="3548"/>
      <c r="S49" s="3885" t="s">
        <v>1813</v>
      </c>
      <c r="X49" s="3548"/>
      <c r="Y49" s="3548"/>
    </row>
    <row r="50" spans="2:25" s="3553" customFormat="1" ht="18" customHeight="1" x14ac:dyDescent="0.2">
      <c r="B50" s="3548"/>
      <c r="C50" s="3548"/>
      <c r="D50" s="3874"/>
      <c r="E50" s="3874"/>
      <c r="F50" s="3874"/>
      <c r="G50" s="3874"/>
      <c r="H50" s="3874"/>
      <c r="I50" s="3874"/>
      <c r="J50" s="3874"/>
      <c r="K50" s="3874"/>
      <c r="L50" s="3874"/>
      <c r="M50" s="3874"/>
      <c r="N50" s="3872"/>
      <c r="O50" s="3874"/>
      <c r="P50" s="3548"/>
      <c r="Q50" s="3548"/>
      <c r="R50" s="3548"/>
      <c r="X50" s="3548"/>
      <c r="Y50" s="3548"/>
    </row>
    <row r="51" spans="2:25" s="3553" customFormat="1" ht="18" customHeight="1" x14ac:dyDescent="0.2">
      <c r="B51" s="3548"/>
      <c r="C51" s="3548"/>
      <c r="D51" s="3548"/>
      <c r="E51" s="3548"/>
      <c r="F51" s="3548"/>
      <c r="G51" s="3548"/>
      <c r="H51" s="3548"/>
      <c r="I51" s="3548"/>
      <c r="J51" s="3548"/>
      <c r="K51" s="3548"/>
      <c r="L51" s="3548"/>
      <c r="M51" s="3548"/>
      <c r="N51" s="3552"/>
      <c r="O51" s="3548"/>
      <c r="P51" s="3548"/>
      <c r="Q51" s="3548"/>
      <c r="R51" s="3548"/>
      <c r="X51" s="3548"/>
      <c r="Y51" s="3548"/>
    </row>
    <row r="52" spans="2:25" s="3553" customFormat="1" ht="18" customHeight="1" x14ac:dyDescent="0.2">
      <c r="B52" s="3548"/>
      <c r="C52" s="3548"/>
      <c r="D52" s="3548"/>
      <c r="E52" s="3548"/>
      <c r="F52" s="3548"/>
      <c r="G52" s="3548"/>
      <c r="H52" s="3548"/>
      <c r="I52" s="3548"/>
      <c r="J52" s="3548"/>
      <c r="K52" s="3548"/>
      <c r="L52" s="3548"/>
      <c r="M52" s="3548"/>
      <c r="N52" s="3552"/>
      <c r="O52" s="3548"/>
      <c r="P52" s="3548"/>
      <c r="Q52" s="3548"/>
      <c r="R52" s="3548"/>
      <c r="X52" s="3548"/>
      <c r="Y52" s="3548"/>
    </row>
    <row r="53" spans="2:25" s="3547" customFormat="1" ht="18" customHeight="1" x14ac:dyDescent="0.2">
      <c r="B53" s="3548"/>
      <c r="C53" s="3548"/>
      <c r="D53" s="3548"/>
      <c r="E53" s="3548"/>
      <c r="F53" s="3548"/>
      <c r="G53" s="3548"/>
      <c r="H53" s="3548"/>
      <c r="I53" s="3548"/>
      <c r="J53" s="3548"/>
      <c r="K53" s="3548"/>
      <c r="L53" s="3548"/>
      <c r="M53" s="3548"/>
      <c r="N53" s="3552"/>
      <c r="O53" s="3548"/>
      <c r="P53" s="3548"/>
      <c r="Q53" s="3548"/>
      <c r="R53" s="3548"/>
      <c r="X53" s="3548"/>
      <c r="Y53" s="3548"/>
    </row>
    <row r="54" spans="2:25" s="3547" customFormat="1" ht="18" customHeight="1" x14ac:dyDescent="0.2">
      <c r="B54" s="3548"/>
      <c r="C54" s="3548"/>
      <c r="D54" s="3548"/>
      <c r="E54" s="3548"/>
      <c r="F54" s="3548"/>
      <c r="G54" s="3548"/>
      <c r="H54" s="3548"/>
      <c r="I54" s="3548"/>
      <c r="J54" s="3548"/>
      <c r="K54" s="3548"/>
      <c r="L54" s="3548"/>
      <c r="M54" s="3548"/>
      <c r="N54" s="3552"/>
      <c r="O54" s="3548"/>
      <c r="P54" s="3548"/>
      <c r="Q54" s="3548"/>
      <c r="R54" s="3548"/>
      <c r="S54" s="3548"/>
      <c r="T54" s="3548"/>
      <c r="U54" s="3548"/>
      <c r="V54" s="3548"/>
      <c r="W54" s="3548"/>
      <c r="X54" s="3548"/>
      <c r="Y54" s="3548"/>
    </row>
    <row r="55" spans="2:25" s="3547" customFormat="1" ht="18" customHeight="1" x14ac:dyDescent="0.2">
      <c r="B55" s="3548"/>
      <c r="C55" s="3548"/>
      <c r="D55" s="3548"/>
      <c r="E55" s="3548"/>
      <c r="F55" s="3548"/>
      <c r="G55" s="3548"/>
      <c r="H55" s="3548"/>
      <c r="I55" s="3548"/>
      <c r="J55" s="3548"/>
      <c r="K55" s="3548"/>
      <c r="L55" s="3548"/>
      <c r="M55" s="3548"/>
      <c r="N55" s="3552"/>
      <c r="O55" s="3548"/>
      <c r="P55" s="3548"/>
      <c r="Q55" s="3548"/>
      <c r="R55" s="3548"/>
      <c r="S55" s="3548"/>
      <c r="T55" s="3548"/>
      <c r="U55" s="3548"/>
      <c r="V55" s="3548"/>
      <c r="W55" s="3548"/>
      <c r="X55" s="3548"/>
      <c r="Y55" s="3548"/>
    </row>
    <row r="56" spans="2:25" s="3547" customFormat="1" ht="18" customHeight="1" x14ac:dyDescent="0.2">
      <c r="B56" s="3548"/>
      <c r="C56" s="3548"/>
      <c r="D56" s="3548"/>
      <c r="E56" s="3548"/>
      <c r="F56" s="3548"/>
      <c r="G56" s="3548"/>
      <c r="H56" s="3548"/>
      <c r="I56" s="3548"/>
      <c r="J56" s="3548"/>
      <c r="K56" s="3548"/>
      <c r="L56" s="3548"/>
      <c r="M56" s="3548"/>
      <c r="N56" s="3552"/>
      <c r="O56" s="3548"/>
      <c r="P56" s="3548"/>
      <c r="Q56" s="3548"/>
      <c r="R56" s="3548"/>
      <c r="S56" s="3548"/>
      <c r="T56" s="3548"/>
      <c r="U56" s="3548"/>
      <c r="V56" s="3548"/>
      <c r="W56" s="3548"/>
      <c r="X56" s="3548"/>
      <c r="Y56" s="3548"/>
    </row>
    <row r="57" spans="2:25" s="3547" customFormat="1" ht="18" customHeight="1" x14ac:dyDescent="0.2">
      <c r="B57" s="3548"/>
      <c r="C57" s="3548"/>
      <c r="D57" s="3548"/>
      <c r="E57" s="3548"/>
      <c r="F57" s="3548"/>
      <c r="G57" s="3548"/>
      <c r="H57" s="3548"/>
      <c r="I57" s="3548"/>
      <c r="J57" s="3548"/>
      <c r="K57" s="3548"/>
      <c r="L57" s="3548"/>
      <c r="M57" s="3548"/>
      <c r="N57" s="3552"/>
      <c r="O57" s="3548"/>
      <c r="P57" s="3548"/>
      <c r="Q57" s="3548"/>
      <c r="R57" s="3548"/>
      <c r="S57" s="3548"/>
      <c r="T57" s="3548"/>
      <c r="U57" s="3548"/>
      <c r="V57" s="3548"/>
      <c r="W57" s="3548"/>
      <c r="X57" s="3548"/>
      <c r="Y57" s="3548"/>
    </row>
    <row r="58" spans="2:25" s="3547" customFormat="1" ht="18" customHeight="1" x14ac:dyDescent="0.2">
      <c r="B58" s="3548"/>
      <c r="C58" s="3548"/>
      <c r="D58" s="3548"/>
      <c r="E58" s="3548"/>
      <c r="F58" s="3548"/>
      <c r="G58" s="3548"/>
      <c r="H58" s="3548"/>
      <c r="I58" s="3548"/>
      <c r="J58" s="3548"/>
      <c r="K58" s="3548"/>
      <c r="L58" s="3548"/>
      <c r="M58" s="3548"/>
      <c r="N58" s="3552"/>
      <c r="O58" s="3548"/>
      <c r="P58" s="3548"/>
      <c r="Q58" s="3548"/>
      <c r="R58" s="3548"/>
      <c r="S58" s="3548"/>
      <c r="T58" s="3548"/>
      <c r="U58" s="3548"/>
      <c r="V58" s="3548"/>
      <c r="W58" s="3548"/>
      <c r="X58" s="3548"/>
      <c r="Y58" s="3548"/>
    </row>
    <row r="59" spans="2:25" s="3547" customFormat="1" ht="18" customHeight="1" x14ac:dyDescent="0.2">
      <c r="B59" s="3548"/>
      <c r="C59" s="3548"/>
      <c r="D59" s="3548"/>
      <c r="E59" s="3548"/>
      <c r="F59" s="3548"/>
      <c r="G59" s="3548"/>
      <c r="H59" s="3548"/>
      <c r="I59" s="3548"/>
      <c r="J59" s="3548"/>
      <c r="K59" s="3548"/>
      <c r="L59" s="3548"/>
      <c r="M59" s="3548"/>
      <c r="N59" s="3552"/>
      <c r="O59" s="3548"/>
      <c r="P59" s="3548"/>
      <c r="Q59" s="3548"/>
      <c r="R59" s="3548"/>
      <c r="S59" s="3548"/>
      <c r="T59" s="3548"/>
      <c r="U59" s="3548"/>
      <c r="V59" s="3548"/>
      <c r="W59" s="3548"/>
      <c r="X59" s="3548"/>
      <c r="Y59" s="3548"/>
    </row>
    <row r="60" spans="2:25" s="3547" customFormat="1" ht="18" customHeight="1" x14ac:dyDescent="0.2">
      <c r="B60" s="3548"/>
      <c r="C60" s="3548"/>
      <c r="D60" s="3548"/>
      <c r="E60" s="3548"/>
      <c r="F60" s="3548"/>
      <c r="G60" s="3548"/>
      <c r="H60" s="3548"/>
      <c r="I60" s="3548"/>
      <c r="J60" s="3548"/>
      <c r="K60" s="3548"/>
      <c r="L60" s="3548"/>
      <c r="M60" s="3548"/>
      <c r="N60" s="3552"/>
      <c r="O60" s="3548"/>
      <c r="P60" s="3548"/>
      <c r="Q60" s="3548"/>
      <c r="R60" s="3548"/>
      <c r="S60" s="3548"/>
      <c r="T60" s="3548"/>
      <c r="U60" s="3548"/>
      <c r="V60" s="3548"/>
      <c r="W60" s="3548"/>
      <c r="X60" s="3548"/>
      <c r="Y60" s="3548"/>
    </row>
    <row r="61" spans="2:25" s="3547" customFormat="1" ht="18" customHeight="1" x14ac:dyDescent="0.2">
      <c r="B61" s="3548"/>
      <c r="C61" s="3548"/>
      <c r="D61" s="3548"/>
      <c r="E61" s="3548"/>
      <c r="F61" s="3548"/>
      <c r="G61" s="3548"/>
      <c r="H61" s="3548"/>
      <c r="I61" s="3548"/>
      <c r="J61" s="3548"/>
      <c r="K61" s="3548"/>
      <c r="L61" s="3548"/>
      <c r="M61" s="3548"/>
      <c r="N61" s="3552"/>
      <c r="O61" s="3548"/>
      <c r="P61" s="3548"/>
      <c r="Q61" s="3548"/>
      <c r="R61" s="3548"/>
      <c r="S61" s="3548"/>
      <c r="T61" s="3548"/>
      <c r="U61" s="3548"/>
      <c r="V61" s="3548"/>
      <c r="W61" s="3548"/>
      <c r="X61" s="3548"/>
      <c r="Y61" s="3548"/>
    </row>
    <row r="62" spans="2:25" s="3547" customFormat="1" ht="18" customHeight="1" x14ac:dyDescent="0.2">
      <c r="B62" s="3548"/>
      <c r="C62" s="3548"/>
      <c r="D62" s="3548"/>
      <c r="E62" s="3548"/>
      <c r="F62" s="3548"/>
      <c r="G62" s="3548"/>
      <c r="H62" s="3548"/>
      <c r="I62" s="3548"/>
      <c r="J62" s="3548"/>
      <c r="K62" s="3548"/>
      <c r="L62" s="3548"/>
      <c r="M62" s="3548"/>
      <c r="N62" s="3552"/>
      <c r="O62" s="3548"/>
      <c r="P62" s="3548"/>
      <c r="Q62" s="3548"/>
      <c r="R62" s="3548"/>
      <c r="S62" s="3548"/>
      <c r="T62" s="3548"/>
      <c r="U62" s="3548"/>
      <c r="V62" s="3548"/>
      <c r="W62" s="3548"/>
      <c r="X62" s="3548"/>
      <c r="Y62" s="3548"/>
    </row>
    <row r="63" spans="2:25" s="3547" customFormat="1" ht="18" customHeight="1" x14ac:dyDescent="0.2">
      <c r="B63" s="3548"/>
      <c r="C63" s="3548"/>
      <c r="D63" s="3548"/>
      <c r="E63" s="3548"/>
      <c r="F63" s="3548"/>
      <c r="G63" s="3548"/>
      <c r="H63" s="3548"/>
      <c r="I63" s="3548"/>
      <c r="J63" s="3548"/>
      <c r="K63" s="3548"/>
      <c r="L63" s="3548"/>
      <c r="M63" s="3548"/>
      <c r="N63" s="3552"/>
      <c r="O63" s="3548"/>
      <c r="P63" s="3548"/>
      <c r="Q63" s="3548"/>
      <c r="R63" s="3548"/>
      <c r="S63" s="3548"/>
      <c r="T63" s="3548"/>
      <c r="U63" s="3548"/>
      <c r="V63" s="3548"/>
      <c r="W63" s="3548"/>
      <c r="X63" s="3548"/>
      <c r="Y63" s="3548"/>
    </row>
    <row r="64" spans="2:25" s="3547" customFormat="1" ht="15" customHeight="1" x14ac:dyDescent="0.2">
      <c r="B64" s="3548"/>
      <c r="C64" s="3548"/>
      <c r="D64" s="3548"/>
      <c r="E64" s="3548"/>
      <c r="F64" s="3548"/>
      <c r="G64" s="3548"/>
      <c r="H64" s="3548"/>
      <c r="I64" s="3548"/>
      <c r="J64" s="3548"/>
      <c r="K64" s="3548"/>
      <c r="L64" s="3548"/>
      <c r="M64" s="3548"/>
      <c r="N64" s="3552"/>
      <c r="O64" s="3548"/>
      <c r="P64" s="3548"/>
      <c r="Q64" s="3548"/>
      <c r="R64" s="3548"/>
      <c r="S64" s="3548"/>
      <c r="T64" s="3548"/>
      <c r="U64" s="3548"/>
      <c r="V64" s="3548"/>
      <c r="W64" s="3548"/>
      <c r="X64" s="3548"/>
      <c r="Y64" s="3548"/>
    </row>
    <row r="65" spans="1:28" s="3547" customFormat="1" ht="15" customHeight="1" x14ac:dyDescent="0.2">
      <c r="B65" s="3548"/>
      <c r="C65" s="3548"/>
      <c r="D65" s="3548"/>
      <c r="E65" s="3548"/>
      <c r="F65" s="3548"/>
      <c r="G65" s="3548"/>
      <c r="H65" s="3548"/>
      <c r="I65" s="3548"/>
      <c r="J65" s="3548"/>
      <c r="K65" s="3548"/>
      <c r="L65" s="3548"/>
      <c r="M65" s="3548"/>
      <c r="N65" s="3552"/>
      <c r="O65" s="3548"/>
      <c r="P65" s="3548"/>
      <c r="Q65" s="3548"/>
      <c r="R65" s="3548"/>
      <c r="S65" s="3548"/>
      <c r="T65" s="3548"/>
      <c r="U65" s="3548"/>
      <c r="V65" s="3548"/>
      <c r="W65" s="3548"/>
      <c r="X65" s="3548"/>
      <c r="Y65" s="3548"/>
    </row>
    <row r="66" spans="1:28" s="3547" customFormat="1" ht="15" customHeight="1" x14ac:dyDescent="0.2">
      <c r="B66" s="3548"/>
      <c r="C66" s="3548"/>
      <c r="D66" s="3548"/>
      <c r="E66" s="3548"/>
      <c r="F66" s="3548"/>
      <c r="G66" s="3548"/>
      <c r="H66" s="3548"/>
      <c r="I66" s="3548"/>
      <c r="J66" s="3548"/>
      <c r="K66" s="3548"/>
      <c r="L66" s="3548"/>
      <c r="M66" s="3548"/>
      <c r="N66" s="3552"/>
      <c r="O66" s="3548"/>
      <c r="P66" s="3548"/>
      <c r="Q66" s="3548"/>
      <c r="R66" s="3548"/>
      <c r="S66" s="3548"/>
      <c r="T66" s="3548"/>
      <c r="U66" s="3548"/>
      <c r="V66" s="3548"/>
      <c r="W66" s="3548"/>
      <c r="X66" s="3548"/>
      <c r="Y66" s="3548"/>
    </row>
    <row r="67" spans="1:28" s="3547" customFormat="1" ht="15" customHeight="1" x14ac:dyDescent="0.2">
      <c r="B67" s="3548"/>
      <c r="C67" s="3548"/>
      <c r="D67" s="3548"/>
      <c r="E67" s="3548"/>
      <c r="F67" s="3548"/>
      <c r="G67" s="3548"/>
      <c r="H67" s="3548"/>
      <c r="I67" s="3548"/>
      <c r="J67" s="3548"/>
      <c r="K67" s="3548"/>
      <c r="L67" s="3548"/>
      <c r="M67" s="3548"/>
      <c r="N67" s="3552"/>
      <c r="O67" s="3548"/>
      <c r="P67" s="3548"/>
      <c r="Q67" s="3548"/>
      <c r="R67" s="3548"/>
      <c r="S67" s="3548"/>
      <c r="T67" s="3548"/>
      <c r="U67" s="3548"/>
      <c r="V67" s="3548"/>
      <c r="W67" s="3548"/>
      <c r="X67" s="3548"/>
      <c r="Y67" s="3548"/>
    </row>
    <row r="68" spans="1:28" s="3547" customFormat="1" ht="15" customHeight="1" x14ac:dyDescent="0.2">
      <c r="B68" s="3548"/>
      <c r="C68" s="3548"/>
      <c r="D68" s="3548"/>
      <c r="E68" s="3548"/>
      <c r="F68" s="3548"/>
      <c r="G68" s="3548"/>
      <c r="H68" s="3548"/>
      <c r="I68" s="3548"/>
      <c r="J68" s="3548"/>
      <c r="K68" s="3548"/>
      <c r="L68" s="3548"/>
      <c r="M68" s="3548"/>
      <c r="N68" s="3552"/>
      <c r="O68" s="3548"/>
      <c r="P68" s="3548"/>
      <c r="Q68" s="3548"/>
      <c r="R68" s="3548"/>
      <c r="S68" s="3548"/>
      <c r="T68" s="3548"/>
      <c r="U68" s="3548"/>
      <c r="V68" s="3548"/>
      <c r="W68" s="3548"/>
      <c r="X68" s="3548"/>
      <c r="Y68" s="3548"/>
    </row>
    <row r="69" spans="1:28" s="3547" customFormat="1" ht="15.75" customHeight="1" x14ac:dyDescent="0.2">
      <c r="B69" s="3548"/>
      <c r="C69" s="3548"/>
      <c r="D69" s="3548"/>
      <c r="E69" s="3548"/>
      <c r="F69" s="3548"/>
      <c r="G69" s="3548"/>
      <c r="H69" s="3548"/>
      <c r="I69" s="3548"/>
      <c r="J69" s="3548"/>
      <c r="K69" s="3548"/>
      <c r="L69" s="3548"/>
      <c r="M69" s="3548"/>
      <c r="N69" s="3552"/>
      <c r="O69" s="3548"/>
      <c r="P69" s="3548"/>
      <c r="Q69" s="3548"/>
      <c r="R69" s="3548"/>
      <c r="S69" s="3548"/>
      <c r="T69" s="3548"/>
      <c r="U69" s="3548"/>
      <c r="V69" s="3548"/>
      <c r="W69" s="3548"/>
      <c r="X69" s="3548"/>
      <c r="Y69" s="3548"/>
    </row>
    <row r="70" spans="1:28" ht="19.5" customHeight="1" x14ac:dyDescent="0.2">
      <c r="A70" s="3551"/>
      <c r="B70" s="3548"/>
      <c r="C70" s="3548"/>
      <c r="D70" s="3548"/>
      <c r="E70" s="3548"/>
      <c r="F70" s="3548"/>
      <c r="G70" s="3548"/>
      <c r="H70" s="3548"/>
      <c r="I70" s="3548"/>
      <c r="J70" s="3548"/>
      <c r="K70" s="3548"/>
      <c r="L70" s="3548"/>
      <c r="M70" s="3548"/>
      <c r="O70" s="3548"/>
      <c r="P70" s="3548"/>
      <c r="Q70" s="3548"/>
      <c r="R70" s="3548"/>
      <c r="S70" s="3548"/>
      <c r="T70" s="3548"/>
      <c r="U70" s="3548"/>
      <c r="V70" s="3548"/>
      <c r="W70" s="3548"/>
      <c r="X70" s="3548"/>
      <c r="Y70" s="3548"/>
      <c r="Z70" s="3550"/>
      <c r="AA70" s="3550"/>
      <c r="AB70" s="3550"/>
    </row>
    <row r="71" spans="1:28" ht="22.7" customHeight="1" x14ac:dyDescent="0.2">
      <c r="A71" s="3551"/>
      <c r="B71" s="3548"/>
      <c r="C71" s="3548"/>
      <c r="D71" s="3548"/>
      <c r="E71" s="3548"/>
      <c r="F71" s="3548"/>
      <c r="G71" s="3548"/>
      <c r="H71" s="3548"/>
      <c r="I71" s="3548"/>
      <c r="J71" s="3548"/>
      <c r="K71" s="3548"/>
      <c r="L71" s="3548"/>
      <c r="M71" s="3548"/>
      <c r="O71" s="3548"/>
      <c r="P71" s="3548"/>
      <c r="Q71" s="3548"/>
      <c r="R71" s="3548"/>
      <c r="S71" s="3548"/>
      <c r="T71" s="3548"/>
      <c r="U71" s="3548"/>
      <c r="V71" s="3548"/>
      <c r="W71" s="3548"/>
      <c r="X71" s="3548"/>
      <c r="Y71" s="3548"/>
      <c r="Z71" s="3550"/>
      <c r="AA71" s="3550"/>
      <c r="AB71" s="3550"/>
    </row>
    <row r="72" spans="1:28" ht="21.2" customHeight="1" x14ac:dyDescent="0.2">
      <c r="A72" s="3551"/>
      <c r="B72" s="3548"/>
      <c r="C72" s="3548"/>
      <c r="D72" s="3548"/>
      <c r="E72" s="3548"/>
      <c r="F72" s="3548"/>
      <c r="G72" s="3548"/>
      <c r="H72" s="3548"/>
      <c r="I72" s="3548"/>
      <c r="J72" s="3548"/>
      <c r="K72" s="3548"/>
      <c r="L72" s="3548"/>
      <c r="M72" s="3548"/>
      <c r="O72" s="3548"/>
      <c r="P72" s="3548"/>
      <c r="Q72" s="3548"/>
      <c r="R72" s="3548"/>
      <c r="S72" s="3548"/>
      <c r="T72" s="3548"/>
      <c r="U72" s="3548"/>
      <c r="V72" s="3548"/>
      <c r="W72" s="3548"/>
      <c r="X72" s="3548"/>
      <c r="Y72" s="3548"/>
      <c r="Z72" s="3550"/>
      <c r="AA72" s="3550"/>
      <c r="AB72" s="3550"/>
    </row>
    <row r="73" spans="1:28" ht="17.45" customHeight="1" x14ac:dyDescent="0.2">
      <c r="A73" s="3551"/>
      <c r="B73" s="3548"/>
      <c r="C73" s="3548"/>
      <c r="D73" s="3548"/>
      <c r="E73" s="3548"/>
      <c r="F73" s="3548"/>
      <c r="G73" s="3548"/>
      <c r="H73" s="3548"/>
      <c r="I73" s="3548"/>
      <c r="J73" s="3548"/>
      <c r="K73" s="3548"/>
      <c r="L73" s="3548"/>
      <c r="M73" s="3548"/>
      <c r="O73" s="3548"/>
      <c r="P73" s="3548"/>
      <c r="Q73" s="3548"/>
      <c r="R73" s="3548"/>
      <c r="S73" s="3548"/>
      <c r="T73" s="3548"/>
      <c r="U73" s="3548"/>
      <c r="V73" s="3548"/>
      <c r="W73" s="3548"/>
      <c r="X73" s="3548"/>
      <c r="Y73" s="3548"/>
      <c r="Z73" s="3550"/>
      <c r="AA73" s="3550"/>
      <c r="AB73" s="3550"/>
    </row>
    <row r="74" spans="1:28" s="3549" customFormat="1" ht="22.7" customHeight="1" x14ac:dyDescent="0.2">
      <c r="B74" s="3548"/>
      <c r="C74" s="3548"/>
      <c r="D74" s="3547"/>
      <c r="E74" s="3547"/>
      <c r="F74" s="3547"/>
      <c r="G74" s="3547"/>
      <c r="H74" s="3547"/>
      <c r="I74" s="3547"/>
      <c r="J74" s="3547"/>
      <c r="K74" s="3547"/>
      <c r="L74" s="3547"/>
      <c r="M74" s="3547"/>
      <c r="N74" s="3545"/>
      <c r="O74" s="3548"/>
      <c r="P74" s="3548"/>
      <c r="Q74" s="3548"/>
      <c r="R74" s="3548"/>
      <c r="S74" s="3548"/>
      <c r="T74" s="3548"/>
      <c r="U74" s="3548"/>
      <c r="V74" s="3548"/>
      <c r="W74" s="3548"/>
      <c r="X74" s="3548"/>
      <c r="Y74" s="3548"/>
    </row>
    <row r="75" spans="1:28" s="3547" customFormat="1" ht="16.5" customHeight="1" x14ac:dyDescent="0.2">
      <c r="O75" s="3548"/>
      <c r="P75" s="3548"/>
      <c r="Q75" s="3548"/>
      <c r="R75" s="3548"/>
      <c r="S75" s="3548"/>
      <c r="T75" s="3548"/>
      <c r="U75" s="3548"/>
      <c r="V75" s="3548"/>
      <c r="W75" s="3548"/>
      <c r="X75" s="3548"/>
      <c r="Y75" s="3548"/>
    </row>
    <row r="76" spans="1:28" s="3547" customFormat="1" ht="16.5" customHeight="1" x14ac:dyDescent="0.2">
      <c r="O76" s="3548"/>
      <c r="P76" s="3548"/>
      <c r="Q76" s="3548"/>
      <c r="R76" s="3548"/>
      <c r="S76" s="3548"/>
      <c r="T76" s="3548"/>
      <c r="U76" s="3548"/>
      <c r="V76" s="3548"/>
      <c r="W76" s="3548"/>
      <c r="X76" s="3548"/>
      <c r="Y76" s="3548"/>
    </row>
    <row r="77" spans="1:28" s="3547" customFormat="1" ht="16.5" customHeight="1" x14ac:dyDescent="0.2">
      <c r="O77" s="3548"/>
      <c r="P77" s="3548"/>
      <c r="Q77" s="3548"/>
      <c r="R77" s="3548"/>
      <c r="S77" s="3548"/>
      <c r="T77" s="3548"/>
      <c r="U77" s="3548"/>
      <c r="V77" s="3548"/>
      <c r="W77" s="3548"/>
      <c r="X77" s="3548"/>
      <c r="Y77" s="3548"/>
    </row>
    <row r="78" spans="1:28" s="3547" customFormat="1" ht="16.5" customHeight="1" x14ac:dyDescent="0.2">
      <c r="O78" s="3548"/>
      <c r="P78" s="3548"/>
      <c r="Q78" s="3548"/>
      <c r="R78" s="3548"/>
      <c r="S78" s="3548"/>
      <c r="T78" s="3548"/>
      <c r="U78" s="3548"/>
      <c r="V78" s="3548"/>
      <c r="W78" s="3548"/>
      <c r="X78" s="3548"/>
      <c r="Y78" s="3548"/>
    </row>
    <row r="79" spans="1:28" s="3547" customFormat="1" ht="16.5" customHeight="1" x14ac:dyDescent="0.2">
      <c r="O79" s="3548"/>
      <c r="P79" s="3548"/>
      <c r="Q79" s="3548"/>
      <c r="R79" s="3548"/>
      <c r="S79" s="3548"/>
      <c r="T79" s="3548"/>
      <c r="U79" s="3548"/>
      <c r="V79" s="3548"/>
      <c r="W79" s="3548"/>
      <c r="X79" s="3548"/>
      <c r="Y79" s="3548"/>
    </row>
    <row r="80" spans="1:28" s="3547" customFormat="1" ht="16.5" customHeight="1" x14ac:dyDescent="0.2">
      <c r="O80" s="3548"/>
      <c r="P80" s="3548"/>
      <c r="Q80" s="3548"/>
      <c r="R80" s="3548"/>
      <c r="S80" s="3548"/>
      <c r="T80" s="3548"/>
      <c r="U80" s="3548"/>
      <c r="V80" s="3548"/>
      <c r="W80" s="3548"/>
      <c r="X80" s="3548"/>
      <c r="Y80" s="3548"/>
    </row>
    <row r="81" spans="15:25" s="3547" customFormat="1" ht="16.5" customHeight="1" x14ac:dyDescent="0.2">
      <c r="O81" s="3548"/>
      <c r="P81" s="3548"/>
      <c r="Q81" s="3548"/>
      <c r="R81" s="3548"/>
      <c r="S81" s="3548"/>
      <c r="T81" s="3548"/>
      <c r="U81" s="3548"/>
      <c r="V81" s="3548"/>
      <c r="W81" s="3548"/>
      <c r="X81" s="3548"/>
      <c r="Y81" s="3548"/>
    </row>
    <row r="82" spans="15:25" s="3547" customFormat="1" ht="16.5" customHeight="1" x14ac:dyDescent="0.2">
      <c r="O82" s="3548"/>
      <c r="P82" s="3548"/>
      <c r="Q82" s="3548"/>
      <c r="R82" s="3548"/>
      <c r="S82" s="3548"/>
      <c r="T82" s="3548"/>
      <c r="U82" s="3548"/>
      <c r="V82" s="3548"/>
      <c r="W82" s="3548"/>
      <c r="X82" s="3548"/>
      <c r="Y82" s="3548"/>
    </row>
    <row r="83" spans="15:25" s="3547" customFormat="1" ht="16.5" customHeight="1" x14ac:dyDescent="0.2">
      <c r="O83" s="3548"/>
      <c r="P83" s="3548"/>
      <c r="Q83" s="3548"/>
      <c r="R83" s="3548"/>
      <c r="S83" s="3548"/>
      <c r="T83" s="3548"/>
      <c r="U83" s="3548"/>
      <c r="V83" s="3548"/>
      <c r="W83" s="3548"/>
      <c r="X83" s="3548"/>
      <c r="Y83" s="3548"/>
    </row>
    <row r="84" spans="15:25" s="3547" customFormat="1" ht="16.5" customHeight="1" x14ac:dyDescent="0.2">
      <c r="O84" s="3548"/>
      <c r="P84" s="3548"/>
      <c r="Q84" s="3548"/>
      <c r="R84" s="3548"/>
      <c r="S84" s="3548"/>
      <c r="T84" s="3548"/>
      <c r="U84" s="3548"/>
      <c r="V84" s="3548"/>
      <c r="W84" s="3548"/>
      <c r="X84" s="3548"/>
      <c r="Y84" s="3548"/>
    </row>
    <row r="85" spans="15:25" s="3547" customFormat="1" ht="16.5" customHeight="1" x14ac:dyDescent="0.2">
      <c r="O85" s="3548"/>
      <c r="P85" s="3548"/>
      <c r="Q85" s="3548"/>
      <c r="R85" s="3548"/>
      <c r="S85" s="3548"/>
      <c r="T85" s="3548"/>
      <c r="U85" s="3548"/>
      <c r="V85" s="3548"/>
      <c r="W85" s="3548"/>
      <c r="X85" s="3548"/>
      <c r="Y85" s="3548"/>
    </row>
    <row r="86" spans="15:25" s="3547" customFormat="1" ht="16.5" customHeight="1" x14ac:dyDescent="0.2">
      <c r="O86" s="3548"/>
    </row>
    <row r="87" spans="15:25" s="3547" customFormat="1" ht="16.5" customHeight="1" x14ac:dyDescent="0.2">
      <c r="O87" s="3548"/>
    </row>
    <row r="88" spans="15:25" s="3547" customFormat="1" ht="16.5" customHeight="1" x14ac:dyDescent="0.2"/>
    <row r="89" spans="15:25" s="3547" customFormat="1" ht="16.5" customHeight="1" x14ac:dyDescent="0.2"/>
    <row r="90" spans="15:25" s="3547" customFormat="1" ht="16.5" customHeight="1" x14ac:dyDescent="0.2"/>
    <row r="91" spans="15:25" s="3547" customFormat="1" ht="16.5" customHeight="1" x14ac:dyDescent="0.2"/>
    <row r="92" spans="15:25" s="3547" customFormat="1" ht="16.5" customHeight="1" x14ac:dyDescent="0.2"/>
    <row r="93" spans="15:25" s="3547" customFormat="1" ht="16.5" customHeight="1" x14ac:dyDescent="0.2"/>
    <row r="94" spans="15:25" s="3547" customFormat="1" ht="16.5" customHeight="1" x14ac:dyDescent="0.2"/>
    <row r="95" spans="15:25" s="3547" customFormat="1" ht="16.5" customHeight="1" x14ac:dyDescent="0.2"/>
    <row r="96" spans="15:25" s="3547" customFormat="1" ht="16.5" customHeight="1" x14ac:dyDescent="0.2"/>
    <row r="97" spans="4:25" s="3547" customFormat="1" ht="16.5" customHeight="1" x14ac:dyDescent="0.2"/>
    <row r="98" spans="4:25" s="3547" customFormat="1" ht="16.5" customHeight="1" x14ac:dyDescent="0.2"/>
    <row r="99" spans="4:25" s="3547" customFormat="1" ht="16.5" customHeight="1" x14ac:dyDescent="0.2"/>
    <row r="100" spans="4:25" s="3547" customFormat="1" ht="16.5" customHeight="1" x14ac:dyDescent="0.2"/>
    <row r="101" spans="4:25" s="3547" customFormat="1" ht="16.5" customHeight="1" x14ac:dyDescent="0.2"/>
    <row r="102" spans="4:25" s="3547" customFormat="1" ht="16.5" customHeight="1" x14ac:dyDescent="0.2"/>
    <row r="103" spans="4:25" s="3547" customFormat="1" ht="16.5" customHeight="1" x14ac:dyDescent="0.2"/>
    <row r="104" spans="4:25" s="3547" customFormat="1" ht="16.5" customHeight="1" x14ac:dyDescent="0.2"/>
    <row r="105" spans="4:25" s="3547" customFormat="1" ht="16.5" customHeight="1" x14ac:dyDescent="0.2"/>
    <row r="106" spans="4:25" s="3547" customFormat="1" ht="16.5" customHeight="1" x14ac:dyDescent="0.2"/>
    <row r="107" spans="4:25" s="3547" customFormat="1" ht="16.5" customHeight="1" x14ac:dyDescent="0.2"/>
    <row r="108" spans="4:25" s="3547" customFormat="1" ht="16.5" customHeight="1" x14ac:dyDescent="0.2">
      <c r="P108" s="3545"/>
      <c r="Q108" s="3545"/>
      <c r="R108" s="3545"/>
      <c r="S108" s="3545"/>
      <c r="T108" s="3545"/>
      <c r="U108" s="3546"/>
      <c r="V108" s="3546"/>
      <c r="W108" s="3546"/>
      <c r="X108" s="3546"/>
      <c r="Y108" s="3545"/>
    </row>
    <row r="109" spans="4:25" s="3547" customFormat="1" ht="16.5" customHeight="1" x14ac:dyDescent="0.2">
      <c r="D109" s="3545"/>
      <c r="E109" s="3545"/>
      <c r="F109" s="3545"/>
      <c r="G109" s="3545"/>
      <c r="H109" s="3545"/>
      <c r="I109" s="3546"/>
      <c r="J109" s="3546"/>
      <c r="K109" s="3546"/>
      <c r="L109" s="3546"/>
      <c r="M109" s="3545"/>
      <c r="P109" s="3545"/>
      <c r="Q109" s="3545"/>
      <c r="R109" s="3545"/>
      <c r="S109" s="3545"/>
      <c r="T109" s="3545"/>
      <c r="U109" s="3546"/>
      <c r="V109" s="3546"/>
      <c r="W109" s="3546"/>
      <c r="X109" s="3546"/>
      <c r="Y109" s="3545"/>
    </row>
  </sheetData>
  <sheetProtection sheet="1" objects="1" scenarios="1"/>
  <mergeCells count="9">
    <mergeCell ref="R20:AA21"/>
    <mergeCell ref="R23:AA24"/>
    <mergeCell ref="D4:N4"/>
    <mergeCell ref="I6:L6"/>
    <mergeCell ref="B1:D1"/>
    <mergeCell ref="G1:I1"/>
    <mergeCell ref="G2:J2"/>
    <mergeCell ref="H3:I3"/>
    <mergeCell ref="R18:W18"/>
  </mergeCells>
  <hyperlinks>
    <hyperlink ref="R23" r:id="rId1"/>
    <hyperlink ref="R18" r:id="rId2"/>
  </hyperlinks>
  <printOptions horizontalCentered="1"/>
  <pageMargins left="0.70866141732283472" right="0.59055118110236227" top="0.98425196850393704" bottom="0.78740157480314965" header="0.51181102362204722" footer="0.31496062992125984"/>
  <pageSetup paperSize="9" scale="52" orientation="landscape" verticalDpi="360" r:id="rId3"/>
  <headerFooter alignWithMargins="0">
    <oddFooter>&amp;L&amp;12LEL Schwäbisch Gmünd (Abtlg. II)
LAZBW Aulendorf&amp;C&amp;12 14&amp;R&amp;12&amp;F
&amp;A</oddFooter>
  </headerFooter>
  <drawing r:id="rId4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7">
    <tabColor rgb="FF00B050"/>
    <pageSetUpPr fitToPage="1"/>
  </sheetPr>
  <dimension ref="A1:AS83"/>
  <sheetViews>
    <sheetView showGridLines="0" showZeros="0" topLeftCell="B1" zoomScaleNormal="100" workbookViewId="0">
      <pane xSplit="11" ySplit="6" topLeftCell="M22" activePane="bottomRight" state="frozen"/>
      <selection activeCell="G1" sqref="G1:I1"/>
      <selection pane="topRight" activeCell="G1" sqref="G1:I1"/>
      <selection pane="bottomLeft" activeCell="G1" sqref="G1:I1"/>
      <selection pane="bottomRight" activeCell="R42" sqref="R42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10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113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2" t="s">
        <v>1390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 t="str">
        <f>VLOOKUP($Y$5,$S$4:$T$9,2)</f>
        <v>Silage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90</v>
      </c>
      <c r="L6" s="1676"/>
      <c r="M6" s="520">
        <f>$K$6*M7/100</f>
        <v>33.299999999999997</v>
      </c>
      <c r="N6" s="521">
        <f>$K$6*N7/100</f>
        <v>22.5</v>
      </c>
      <c r="O6" s="521">
        <f>$K$6*O7/100</f>
        <v>18</v>
      </c>
      <c r="P6" s="521">
        <f>$K$6*P7/100</f>
        <v>16.2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37</v>
      </c>
      <c r="N7" s="466">
        <v>25</v>
      </c>
      <c r="O7" s="466">
        <v>20</v>
      </c>
      <c r="P7" s="466">
        <v>18</v>
      </c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6.9999999999999991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35.000000000000007</v>
      </c>
      <c r="L10" s="2605"/>
      <c r="M10" s="412">
        <v>35</v>
      </c>
      <c r="N10" s="412">
        <v>35</v>
      </c>
      <c r="O10" s="412">
        <v>35</v>
      </c>
      <c r="P10" s="412">
        <v>35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37.000000000000007</v>
      </c>
      <c r="L11" s="1682"/>
      <c r="M11" s="2520">
        <v>37</v>
      </c>
      <c r="N11" s="413">
        <v>37</v>
      </c>
      <c r="O11" s="413">
        <v>37</v>
      </c>
      <c r="P11" s="413">
        <v>37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6.0000000000000009</v>
      </c>
      <c r="L12" s="1679"/>
      <c r="M12" s="881">
        <v>6</v>
      </c>
      <c r="N12" s="881">
        <v>6</v>
      </c>
      <c r="O12" s="881">
        <v>6</v>
      </c>
      <c r="P12" s="881">
        <v>6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85.499999999999986</v>
      </c>
      <c r="L14" s="1684"/>
      <c r="M14" s="251">
        <f>M6*(100-M8)/100</f>
        <v>31.634999999999994</v>
      </c>
      <c r="N14" s="252">
        <f>N6*(100-N8)/100</f>
        <v>21.375</v>
      </c>
      <c r="O14" s="252">
        <f>O6*(100-O8)/100</f>
        <v>17.100000000000001</v>
      </c>
      <c r="P14" s="252">
        <f>P6*(100-P8)/100</f>
        <v>15.39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577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244.28571428571428</v>
      </c>
      <c r="L15" s="1684"/>
      <c r="M15" s="251">
        <f>IF(M10=0,0,M14/M10*100)</f>
        <v>90.385714285714272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43.971428571428575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579" t="s">
        <v>436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>SUM(M16:Q16)</f>
        <v>0</v>
      </c>
      <c r="L16" s="4311"/>
      <c r="M16" s="2419">
        <f>IF(S16=FALSE,0,IF(M12=0,0,M15/M12))</f>
        <v>0</v>
      </c>
      <c r="N16" s="2420">
        <f>IF(S16=FALSE,0,IF(N12=0,0,N15/N12))</f>
        <v>0</v>
      </c>
      <c r="O16" s="2420">
        <f>IF(S16=FALSE,0,IF(O12=0,0,O15/O12))</f>
        <v>0</v>
      </c>
      <c r="P16" s="2420">
        <f>IF(S16=FALSE,0,IF(P12=0,0,P15/P12))</f>
        <v>0</v>
      </c>
      <c r="Q16" s="2421">
        <f>IF(S16=FALSE,0,IF(Q12=0,0,1/Q12*Q15))</f>
        <v>0</v>
      </c>
      <c r="R16" s="539"/>
      <c r="S16" s="2633" t="b">
        <v>0</v>
      </c>
      <c r="T16" s="608"/>
      <c r="U16" s="608"/>
      <c r="V16" s="608"/>
      <c r="W16" s="608"/>
      <c r="X16" s="608"/>
      <c r="Y16"/>
      <c r="Z16" s="608"/>
      <c r="AA16" s="2579" t="s">
        <v>437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79.514999999999986</v>
      </c>
      <c r="L17" s="1686"/>
      <c r="M17" s="251">
        <f>M14*(100-M9)/100</f>
        <v>29.420549999999995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14.3127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2579" t="s">
        <v>438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214.90540540540539</v>
      </c>
      <c r="L18" s="1686"/>
      <c r="M18" s="251">
        <f>IF(M11=0,0,M17/M11*100)</f>
        <v>79.514999999999986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38.682972972972976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13.252499999999998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6.4471621621621624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29.000000000000004</v>
      </c>
      <c r="L20" s="1689"/>
      <c r="M20" s="312">
        <v>29</v>
      </c>
      <c r="N20" s="313">
        <v>29</v>
      </c>
      <c r="O20" s="313">
        <v>29</v>
      </c>
      <c r="P20" s="313">
        <v>29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1.044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1.0439999999999998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2305.9349999999999</v>
      </c>
      <c r="L22" s="1690"/>
      <c r="M22" s="446">
        <f t="shared" ref="M22:Q23" si="1">M$17*M20</f>
        <v>853.19594999999981</v>
      </c>
      <c r="N22" s="448">
        <f t="shared" si="1"/>
        <v>576.48374999999999</v>
      </c>
      <c r="O22" s="448">
        <f t="shared" si="1"/>
        <v>461.18700000000007</v>
      </c>
      <c r="P22" s="448">
        <f t="shared" si="1"/>
        <v>415.06829999999997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83.013659999999987</v>
      </c>
      <c r="L23" s="1691"/>
      <c r="M23" s="447">
        <f t="shared" si="1"/>
        <v>30.71505419999999</v>
      </c>
      <c r="N23" s="449">
        <f t="shared" si="1"/>
        <v>20.753414999999997</v>
      </c>
      <c r="O23" s="449">
        <f t="shared" si="1"/>
        <v>16.602732</v>
      </c>
      <c r="P23" s="449">
        <f t="shared" si="1"/>
        <v>14.942458799999997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194"/>
      <c r="C24" s="231"/>
      <c r="D24" s="323" t="s">
        <v>912</v>
      </c>
      <c r="E24" s="2586"/>
      <c r="F24" s="2587"/>
      <c r="G24" s="323"/>
      <c r="H24" s="2588"/>
      <c r="I24" s="2589"/>
      <c r="J24" s="2634" t="str">
        <f>"Güllewert bei Güllerücknahme zu "&amp;K24*100&amp;"%"</f>
        <v>Güllewert bei Güllerücknahme zu 100%</v>
      </c>
      <c r="K24" s="3182">
        <v>1</v>
      </c>
      <c r="L24" s="1693">
        <f>K24*(L36*(1-$AC$14)+L37*(1-$AC$15)+L38*(1-$AC$16)+L39*(1-$AC$17))</f>
        <v>609.6623271666665</v>
      </c>
      <c r="M24" s="2603">
        <f>M14/$K$14*$L$24</f>
        <v>225.57506105166661</v>
      </c>
      <c r="N24" s="2604">
        <f>N14/$K$14*$L$24</f>
        <v>152.41558179166665</v>
      </c>
      <c r="O24" s="2604">
        <f>O14/$K$14*$L$24</f>
        <v>121.93246543333332</v>
      </c>
      <c r="P24" s="2604">
        <f>P14/$K$14*$L$24</f>
        <v>109.73921889</v>
      </c>
      <c r="Q24" s="45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69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99.9</v>
      </c>
      <c r="N30" s="254">
        <f>$L30*N7/100</f>
        <v>67.5</v>
      </c>
      <c r="O30" s="254">
        <f>$L30*O7/100</f>
        <v>54</v>
      </c>
      <c r="P30" s="254">
        <f>$L30*P7/100</f>
        <v>48.6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8.7097999999999995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4.2371999999999996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610€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93.186579499999993</v>
      </c>
      <c r="M34" s="460">
        <f>$L34*M$7/100</f>
        <v>34.479034414999994</v>
      </c>
      <c r="N34" s="461">
        <f>$L34*N$7/100</f>
        <v>23.296644874999998</v>
      </c>
      <c r="O34" s="461">
        <f>$L34*O$7/100</f>
        <v>18.637315899999997</v>
      </c>
      <c r="P34" s="461">
        <f>$L34*P$7/100</f>
        <v>16.77358431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2.7</v>
      </c>
      <c r="I36" s="117">
        <v>-50</v>
      </c>
      <c r="J36" s="159"/>
      <c r="K36" s="1703">
        <f>H36*$K$14+I36</f>
        <v>180.84999999999997</v>
      </c>
      <c r="L36" s="1704">
        <f>K36*$F36</f>
        <v>310.62193166666663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85.499999999999986</v>
      </c>
      <c r="L37" s="1704">
        <f>K37*$F37</f>
        <v>96.657749999999965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256.49999999999994</v>
      </c>
      <c r="L38" s="1704">
        <f>K38*$F38</f>
        <v>269.6242499999999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0.51</v>
      </c>
      <c r="I39" s="120"/>
      <c r="J39" s="161"/>
      <c r="K39" s="1705">
        <f>H39*$K$14+I39</f>
        <v>43.604999999999997</v>
      </c>
      <c r="L39" s="1706">
        <f>K39*$F39</f>
        <v>25.944974999999996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32.280306139199993</v>
      </c>
      <c r="M43" s="484">
        <f>SUM(Z46:Z56)</f>
        <v>10.795332238599997</v>
      </c>
      <c r="N43" s="484">
        <f>SUM(AA46:AA56)</f>
        <v>10.795332238599997</v>
      </c>
      <c r="O43" s="484">
        <f>SUM(AB46:AB56)</f>
        <v>5.3448208309999981</v>
      </c>
      <c r="P43" s="484">
        <f>SUM(AC46:AC56)</f>
        <v>5.3448208309999981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5">IF(M46&lt;&gt;0,M46*$H46,0)</f>
        <v>0.20499999999999999</v>
      </c>
      <c r="U46" s="479">
        <f t="shared" ref="U46:U56" si="6">IF(N46&lt;&gt;0,N46*$H46,0)</f>
        <v>0.20499999999999999</v>
      </c>
      <c r="V46" s="479">
        <f t="shared" ref="V46:V56" si="7">IF(O46&lt;&gt;0,O46*$H46,0)</f>
        <v>0.20499999999999999</v>
      </c>
      <c r="W46" s="479">
        <f t="shared" ref="W46:W56" si="8">IF(P46&lt;&gt;0,P46*$H46,0)</f>
        <v>0.20499999999999999</v>
      </c>
      <c r="X46" s="480">
        <f t="shared" ref="X46:X56" si="9">IF(Q46&lt;&gt;0,Q46*$H46,0)</f>
        <v>0</v>
      </c>
      <c r="Y46"/>
      <c r="Z46" s="478">
        <f t="shared" ref="Z46:Z56" si="10">IF(M46&lt;&gt;0,M46*$I46,0)</f>
        <v>2.9804792933999988</v>
      </c>
      <c r="AA46" s="479">
        <f t="shared" ref="AA46:AA56" si="11">IF(N46&lt;&gt;0,N46*$I46,0)</f>
        <v>2.9804792933999988</v>
      </c>
      <c r="AB46" s="479">
        <f t="shared" ref="AB46:AB56" si="12">IF(O46&lt;&gt;0,O46*$I46,0)</f>
        <v>2.9804792933999988</v>
      </c>
      <c r="AC46" s="479">
        <f t="shared" ref="AC46:AC56" si="13">IF(P46&lt;&gt;0,P46*$I46,0)</f>
        <v>2.9804792933999988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5"/>
        <v>0.12</v>
      </c>
      <c r="U47" s="479">
        <f t="shared" si="6"/>
        <v>0.12</v>
      </c>
      <c r="V47" s="479">
        <f t="shared" si="7"/>
        <v>0.12</v>
      </c>
      <c r="W47" s="479">
        <f t="shared" si="8"/>
        <v>0.12</v>
      </c>
      <c r="X47" s="480">
        <f t="shared" si="9"/>
        <v>0</v>
      </c>
      <c r="Y47"/>
      <c r="Z47" s="478">
        <f t="shared" si="10"/>
        <v>2.3643415375999997</v>
      </c>
      <c r="AA47" s="479">
        <f t="shared" si="11"/>
        <v>2.3643415375999997</v>
      </c>
      <c r="AB47" s="479">
        <f t="shared" si="12"/>
        <v>2.3643415375999997</v>
      </c>
      <c r="AC47" s="479">
        <f t="shared" si="13"/>
        <v>2.3643415375999997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/>
      <c r="C49" s="104"/>
      <c r="D49" s="137">
        <f>IF($B49=0,0,VLOOKUP($B49,Arbeitsgänge!$B$27:$O$75,2))</f>
        <v>0</v>
      </c>
      <c r="E49" s="8"/>
      <c r="F49" s="8"/>
      <c r="G49" s="468">
        <f>IF($B49=0,0,VLOOKUP($B49,Arbeitsgänge!$B$27:$T$80,7))</f>
        <v>0</v>
      </c>
      <c r="H49" s="507">
        <f>IF($B49=0,0,VLOOKUP($B49,Arbeitsgänge!$B$27:$O$79,12))</f>
        <v>0</v>
      </c>
      <c r="I49" s="469">
        <f>IF($B49=0,0,VLOOKUP($B49,Arbeitsgänge!$B$27:$T$80,14))</f>
        <v>0</v>
      </c>
      <c r="J49" s="593">
        <f t="shared" si="2"/>
        <v>0</v>
      </c>
      <c r="K49" s="1651">
        <f t="shared" si="3"/>
        <v>0</v>
      </c>
      <c r="L49" s="1704">
        <f t="shared" si="4"/>
        <v>0</v>
      </c>
      <c r="M49" s="317"/>
      <c r="N49" s="318"/>
      <c r="O49" s="318"/>
      <c r="P49" s="318"/>
      <c r="Q49" s="319"/>
      <c r="R49" s="542"/>
      <c r="S49" s="542"/>
      <c r="T49" s="478">
        <f t="shared" si="5"/>
        <v>0</v>
      </c>
      <c r="U49" s="479">
        <f t="shared" si="6"/>
        <v>0</v>
      </c>
      <c r="V49" s="479">
        <f t="shared" si="7"/>
        <v>0</v>
      </c>
      <c r="W49" s="479">
        <f t="shared" si="8"/>
        <v>0</v>
      </c>
      <c r="X49" s="480">
        <f t="shared" si="9"/>
        <v>0</v>
      </c>
      <c r="Y49"/>
      <c r="Z49" s="478">
        <f t="shared" si="10"/>
        <v>0</v>
      </c>
      <c r="AA49" s="479">
        <f t="shared" si="11"/>
        <v>0</v>
      </c>
      <c r="AB49" s="479">
        <f t="shared" si="12"/>
        <v>0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/>
      <c r="C50" s="104"/>
      <c r="D50" s="137">
        <f>IF($B50=0,0,VLOOKUP($B50,Arbeitsgänge!$B$27:$O$75,2))</f>
        <v>0</v>
      </c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0</v>
      </c>
      <c r="I50" s="469">
        <f>IF($B50=0,0,VLOOKUP($B50,Arbeitsgänge!$B$27:$T$80,14))</f>
        <v>0</v>
      </c>
      <c r="J50" s="593">
        <f t="shared" si="2"/>
        <v>0</v>
      </c>
      <c r="K50" s="1651">
        <f t="shared" si="3"/>
        <v>0</v>
      </c>
      <c r="L50" s="1704">
        <f t="shared" si="4"/>
        <v>0</v>
      </c>
      <c r="M50" s="317"/>
      <c r="N50" s="318"/>
      <c r="O50" s="318"/>
      <c r="P50" s="318"/>
      <c r="Q50" s="319"/>
      <c r="R50" s="542"/>
      <c r="S50" s="542"/>
      <c r="T50" s="478">
        <f t="shared" si="5"/>
        <v>0</v>
      </c>
      <c r="U50" s="479">
        <f t="shared" si="6"/>
        <v>0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0</v>
      </c>
      <c r="AA50" s="479">
        <f t="shared" si="11"/>
        <v>0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/>
      <c r="C51" s="104"/>
      <c r="D51" s="137">
        <f>IF($B51=0,0,VLOOKUP($B51,Arbeitsgänge!$B$27:$O$75,2))</f>
        <v>0</v>
      </c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2"/>
        <v>0</v>
      </c>
      <c r="K51" s="1651">
        <f t="shared" si="3"/>
        <v>0</v>
      </c>
      <c r="L51" s="1704">
        <f t="shared" si="4"/>
        <v>0</v>
      </c>
      <c r="M51" s="317"/>
      <c r="N51" s="318"/>
      <c r="O51" s="318"/>
      <c r="P51" s="318"/>
      <c r="Q51" s="319"/>
      <c r="R51" s="542"/>
      <c r="S51" s="542"/>
      <c r="T51" s="478">
        <f t="shared" si="5"/>
        <v>0</v>
      </c>
      <c r="U51" s="479">
        <f t="shared" si="6"/>
        <v>0</v>
      </c>
      <c r="V51" s="479">
        <f t="shared" si="7"/>
        <v>0</v>
      </c>
      <c r="W51" s="479">
        <f t="shared" si="8"/>
        <v>0</v>
      </c>
      <c r="X51" s="480">
        <f t="shared" si="9"/>
        <v>0</v>
      </c>
      <c r="Y51"/>
      <c r="Z51" s="478">
        <f t="shared" si="10"/>
        <v>0</v>
      </c>
      <c r="AA51" s="479">
        <f t="shared" si="11"/>
        <v>0</v>
      </c>
      <c r="AB51" s="479">
        <f t="shared" si="12"/>
        <v>0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/>
      <c r="C52" s="104"/>
      <c r="D52" s="137">
        <f>IF($B52=0,0,VLOOKUP($B52,Arbeitsgänge!$B$27:$O$75,2))</f>
        <v>0</v>
      </c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2"/>
        <v>0</v>
      </c>
      <c r="K52" s="1651">
        <f t="shared" si="3"/>
        <v>0</v>
      </c>
      <c r="L52" s="1704">
        <f t="shared" si="4"/>
        <v>0</v>
      </c>
      <c r="M52" s="317"/>
      <c r="N52" s="318"/>
      <c r="O52" s="318"/>
      <c r="P52" s="318"/>
      <c r="Q52" s="319"/>
      <c r="R52" s="542"/>
      <c r="S52" s="542"/>
      <c r="T52" s="478">
        <f t="shared" si="5"/>
        <v>0</v>
      </c>
      <c r="U52" s="479">
        <f t="shared" si="6"/>
        <v>0</v>
      </c>
      <c r="V52" s="479">
        <f t="shared" si="7"/>
        <v>0</v>
      </c>
      <c r="W52" s="479">
        <f t="shared" si="8"/>
        <v>0</v>
      </c>
      <c r="X52" s="480">
        <f t="shared" si="9"/>
        <v>0</v>
      </c>
      <c r="Y52"/>
      <c r="Z52" s="478">
        <f t="shared" si="10"/>
        <v>0</v>
      </c>
      <c r="AA52" s="479">
        <f t="shared" si="11"/>
        <v>0</v>
      </c>
      <c r="AB52" s="479">
        <f t="shared" si="12"/>
        <v>0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/>
      <c r="C53" s="104"/>
      <c r="D53" s="137">
        <f>IF($B53=0,0,VLOOKUP($B53,Arbeitsgänge!$B$27:$O$75,2))</f>
        <v>0</v>
      </c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2"/>
        <v>0</v>
      </c>
      <c r="K53" s="1651">
        <f t="shared" si="3"/>
        <v>0</v>
      </c>
      <c r="L53" s="1704">
        <f t="shared" si="4"/>
        <v>0</v>
      </c>
      <c r="M53" s="317"/>
      <c r="N53" s="318"/>
      <c r="O53" s="318"/>
      <c r="P53" s="318"/>
      <c r="Q53" s="319"/>
      <c r="R53" s="542"/>
      <c r="S53" s="542"/>
      <c r="T53" s="478">
        <f t="shared" si="5"/>
        <v>0</v>
      </c>
      <c r="U53" s="479">
        <f t="shared" si="6"/>
        <v>0</v>
      </c>
      <c r="V53" s="479">
        <f t="shared" si="7"/>
        <v>0</v>
      </c>
      <c r="W53" s="479">
        <f t="shared" si="8"/>
        <v>0</v>
      </c>
      <c r="X53" s="480">
        <f t="shared" si="9"/>
        <v>0</v>
      </c>
      <c r="Y53"/>
      <c r="Z53" s="478">
        <f t="shared" si="10"/>
        <v>0</v>
      </c>
      <c r="AA53" s="479">
        <f t="shared" si="11"/>
        <v>0</v>
      </c>
      <c r="AB53" s="479">
        <f t="shared" si="12"/>
        <v>0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/>
      <c r="C54" s="104"/>
      <c r="D54" s="137">
        <f>IF($B54=0,0,VLOOKUP($B54,Arbeitsgänge!$B$27:$O$75,2))</f>
        <v>0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/>
      <c r="C55" s="104"/>
      <c r="D55" s="137">
        <f>IF($B55=0,0,VLOOKUP($B55,Arbeitsgänge!$B$27:$O$75,2))</f>
        <v>0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/>
      <c r="C56" s="107"/>
      <c r="D56" s="926">
        <f>IF($B56=0,0,VLOOKUP($B56,Arbeitsgänge!$B$27:$O$75,2))</f>
        <v>0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2.04</v>
      </c>
      <c r="L57" s="1716"/>
      <c r="M57" s="278">
        <f>SUM(T46:T56)</f>
        <v>0.69499999999999995</v>
      </c>
      <c r="N57" s="508">
        <f>SUM(U46:U56)</f>
        <v>0.69499999999999995</v>
      </c>
      <c r="O57" s="508">
        <f>SUM(V46:V56)</f>
        <v>0.32499999999999996</v>
      </c>
      <c r="P57" s="508">
        <f>SUM(W46:W56)</f>
        <v>0.32499999999999996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3.6719999999999997</v>
      </c>
      <c r="L58" s="1718"/>
      <c r="M58" s="270">
        <f>IF(M57+(M57*$G$58/100)&gt;M57+10,M57+10,M57+(M57*$G$58/100))</f>
        <v>1.2509999999999999</v>
      </c>
      <c r="N58" s="509">
        <f>IF(N57+(N57*$G$58/100)&gt;N57+10,N57+10,N57+(N57*$G$58/100))</f>
        <v>1.2509999999999999</v>
      </c>
      <c r="O58" s="509">
        <f>IF(O57+(O57*$G$58/100)&gt;O57+10,O57+10,O57+(O57*$G$58/100))</f>
        <v>0.58499999999999996</v>
      </c>
      <c r="P58" s="509">
        <f>IF(P57+(P57*$G$58/100)&gt;P57+10,P57+10,P57+(P57*$G$58/100))</f>
        <v>0.58499999999999996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105.49688299999997</v>
      </c>
      <c r="M59" s="253">
        <f>SUM(T61:T63)</f>
        <v>38.724446709999981</v>
      </c>
      <c r="N59" s="254">
        <f>SUM(U61:U63)</f>
        <v>26.374220749999992</v>
      </c>
      <c r="O59" s="254">
        <f>SUM(V61:V63)</f>
        <v>21.099376599999992</v>
      </c>
      <c r="P59" s="254">
        <f>SUM(W61:W63)</f>
        <v>19.298838939999996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7.0000000000000007E-2</v>
      </c>
      <c r="N61" s="3088">
        <v>0.05</v>
      </c>
      <c r="O61" s="3088">
        <v>0.04</v>
      </c>
      <c r="P61" s="3088">
        <v>0.04</v>
      </c>
      <c r="Q61" s="2620"/>
      <c r="R61" s="542"/>
      <c r="S61" s="542"/>
      <c r="T61" s="2621">
        <f>IF(M61&lt;&gt;0,M61*$H61,0)</f>
        <v>5.4145000000000003</v>
      </c>
      <c r="U61" s="2621">
        <f t="shared" ref="U61:X63" si="15">IF(N61&lt;&gt;0,N61*$H61,0)</f>
        <v>3.8674999999999997</v>
      </c>
      <c r="V61" s="2621">
        <f t="shared" si="15"/>
        <v>3.0939999999999999</v>
      </c>
      <c r="W61" s="2621">
        <f t="shared" si="15"/>
        <v>3.0939999999999999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2621">
        <f>IF(M62&lt;&gt;0,M62*$H62,0)</f>
        <v>0</v>
      </c>
      <c r="U62" s="2621">
        <f t="shared" si="15"/>
        <v>0</v>
      </c>
      <c r="V62" s="2621">
        <f t="shared" si="15"/>
        <v>0</v>
      </c>
      <c r="W62" s="2621">
        <f t="shared" si="15"/>
        <v>0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1464" t="s">
        <v>708</v>
      </c>
      <c r="E63" s="3071"/>
      <c r="F63" s="307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16.81174285714285</v>
      </c>
      <c r="K63" s="3074">
        <f>K17/(W66)/10*W68*K24</f>
        <v>16.81174285714285</v>
      </c>
      <c r="L63" s="3075">
        <f>K63*H63</f>
        <v>90.02688299999997</v>
      </c>
      <c r="M63" s="3184">
        <f>$K$63*M7/100</f>
        <v>6.2203448571428543</v>
      </c>
      <c r="N63" s="3183">
        <f>$K$63*N7/100</f>
        <v>4.2029357142857124</v>
      </c>
      <c r="O63" s="3183">
        <f>$K$63*O7/100</f>
        <v>3.3623485714285697</v>
      </c>
      <c r="P63" s="3183">
        <f>$K$63*P7/100</f>
        <v>3.0261137142857133</v>
      </c>
      <c r="Q63" s="3183">
        <f>$K$63*Q7/100</f>
        <v>0</v>
      </c>
      <c r="R63" s="542"/>
      <c r="S63" s="542"/>
      <c r="T63" s="2621">
        <f>IF(M63&lt;&gt;0,M63*$H63,0)</f>
        <v>33.309946709999984</v>
      </c>
      <c r="U63" s="2621">
        <f t="shared" si="15"/>
        <v>22.506720749999992</v>
      </c>
      <c r="V63" s="2621">
        <f t="shared" si="15"/>
        <v>18.005376599999991</v>
      </c>
      <c r="W63" s="2621">
        <f t="shared" si="15"/>
        <v>16.204838939999995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0.35000000000000009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0</v>
      </c>
      <c r="M67" s="253">
        <f t="shared" si="16"/>
        <v>0</v>
      </c>
      <c r="N67" s="254">
        <f t="shared" si="16"/>
        <v>0</v>
      </c>
      <c r="O67" s="254">
        <f t="shared" si="16"/>
        <v>0</v>
      </c>
      <c r="P67" s="254">
        <f t="shared" si="16"/>
        <v>0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2599">
        <v>0.74</v>
      </c>
    </row>
    <row r="69" spans="1:43" s="51" customFormat="1" ht="15" customHeight="1" x14ac:dyDescent="0.2">
      <c r="A69" s="52"/>
      <c r="B69" s="937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7">IF(AND($B69&lt;3,V$5=1),M$7*$I69/100,IF(AND($B69=3,V$5=3),M$7*$I69/100,0))</f>
        <v>0</v>
      </c>
      <c r="N69" s="933">
        <f t="shared" si="17"/>
        <v>0</v>
      </c>
      <c r="O69" s="933">
        <f t="shared" si="17"/>
        <v>0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0</v>
      </c>
      <c r="L77" s="3321">
        <f t="shared" si="18"/>
        <v>0</v>
      </c>
      <c r="M77" s="3321">
        <f t="shared" si="18"/>
        <v>0</v>
      </c>
      <c r="N77" s="3321">
        <f t="shared" si="18"/>
        <v>0</v>
      </c>
      <c r="O77" s="3321">
        <f t="shared" si="18"/>
        <v>0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51181102362204722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94&amp;R&amp;12&amp;F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2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3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4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5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6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8" r:id="rId20" name="Check Box 20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8">
    <tabColor rgb="FF00B050"/>
    <pageSetUpPr fitToPage="1"/>
  </sheetPr>
  <dimension ref="B1:AS99"/>
  <sheetViews>
    <sheetView showGridLines="0" showZeros="0" zoomScaleNormal="100" workbookViewId="0">
      <pane xSplit="13" ySplit="5" topLeftCell="N9" activePane="bottomRight" state="frozen"/>
      <selection activeCell="G1" sqref="G1:I1"/>
      <selection pane="topRight" activeCell="G1" sqref="G1:I1"/>
      <selection pane="bottomLeft" activeCell="G1" sqref="G1:I1"/>
      <selection pane="bottomRight" activeCell="Z27" sqref="Z27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'38)GS 4Nutz Biogas Feld-(a)'!H2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'38)GS 4Nutz Biogas Feld-(a)'!K2</f>
        <v>Grassilage 4 Nutz. Biogas ab Feld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8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'38)GS 4Nutz Biogas Feld-(a)'!H3</f>
        <v>Grassilage für Verkauf an Biogasanlage ab Feld (ohne Ernte, Lagerraum, Abdeckung); Rücklieferung Gärrest unter 100% Anrechung der Netto-Nährstoffe (30% N-Verluste) und Kosten Gärrestausbringung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'38)GS 4Nutz Biogas Feld-(a)'!M5</f>
        <v>Silage</v>
      </c>
      <c r="O5" s="1568" t="str">
        <f>'38)GS 4Nutz Biogas Feld-(a)'!N5</f>
        <v>Silage</v>
      </c>
      <c r="P5" s="1568" t="str">
        <f>'38)GS 4Nutz Biogas Feld-(a)'!O5</f>
        <v>Silage</v>
      </c>
      <c r="Q5" s="1568" t="str">
        <f>'38)GS 4Nutz Biogas Feld-(a)'!P5</f>
        <v>Silage</v>
      </c>
      <c r="R5" s="1573">
        <f>'38)GS 4Nutz Biogas Feld-(a)'!Q5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'38)GS 4Nutz Biogas Feld-(a)'!K6</f>
        <v>90</v>
      </c>
      <c r="N6" s="1821">
        <f>'38)GS 4Nutz Biogas Feld-(a)'!M6</f>
        <v>33.299999999999997</v>
      </c>
      <c r="O6" s="1821">
        <f>'38)GS 4Nutz Biogas Feld-(a)'!N6</f>
        <v>22.5</v>
      </c>
      <c r="P6" s="1821">
        <f>'38)GS 4Nutz Biogas Feld-(a)'!O6</f>
        <v>18</v>
      </c>
      <c r="Q6" s="1821">
        <f>'38)GS 4Nutz Biogas Feld-(a)'!P6</f>
        <v>16.2</v>
      </c>
      <c r="R6" s="1822">
        <f>'38)GS 4Nutz Biogas Feld-(a)'!Q6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'38)GS 4Nutz Biogas Feld-(a)'!K14</f>
        <v>85.499999999999986</v>
      </c>
      <c r="N7" s="452">
        <f>'38)GS 4Nutz Biogas Feld-(a)'!M14</f>
        <v>31.634999999999994</v>
      </c>
      <c r="O7" s="452">
        <f>'38)GS 4Nutz Biogas Feld-(a)'!N14</f>
        <v>21.375</v>
      </c>
      <c r="P7" s="452">
        <f>'38)GS 4Nutz Biogas Feld-(a)'!O14</f>
        <v>17.100000000000001</v>
      </c>
      <c r="Q7" s="452">
        <f>'38)GS 4Nutz Biogas Feld-(a)'!P14</f>
        <v>15.39</v>
      </c>
      <c r="R7" s="1744">
        <f>'38)GS 4Nutz Biogas Feld-(a)'!Q14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'38)GS 4Nutz Biogas Feld-(a)'!K15</f>
        <v>244.28571428571428</v>
      </c>
      <c r="N8" s="473">
        <f>'38)GS 4Nutz Biogas Feld-(a)'!M15</f>
        <v>90.385714285714272</v>
      </c>
      <c r="O8" s="473">
        <f>'38)GS 4Nutz Biogas Feld-(a)'!N15</f>
        <v>61.071428571428577</v>
      </c>
      <c r="P8" s="473">
        <f>'38)GS 4Nutz Biogas Feld-(a)'!O15</f>
        <v>48.857142857142861</v>
      </c>
      <c r="Q8" s="473">
        <f>'38)GS 4Nutz Biogas Feld-(a)'!P15</f>
        <v>43.971428571428575</v>
      </c>
      <c r="R8" s="1583">
        <f>'38)GS 4Nutz Biogas Feld-(a)'!Q15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'38)GS 4Nutz Biogas Feld-(a)'!K17</f>
        <v>79.514999999999986</v>
      </c>
      <c r="N9" s="452">
        <f>'38)GS 4Nutz Biogas Feld-(a)'!M17</f>
        <v>29.420549999999995</v>
      </c>
      <c r="O9" s="452">
        <f>'38)GS 4Nutz Biogas Feld-(a)'!N17</f>
        <v>19.87875</v>
      </c>
      <c r="P9" s="452">
        <f>'38)GS 4Nutz Biogas Feld-(a)'!O17</f>
        <v>15.903000000000002</v>
      </c>
      <c r="Q9" s="452">
        <f>'38)GS 4Nutz Biogas Feld-(a)'!P17</f>
        <v>14.3127</v>
      </c>
      <c r="R9" s="1744">
        <f>'38)GS 4Nutz Biogas Feld-(a)'!Q17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'38)GS 4Nutz Biogas Feld-(a)'!K18</f>
        <v>214.90540540540539</v>
      </c>
      <c r="N10" s="1748">
        <f>'38)GS 4Nutz Biogas Feld-(a)'!M18</f>
        <v>79.514999999999986</v>
      </c>
      <c r="O10" s="1748">
        <f>'38)GS 4Nutz Biogas Feld-(a)'!N18</f>
        <v>53.726351351351354</v>
      </c>
      <c r="P10" s="1748">
        <f>'38)GS 4Nutz Biogas Feld-(a)'!O18</f>
        <v>42.981081081081086</v>
      </c>
      <c r="Q10" s="1748">
        <f>'38)GS 4Nutz Biogas Feld-(a)'!P18</f>
        <v>38.682972972972976</v>
      </c>
      <c r="R10" s="1745">
        <f>'38)GS 4Nutz Biogas Feld-(a)'!Q18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'38)GS 4Nutz Biogas Feld-(a)'!K19</f>
        <v>35.817567567567565</v>
      </c>
      <c r="N11" s="2094">
        <f>'38)GS 4Nutz Biogas Feld-(a)'!M19</f>
        <v>13.252499999999998</v>
      </c>
      <c r="O11" s="2094">
        <f>'38)GS 4Nutz Biogas Feld-(a)'!N19</f>
        <v>8.9543918918918912</v>
      </c>
      <c r="P11" s="2094">
        <f>'38)GS 4Nutz Biogas Feld-(a)'!O19</f>
        <v>7.1635135135135144</v>
      </c>
      <c r="Q11" s="2094">
        <f>'38)GS 4Nutz Biogas Feld-(a)'!P19</f>
        <v>6.4471621621621624</v>
      </c>
      <c r="R11" s="2078">
        <f>'38)GS 4Nutz Biogas Feld-(a)'!Q19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'38)GS 4Nutz Biogas Feld-(a)'!K22</f>
        <v>2305.9349999999999</v>
      </c>
      <c r="N12" s="1176">
        <f>'38)GS 4Nutz Biogas Feld-(a)'!M22</f>
        <v>853.19594999999981</v>
      </c>
      <c r="O12" s="1176">
        <f>'38)GS 4Nutz Biogas Feld-(a)'!N22</f>
        <v>576.48374999999999</v>
      </c>
      <c r="P12" s="1176">
        <f>'38)GS 4Nutz Biogas Feld-(a)'!O22</f>
        <v>461.18700000000007</v>
      </c>
      <c r="Q12" s="1176">
        <f>'38)GS 4Nutz Biogas Feld-(a)'!P22</f>
        <v>415.06829999999997</v>
      </c>
      <c r="R12" s="1747">
        <f>'38)GS 4Nutz Biogas Feld-(a)'!Q22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'38)GS 4Nutz Biogas Feld-(a)'!K23</f>
        <v>83.013659999999987</v>
      </c>
      <c r="N13" s="2065">
        <f>'38)GS 4Nutz Biogas Feld-(a)'!M23</f>
        <v>30.71505419999999</v>
      </c>
      <c r="O13" s="2065">
        <f>'38)GS 4Nutz Biogas Feld-(a)'!N23</f>
        <v>20.753414999999997</v>
      </c>
      <c r="P13" s="2065">
        <f>'38)GS 4Nutz Biogas Feld-(a)'!O23</f>
        <v>16.602732</v>
      </c>
      <c r="Q13" s="2065">
        <f>'38)GS 4Nutz Biogas Feld-(a)'!P23</f>
        <v>14.942458799999997</v>
      </c>
      <c r="R13" s="2067">
        <f>'38)GS 4Nutz Biogas Feld-(a)'!Q23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99.9</v>
      </c>
      <c r="O15" s="3340">
        <f t="shared" si="0"/>
        <v>67.5</v>
      </c>
      <c r="P15" s="3339">
        <f t="shared" si="0"/>
        <v>54</v>
      </c>
      <c r="Q15" s="3340">
        <f t="shared" si="0"/>
        <v>48.6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99.9</v>
      </c>
      <c r="O17" s="2065">
        <f t="shared" si="2"/>
        <v>67.5</v>
      </c>
      <c r="P17" s="3334">
        <f t="shared" si="2"/>
        <v>54</v>
      </c>
      <c r="Q17" s="2065">
        <f t="shared" si="2"/>
        <v>48.6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'38)GS 4Nutz Biogas Feld-(a)'!L32</f>
        <v>23.54</v>
      </c>
      <c r="N19" s="2071">
        <f>'38)GS 4Nutz Biogas Feld-(a)'!M32</f>
        <v>8.7097999999999995</v>
      </c>
      <c r="O19" s="2071">
        <f>'38)GS 4Nutz Biogas Feld-(a)'!N32</f>
        <v>5.8849999999999998</v>
      </c>
      <c r="P19" s="2071">
        <f>'38)GS 4Nutz Biogas Feld-(a)'!O32</f>
        <v>4.7079999999999993</v>
      </c>
      <c r="Q19" s="2071">
        <f>'38)GS 4Nutz Biogas Feld-(a)'!P32</f>
        <v>4.2371999999999996</v>
      </c>
      <c r="R19" s="2073">
        <f>'38)GS 4Nutz Biogas Feld-(a)'!Q32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'38)GS 4Nutz Biogas Feld-(a)'!L34</f>
        <v>93.186579499999993</v>
      </c>
      <c r="N20" s="285">
        <f>'38)GS 4Nutz Biogas Feld-(a)'!M34</f>
        <v>34.479034414999994</v>
      </c>
      <c r="O20" s="285">
        <f>'38)GS 4Nutz Biogas Feld-(a)'!N34</f>
        <v>23.296644874999998</v>
      </c>
      <c r="P20" s="285">
        <f>'38)GS 4Nutz Biogas Feld-(a)'!O34</f>
        <v>18.637315899999997</v>
      </c>
      <c r="Q20" s="285">
        <f>'38)GS 4Nutz Biogas Feld-(a)'!P34</f>
        <v>16.77358431</v>
      </c>
      <c r="R20" s="1574">
        <f>'38)GS 4Nutz Biogas Feld-(a)'!Q34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'38)GS 4Nutz Biogas Feld-(a)'!L40</f>
        <v>0</v>
      </c>
      <c r="N21" s="285">
        <f>'38)GS 4Nutz Biogas Feld-(a)'!M40</f>
        <v>0</v>
      </c>
      <c r="O21" s="285">
        <f>'38)GS 4Nutz Biogas Feld-(a)'!N40</f>
        <v>0</v>
      </c>
      <c r="P21" s="285">
        <f>'38)GS 4Nutz Biogas Feld-(a)'!O40</f>
        <v>0</v>
      </c>
      <c r="Q21" s="285">
        <f>'38)GS 4Nutz Biogas Feld-(a)'!P40</f>
        <v>0</v>
      </c>
      <c r="R21" s="1574">
        <f>'38)GS 4Nutz Biogas Feld-(a)'!Q40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'38)GS 4Nutz Biogas Feld-(a)'!L67</f>
        <v>0</v>
      </c>
      <c r="N23" s="285">
        <f>'38)GS 4Nutz Biogas Feld-(a)'!M67</f>
        <v>0</v>
      </c>
      <c r="O23" s="285">
        <f>'38)GS 4Nutz Biogas Feld-(a)'!N67</f>
        <v>0</v>
      </c>
      <c r="P23" s="285">
        <f>'38)GS 4Nutz Biogas Feld-(a)'!O67</f>
        <v>0</v>
      </c>
      <c r="Q23" s="285">
        <f>'38)GS 4Nutz Biogas Feld-(a)'!P67</f>
        <v>0</v>
      </c>
      <c r="R23" s="1574">
        <f>'38)GS 4Nutz Biogas Feld-(a)'!Q67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'38)GS 4Nutz Biogas Feld-(a)'!L43</f>
        <v>32.280306139199993</v>
      </c>
      <c r="N24" s="285">
        <f>'38)GS 4Nutz Biogas Feld-(a)'!M43</f>
        <v>10.795332238599997</v>
      </c>
      <c r="O24" s="285">
        <f>'38)GS 4Nutz Biogas Feld-(a)'!N43</f>
        <v>10.795332238599997</v>
      </c>
      <c r="P24" s="285">
        <f>'38)GS 4Nutz Biogas Feld-(a)'!O43</f>
        <v>5.3448208309999981</v>
      </c>
      <c r="Q24" s="285">
        <f>'38)GS 4Nutz Biogas Feld-(a)'!P43</f>
        <v>5.3448208309999981</v>
      </c>
      <c r="R24" s="1574">
        <f>'38)GS 4Nutz Biogas Feld-(a)'!Q43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'38)GS 4Nutz Biogas Feld-(a)'!L59</f>
        <v>105.49688299999997</v>
      </c>
      <c r="N25" s="285">
        <f>'38)GS 4Nutz Biogas Feld-(a)'!M59</f>
        <v>38.724446709999981</v>
      </c>
      <c r="O25" s="285">
        <f>'38)GS 4Nutz Biogas Feld-(a)'!N59</f>
        <v>26.374220749999992</v>
      </c>
      <c r="P25" s="285">
        <f>'38)GS 4Nutz Biogas Feld-(a)'!O59</f>
        <v>21.099376599999992</v>
      </c>
      <c r="Q25" s="285">
        <f>'38)GS 4Nutz Biogas Feld-(a)'!P59</f>
        <v>19.298838939999996</v>
      </c>
      <c r="R25" s="1574">
        <f>'38)GS 4Nutz Biogas Feld-(a)'!Q59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'38)GS 4Nutz Biogas Feld-(a)'!L64</f>
        <v>0</v>
      </c>
      <c r="N26" s="1979">
        <f>'38)GS 4Nutz Biogas Feld-(a)'!M64</f>
        <v>0</v>
      </c>
      <c r="O26" s="1979">
        <f>'38)GS 4Nutz Biogas Feld-(a)'!N64</f>
        <v>0</v>
      </c>
      <c r="P26" s="1979">
        <f>'38)GS 4Nutz Biogas Feld-(a)'!O64</f>
        <v>0</v>
      </c>
      <c r="Q26" s="1979">
        <f>'38)GS 4Nutz Biogas Feld-(a)'!P64</f>
        <v>0</v>
      </c>
      <c r="R26" s="1981">
        <f>'38)GS 4Nutz Biogas Feld-(a)'!Q64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254.50376863919996</v>
      </c>
      <c r="N27" s="2407">
        <f t="shared" si="4"/>
        <v>92.708613363599966</v>
      </c>
      <c r="O27" s="2407">
        <f t="shared" si="4"/>
        <v>66.351197863599992</v>
      </c>
      <c r="P27" s="2407">
        <f t="shared" si="4"/>
        <v>49.789513330999988</v>
      </c>
      <c r="Q27" s="2407">
        <f t="shared" si="4"/>
        <v>45.654444080999994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-254.50376863919996</v>
      </c>
      <c r="N28" s="1777">
        <f t="shared" si="5"/>
        <v>-92.708613363599966</v>
      </c>
      <c r="O28" s="1777">
        <f t="shared" si="5"/>
        <v>-66.351197863599992</v>
      </c>
      <c r="P28" s="1777">
        <f t="shared" si="5"/>
        <v>-49.789513330999988</v>
      </c>
      <c r="Q28" s="1777">
        <f t="shared" si="5"/>
        <v>-45.654444080999994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-0.1103690124132727</v>
      </c>
      <c r="N29" s="1874">
        <f t="shared" si="6"/>
        <v>-0.1086604001854439</v>
      </c>
      <c r="O29" s="1874">
        <f t="shared" si="6"/>
        <v>-0.11509638886369303</v>
      </c>
      <c r="P29" s="1874">
        <f t="shared" si="6"/>
        <v>-0.10795949003549532</v>
      </c>
      <c r="Q29" s="1874">
        <f t="shared" si="6"/>
        <v>-0.10999260623131181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99.9</v>
      </c>
      <c r="O30" s="2097">
        <f t="shared" si="7"/>
        <v>67.5</v>
      </c>
      <c r="P30" s="2097">
        <f t="shared" si="7"/>
        <v>54</v>
      </c>
      <c r="Q30" s="2097">
        <f t="shared" si="7"/>
        <v>48.6</v>
      </c>
      <c r="R30" s="1744">
        <f t="shared" si="7"/>
        <v>0</v>
      </c>
      <c r="T30" s="3297" t="s">
        <v>1216</v>
      </c>
      <c r="U30" s="3308">
        <f>'38)GS 4Nutz Biogas Feld-(a)'!L25</f>
        <v>0</v>
      </c>
      <c r="V30" s="3308">
        <f>'38)GS 4Nutz Biogas Feld-(a)'!M25</f>
        <v>0</v>
      </c>
      <c r="W30" s="3308">
        <f>'38)GS 4Nutz Biogas Feld-(a)'!N25</f>
        <v>0</v>
      </c>
      <c r="X30" s="3308">
        <f>'38)GS 4Nutz Biogas Feld-(a)'!O25</f>
        <v>0</v>
      </c>
      <c r="Y30" s="3308">
        <f>'38)GS 4Nutz Biogas Feld-(a)'!P25</f>
        <v>0</v>
      </c>
      <c r="Z30" s="3308">
        <f>'38)GS 4Nutz Biogas Feld-(a)'!Q25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M27*'38)GS 4Nutz Biogas Feld-(a)'!$L$72*'38)GS 4Nutz Biogas Feld-(a)'!$Q$72/12/100</f>
        <v>1.5906485539949997</v>
      </c>
      <c r="N31" s="1979">
        <f>N27*'38)GS 4Nutz Biogas Feld-(a)'!$L$72*'38)GS 4Nutz Biogas Feld-(a)'!$Q$72/12/100</f>
        <v>0.57942883352249985</v>
      </c>
      <c r="O31" s="1979">
        <f>O27*'38)GS 4Nutz Biogas Feld-(a)'!$L$72*'38)GS 4Nutz Biogas Feld-(a)'!$Q$72/12/100</f>
        <v>0.41469498664749999</v>
      </c>
      <c r="P31" s="1979">
        <f>P27*'38)GS 4Nutz Biogas Feld-(a)'!$L$72*'38)GS 4Nutz Biogas Feld-(a)'!$Q$72/12/100</f>
        <v>0.31118445831874991</v>
      </c>
      <c r="Q31" s="1979">
        <f>Q27*'38)GS 4Nutz Biogas Feld-(a)'!$L$72*'38)GS 4Nutz Biogas Feld-(a)'!$Q$72/12/100</f>
        <v>0.28534027550624996</v>
      </c>
      <c r="R31" s="1981">
        <f>R27*'38)GS 4Nutz Biogas Feld-(a)'!$L$72*'38)GS 4Nutz Biogas Feld-(a)'!$Q$72/12/100</f>
        <v>0</v>
      </c>
      <c r="T31" s="3297" t="s">
        <v>1215</v>
      </c>
      <c r="U31" s="3308">
        <f>'38)GS 4Nutz Biogas Feld-(a)'!L30</f>
        <v>270</v>
      </c>
      <c r="V31" s="3308">
        <f>'38)GS 4Nutz Biogas Feld-(a)'!M30</f>
        <v>99.9</v>
      </c>
      <c r="W31" s="3308">
        <f>'38)GS 4Nutz Biogas Feld-(a)'!N30</f>
        <v>67.5</v>
      </c>
      <c r="X31" s="3308">
        <f>'38)GS 4Nutz Biogas Feld-(a)'!O30</f>
        <v>54</v>
      </c>
      <c r="Y31" s="3308">
        <f>'38)GS 4Nutz Biogas Feld-(a)'!P30</f>
        <v>48.6</v>
      </c>
      <c r="Z31" s="3308">
        <f>'38)GS 4Nutz Biogas Feld-(a)'!Q30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13.90558280680504</v>
      </c>
      <c r="N32" s="1769">
        <f t="shared" si="8"/>
        <v>6.6119578028775399</v>
      </c>
      <c r="O32" s="1769">
        <f t="shared" si="8"/>
        <v>0.73410714975250757</v>
      </c>
      <c r="P32" s="1769">
        <f t="shared" si="8"/>
        <v>3.8993022106812623</v>
      </c>
      <c r="Q32" s="1769">
        <f t="shared" si="8"/>
        <v>2.6602156434937574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99.9</v>
      </c>
      <c r="W32" s="429">
        <f t="shared" si="9"/>
        <v>67.5</v>
      </c>
      <c r="X32" s="429">
        <f t="shared" si="9"/>
        <v>54</v>
      </c>
      <c r="Y32" s="429">
        <f t="shared" si="9"/>
        <v>48.6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6.0303446570718778E-3</v>
      </c>
      <c r="N33" s="1581">
        <f t="shared" si="10"/>
        <v>7.7496357113246272E-3</v>
      </c>
      <c r="O33" s="1581">
        <f t="shared" si="10"/>
        <v>1.2734221038364179E-3</v>
      </c>
      <c r="P33" s="1581">
        <f t="shared" si="10"/>
        <v>8.4549265497103378E-3</v>
      </c>
      <c r="Q33" s="1581">
        <f t="shared" si="10"/>
        <v>6.4091033776700309E-3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0.16750957380755219</v>
      </c>
      <c r="N34" s="2149">
        <f t="shared" si="11"/>
        <v>0.21526765864790634</v>
      </c>
      <c r="O34" s="2149">
        <f t="shared" si="11"/>
        <v>3.5372836217678283E-2</v>
      </c>
      <c r="P34" s="2149">
        <f t="shared" si="11"/>
        <v>0.2348590708252872</v>
      </c>
      <c r="Q34" s="2149">
        <f t="shared" si="11"/>
        <v>0.1780306493797231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'38)GS 4Nutz Biogas Feld-(a)'!K58</f>
        <v>3.6719999999999997</v>
      </c>
      <c r="N36" s="2397">
        <f>'38)GS 4Nutz Biogas Feld-(a)'!M58</f>
        <v>1.2509999999999999</v>
      </c>
      <c r="O36" s="2397">
        <f>'38)GS 4Nutz Biogas Feld-(a)'!N58</f>
        <v>1.2509999999999999</v>
      </c>
      <c r="P36" s="2397">
        <f>'38)GS 4Nutz Biogas Feld-(a)'!O58</f>
        <v>0.58499999999999996</v>
      </c>
      <c r="Q36" s="2397">
        <f>'38)GS 4Nutz Biogas Feld-(a)'!P58</f>
        <v>0.58499999999999996</v>
      </c>
      <c r="R36" s="2398">
        <f>'38)GS 4Nutz Biogas Feld-(a)'!Q58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'38)GS 4Nutz Biogas Feld-(a)'!K16</f>
        <v>0</v>
      </c>
      <c r="N37" s="2400">
        <f>'38)GS 4Nutz Biogas Feld-(a)'!M16</f>
        <v>0</v>
      </c>
      <c r="O37" s="2400">
        <f>'38)GS 4Nutz Biogas Feld-(a)'!N16</f>
        <v>0</v>
      </c>
      <c r="P37" s="2400">
        <f>'38)GS 4Nutz Biogas Feld-(a)'!O16</f>
        <v>0</v>
      </c>
      <c r="Q37" s="2400">
        <f>'38)GS 4Nutz Biogas Feld-(a)'!P16</f>
        <v>0</v>
      </c>
      <c r="R37" s="2401">
        <f>'38)GS 4Nutz Biogas Feld-(a)'!Q16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'38)GS 4Nutz Biogas Feld-(a)'!M78</f>
        <v>4.8591666666666669</v>
      </c>
      <c r="O38" s="1997">
        <f>'38)GS 4Nutz Biogas Feld-(a)'!N78</f>
        <v>4.8591666666666669</v>
      </c>
      <c r="P38" s="1997">
        <f>'38)GS 4Nutz Biogas Feld-(a)'!O78</f>
        <v>4.8591666666666669</v>
      </c>
      <c r="Q38" s="1997">
        <f>'38)GS 4Nutz Biogas Feld-(a)'!P78</f>
        <v>4.8591666666666669</v>
      </c>
      <c r="R38" s="1998">
        <f>'38)GS 4Nutz Biogas Feld-(a)'!Q78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64.259999999999991</v>
      </c>
      <c r="N39" s="285">
        <f t="shared" si="13"/>
        <v>21.892499999999998</v>
      </c>
      <c r="O39" s="285">
        <f t="shared" si="13"/>
        <v>21.892499999999998</v>
      </c>
      <c r="P39" s="285">
        <f t="shared" si="13"/>
        <v>10.237499999999999</v>
      </c>
      <c r="Q39" s="285">
        <f t="shared" si="13"/>
        <v>10.237499999999999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'Festk-Masch-Geb'!T44-'Festk-Masch-Geb'!T30-'Festk-Masch-Geb'!T31-'Festk-Masch-Geb'!T33-'Festk-Masch-Geb'!T36-'Festk-Masch-Geb'!T37</f>
        <v>276.07780892255897</v>
      </c>
      <c r="N41" s="285">
        <f>N$6/$M$6*$M$41</f>
        <v>102.14878930134682</v>
      </c>
      <c r="O41" s="285">
        <f>O$6/$M$6*$M$41</f>
        <v>69.019452230639743</v>
      </c>
      <c r="P41" s="285">
        <f>P$6/$M$6*$M$41</f>
        <v>55.215561784511799</v>
      </c>
      <c r="Q41" s="285">
        <f>Q$6/$M$6*$M$41</f>
        <v>49.694005606060614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25.537399999999998</v>
      </c>
      <c r="O42" s="285">
        <f>O$6/$M$6*$M$42</f>
        <v>17.254999999999999</v>
      </c>
      <c r="P42" s="285">
        <f>P$6/$M$6*$M$42</f>
        <v>13.804</v>
      </c>
      <c r="Q42" s="285">
        <f>Q$6/$M$6*$M$42</f>
        <v>12.423599999999999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47.656000000000006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23.184000000000001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538.15780892255896</v>
      </c>
      <c r="N45" s="1991">
        <f t="shared" si="14"/>
        <v>197.23468930134683</v>
      </c>
      <c r="O45" s="1991">
        <f t="shared" si="14"/>
        <v>140.36695223063975</v>
      </c>
      <c r="P45" s="1991">
        <f t="shared" si="14"/>
        <v>105.01706178451181</v>
      </c>
      <c r="Q45" s="1991">
        <f t="shared" si="14"/>
        <v>95.539105606060602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794.25222611575396</v>
      </c>
      <c r="N48" s="2127">
        <f t="shared" si="16"/>
        <v>290.52273149846928</v>
      </c>
      <c r="O48" s="2041">
        <f t="shared" si="16"/>
        <v>207.13284508088725</v>
      </c>
      <c r="P48" s="2041">
        <f t="shared" si="16"/>
        <v>155.11775957383054</v>
      </c>
      <c r="Q48" s="2041">
        <f t="shared" si="16"/>
        <v>141.47888996256685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-794.25222611575396</v>
      </c>
      <c r="N49" s="2125">
        <f t="shared" si="17"/>
        <v>-290.52273149846928</v>
      </c>
      <c r="O49" s="1772">
        <f t="shared" si="17"/>
        <v>-207.13284508088725</v>
      </c>
      <c r="P49" s="1772">
        <f t="shared" si="17"/>
        <v>-155.11775957383054</v>
      </c>
      <c r="Q49" s="1772">
        <f t="shared" si="17"/>
        <v>-141.47888996256685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-0.34443825438087111</v>
      </c>
      <c r="N50" s="2511">
        <f t="shared" si="18"/>
        <v>-0.34051114693930434</v>
      </c>
      <c r="O50" s="2168">
        <f t="shared" si="18"/>
        <v>-0.35930387470746095</v>
      </c>
      <c r="P50" s="2168">
        <f t="shared" si="18"/>
        <v>-0.33634460549371625</v>
      </c>
      <c r="Q50" s="2168">
        <f t="shared" si="18"/>
        <v>-0.34085689020955556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99.9</v>
      </c>
      <c r="O51" s="2185">
        <f t="shared" si="19"/>
        <v>67.5</v>
      </c>
      <c r="P51" s="2185">
        <f t="shared" si="19"/>
        <v>54</v>
      </c>
      <c r="Q51" s="2185">
        <f t="shared" si="19"/>
        <v>48.6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-524.25222611575396</v>
      </c>
      <c r="N52" s="2178">
        <f t="shared" si="20"/>
        <v>-190.62273149846928</v>
      </c>
      <c r="O52" s="2081">
        <f t="shared" si="20"/>
        <v>-139.63284508088725</v>
      </c>
      <c r="P52" s="2081">
        <f t="shared" si="20"/>
        <v>-101.11775957383054</v>
      </c>
      <c r="Q52" s="2081">
        <f t="shared" si="20"/>
        <v>-92.878889962566859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3325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-0.22734909098294356</v>
      </c>
      <c r="N53" s="2511">
        <f t="shared" si="21"/>
        <v>-0.22342198354137677</v>
      </c>
      <c r="O53" s="2168">
        <f t="shared" si="21"/>
        <v>-0.24221471130953345</v>
      </c>
      <c r="P53" s="2168">
        <f t="shared" si="21"/>
        <v>-0.21925544209578876</v>
      </c>
      <c r="Q53" s="2168">
        <f t="shared" si="21"/>
        <v>-0.22376772681162804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524.25222611575396</v>
      </c>
      <c r="N55" s="2038">
        <f t="shared" si="22"/>
        <v>190.62273149846928</v>
      </c>
      <c r="O55" s="2038">
        <f t="shared" si="22"/>
        <v>139.63284508088725</v>
      </c>
      <c r="P55" s="2038">
        <f t="shared" si="22"/>
        <v>101.11775957383054</v>
      </c>
      <c r="Q55" s="2038">
        <f t="shared" si="22"/>
        <v>92.878889962566859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>IF(M8=0,0,M$55/M8)</f>
        <v>2.1460617443334957</v>
      </c>
      <c r="N56" s="2103">
        <f>IF(N8=0,0,N$55/N8)</f>
        <v>2.1089918136388257</v>
      </c>
      <c r="O56" s="2103">
        <f>IF(O8=0,0,O$55/O8)</f>
        <v>2.2863857674063408</v>
      </c>
      <c r="P56" s="2103">
        <f>IF(P8=0,0,P$55/P8)</f>
        <v>2.0696617456631978</v>
      </c>
      <c r="Q56" s="2103">
        <f>IF(Q8=0,0,Q$55/Q8)</f>
        <v>2.1122554572383625</v>
      </c>
      <c r="R56" s="2104">
        <f>IF(R10=0,0,R$55/R10)</f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6.5931236385053644</v>
      </c>
      <c r="N57" s="3427">
        <f>IF($N$7=0,0,N$55/$N$9)</f>
        <v>6.4792375226999264</v>
      </c>
      <c r="O57" s="3427">
        <f>IF($O$7=0,0,O$55/$O$9)</f>
        <v>7.0242266279764696</v>
      </c>
      <c r="P57" s="3427">
        <f>IF($P$7=0,0,P$55/$P$9)</f>
        <v>6.3584078207778738</v>
      </c>
      <c r="Q57" s="3427">
        <f>IF($Q$7=0,0,Q$55/$Q$9)</f>
        <v>6.4892640775372126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4">IF(M11=0,0,M$55/M11)</f>
        <v>14.636734477481907</v>
      </c>
      <c r="N58" s="2134">
        <f t="shared" si="24"/>
        <v>14.383907300393837</v>
      </c>
      <c r="O58" s="2134">
        <f t="shared" si="24"/>
        <v>15.593783114107763</v>
      </c>
      <c r="P58" s="2134">
        <f t="shared" si="24"/>
        <v>14.11566536212688</v>
      </c>
      <c r="Q58" s="2134">
        <f t="shared" si="24"/>
        <v>14.406166252132611</v>
      </c>
      <c r="R58" s="2135">
        <f t="shared" si="24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4"/>
        <v>0.22734909098294356</v>
      </c>
      <c r="N59" s="2136">
        <f t="shared" si="24"/>
        <v>0.22342198354137677</v>
      </c>
      <c r="O59" s="2136">
        <f t="shared" si="24"/>
        <v>0.24221471130953345</v>
      </c>
      <c r="P59" s="2136">
        <f t="shared" si="24"/>
        <v>0.21925544209578876</v>
      </c>
      <c r="Q59" s="2136">
        <f t="shared" si="24"/>
        <v>0.22376772681162804</v>
      </c>
      <c r="R59" s="2137">
        <f t="shared" si="24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5">M59/$F$60*10</f>
        <v>6.3152525273039883E-2</v>
      </c>
      <c r="N60" s="2136">
        <f t="shared" si="25"/>
        <v>6.2061662094826879E-2</v>
      </c>
      <c r="O60" s="2136">
        <f t="shared" si="25"/>
        <v>6.7281864252648177E-2</v>
      </c>
      <c r="P60" s="2136">
        <f t="shared" si="25"/>
        <v>6.0904289471052434E-2</v>
      </c>
      <c r="Q60" s="2136">
        <f t="shared" si="25"/>
        <v>6.2157701892118902E-2</v>
      </c>
      <c r="R60" s="2137">
        <f t="shared" si="25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6">IF(M13=0,0,M$55/M13)</f>
        <v>6.315252527303989</v>
      </c>
      <c r="N62" s="2513">
        <f t="shared" si="26"/>
        <v>6.2061662094826886</v>
      </c>
      <c r="O62" s="2513">
        <f t="shared" si="26"/>
        <v>6.7281864252648189</v>
      </c>
      <c r="P62" s="2513">
        <f t="shared" si="26"/>
        <v>6.0904289471052442</v>
      </c>
      <c r="Q62" s="2513">
        <f t="shared" si="26"/>
        <v>6.2157701892118906</v>
      </c>
      <c r="R62" s="2514">
        <f t="shared" si="26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7">M55-M40</f>
        <v>524.25222611575396</v>
      </c>
      <c r="N63" s="1769">
        <f t="shared" si="27"/>
        <v>190.62273149846928</v>
      </c>
      <c r="O63" s="1769">
        <f t="shared" si="27"/>
        <v>139.63284508088725</v>
      </c>
      <c r="P63" s="1769">
        <f t="shared" si="27"/>
        <v>101.11775957383054</v>
      </c>
      <c r="Q63" s="1769">
        <f t="shared" si="27"/>
        <v>92.878889962566859</v>
      </c>
      <c r="R63" s="1776">
        <f t="shared" si="27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6.5931236385053644</v>
      </c>
      <c r="N64" s="3427">
        <f>IF($N$7=0,0,N$63/$N$9)</f>
        <v>6.4792375226999264</v>
      </c>
      <c r="O64" s="3427">
        <f>IF($O$7=0,0,O$63/$O$9)</f>
        <v>7.0242266279764696</v>
      </c>
      <c r="P64" s="3427">
        <f>IF($P$7=0,0,P$63/$P$9)</f>
        <v>6.3584078207778738</v>
      </c>
      <c r="Q64" s="3427">
        <f>IF($Q$7=0,0,Q$63/$Q$9)</f>
        <v>6.4892640775372126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8">IF(M12=0,0,M$63/M12)</f>
        <v>0.22734909098294356</v>
      </c>
      <c r="N65" s="2169">
        <f t="shared" si="28"/>
        <v>0.22342198354137677</v>
      </c>
      <c r="O65" s="2169">
        <f t="shared" si="28"/>
        <v>0.24221471130953345</v>
      </c>
      <c r="P65" s="2169">
        <f t="shared" si="28"/>
        <v>0.21925544209578876</v>
      </c>
      <c r="Q65" s="2169">
        <f t="shared" si="28"/>
        <v>0.22376772681162804</v>
      </c>
      <c r="R65" s="2172">
        <f t="shared" si="28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6.3152525273039883E-2</v>
      </c>
      <c r="N66" s="2169">
        <f>N63/N12*10/$F$60</f>
        <v>6.2061662094826886E-2</v>
      </c>
      <c r="O66" s="2169">
        <f>O63/O12*10/$F$60</f>
        <v>6.7281864252648191E-2</v>
      </c>
      <c r="P66" s="2169">
        <f>P63/P12*10/$F$60</f>
        <v>6.0904289471052434E-2</v>
      </c>
      <c r="Q66" s="2169">
        <f>IF(Q12=0,0,Q63/Q12*10/$F$60)</f>
        <v>6.2157701892118902E-2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29">IF(M13=0,0,M$63/M13)</f>
        <v>6.315252527303989</v>
      </c>
      <c r="N67" s="2171">
        <f t="shared" si="29"/>
        <v>6.2061662094826886</v>
      </c>
      <c r="O67" s="2171">
        <f t="shared" si="29"/>
        <v>6.7281864252648189</v>
      </c>
      <c r="P67" s="2171">
        <f t="shared" si="29"/>
        <v>6.0904289471052442</v>
      </c>
      <c r="Q67" s="2171">
        <f t="shared" si="29"/>
        <v>6.2157701892118906</v>
      </c>
      <c r="R67" s="2173">
        <f t="shared" si="29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f>C67+1</f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0">M19+M20+M21+M22+M23+M31</f>
        <v>118.31722805399498</v>
      </c>
      <c r="N69" s="1772">
        <f t="shared" si="30"/>
        <v>43.768263248522494</v>
      </c>
      <c r="O69" s="1772">
        <f t="shared" si="30"/>
        <v>29.596339861647497</v>
      </c>
      <c r="P69" s="1772">
        <f t="shared" si="30"/>
        <v>23.656500358318745</v>
      </c>
      <c r="Q69" s="1772">
        <f t="shared" si="30"/>
        <v>21.296124585506249</v>
      </c>
      <c r="R69" s="1773">
        <f t="shared" si="30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>C69+1</f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1">IF(M69=0,0,M69/M12)</f>
        <v>5.1309871290385452E-2</v>
      </c>
      <c r="N70" s="2031">
        <f t="shared" si="31"/>
        <v>5.1299192463961536E-2</v>
      </c>
      <c r="O70" s="2031">
        <f t="shared" si="31"/>
        <v>5.1339417393200582E-2</v>
      </c>
      <c r="P70" s="2031">
        <f t="shared" si="31"/>
        <v>5.1294811775524335E-2</v>
      </c>
      <c r="Q70" s="2031">
        <f t="shared" si="31"/>
        <v>5.1307518751748209E-2</v>
      </c>
      <c r="R70" s="2032">
        <f t="shared" si="31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>C70+1</f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2">M24+M25+M26+M41+M39</f>
        <v>478.11499806175891</v>
      </c>
      <c r="N71" s="1769">
        <f t="shared" si="32"/>
        <v>173.5610682499468</v>
      </c>
      <c r="O71" s="1769">
        <f t="shared" si="32"/>
        <v>128.08150521923972</v>
      </c>
      <c r="P71" s="1769">
        <f t="shared" si="32"/>
        <v>91.897259215511795</v>
      </c>
      <c r="Q71" s="1769">
        <f t="shared" si="32"/>
        <v>84.5751653770606</v>
      </c>
      <c r="R71" s="1776">
        <f t="shared" si="32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>C71+1</f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3">IF(M71=0,0,M71/M12)</f>
        <v>0.20734105604093736</v>
      </c>
      <c r="N72" s="2168">
        <f t="shared" si="33"/>
        <v>0.20342462742579456</v>
      </c>
      <c r="O72" s="2168">
        <f t="shared" si="33"/>
        <v>0.22217713026471209</v>
      </c>
      <c r="P72" s="2168">
        <f t="shared" si="33"/>
        <v>0.1992624666686437</v>
      </c>
      <c r="Q72" s="2168">
        <f t="shared" si="33"/>
        <v>0.2037620444082591</v>
      </c>
      <c r="R72" s="2187">
        <f t="shared" si="33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55:B72"/>
    <mergeCell ref="B47:B53"/>
    <mergeCell ref="B28:B34"/>
    <mergeCell ref="B36:B45"/>
    <mergeCell ref="F3:G3"/>
    <mergeCell ref="D19:D23"/>
    <mergeCell ref="B3:B5"/>
    <mergeCell ref="B19:B27"/>
    <mergeCell ref="D24:D26"/>
    <mergeCell ref="B1:H1"/>
    <mergeCell ref="L1:N1"/>
    <mergeCell ref="O1:R1"/>
    <mergeCell ref="D32:K32"/>
    <mergeCell ref="B6:B13"/>
    <mergeCell ref="D28:K28"/>
    <mergeCell ref="I3:R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2" firstPageNumber="15" orientation="portrait" horizontalDpi="300" verticalDpi="300" r:id="rId1"/>
  <headerFooter alignWithMargins="0">
    <oddFooter>&amp;L&amp;12LEL Schwäbisch Gmünd (Abtlg. II)
LAZBW Aulendorf&amp;C&amp;12 95&amp;9
&amp;R&amp;12&amp;F
&amp;A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1">
    <tabColor rgb="FF00B050"/>
  </sheetPr>
  <dimension ref="A1:AS83"/>
  <sheetViews>
    <sheetView showGridLines="0" showZeros="0" topLeftCell="B1" zoomScaleNormal="100" workbookViewId="0">
      <pane xSplit="11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M52" sqref="M52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689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2" t="s">
        <v>1389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 t="str">
        <f>VLOOKUP($Y$5,$S$4:$T$9,2)</f>
        <v>Silage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90</v>
      </c>
      <c r="L6" s="1676"/>
      <c r="M6" s="520">
        <f>$K$6*M7/100</f>
        <v>33.299999999999997</v>
      </c>
      <c r="N6" s="521">
        <f>$K$6*N7/100</f>
        <v>22.5</v>
      </c>
      <c r="O6" s="521">
        <f>$K$6*O7/100</f>
        <v>18</v>
      </c>
      <c r="P6" s="521">
        <f>$K$6*P7/100</f>
        <v>16.2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37</v>
      </c>
      <c r="N7" s="466">
        <v>25</v>
      </c>
      <c r="O7" s="466">
        <v>20</v>
      </c>
      <c r="P7" s="466">
        <v>18</v>
      </c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6.9999999999999991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35.000000000000007</v>
      </c>
      <c r="L10" s="2605"/>
      <c r="M10" s="412">
        <v>35</v>
      </c>
      <c r="N10" s="412">
        <v>35</v>
      </c>
      <c r="O10" s="412">
        <v>35</v>
      </c>
      <c r="P10" s="412">
        <v>35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37.000000000000007</v>
      </c>
      <c r="L11" s="1682"/>
      <c r="M11" s="2520">
        <v>37</v>
      </c>
      <c r="N11" s="413">
        <v>37</v>
      </c>
      <c r="O11" s="413">
        <v>37</v>
      </c>
      <c r="P11" s="413">
        <v>37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6.0000000000000009</v>
      </c>
      <c r="L12" s="1679"/>
      <c r="M12" s="881">
        <v>6</v>
      </c>
      <c r="N12" s="881">
        <v>6</v>
      </c>
      <c r="O12" s="881">
        <v>6</v>
      </c>
      <c r="P12" s="881">
        <v>6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85.499999999999986</v>
      </c>
      <c r="L14" s="1684"/>
      <c r="M14" s="251">
        <f>M6*(100-M8)/100</f>
        <v>31.634999999999994</v>
      </c>
      <c r="N14" s="252">
        <f>N6*(100-N8)/100</f>
        <v>21.375</v>
      </c>
      <c r="O14" s="252">
        <f>O6*(100-O8)/100</f>
        <v>17.100000000000001</v>
      </c>
      <c r="P14" s="252">
        <f>P6*(100-P8)/100</f>
        <v>15.39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577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244.28571428571428</v>
      </c>
      <c r="L15" s="1684"/>
      <c r="M15" s="251">
        <f>IF(M10=0,0,M14/M10*100)</f>
        <v>90.385714285714272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43.971428571428575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579" t="s">
        <v>436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 t="shared" si="0"/>
        <v>40.714285714285715</v>
      </c>
      <c r="L16" s="4311"/>
      <c r="M16" s="2419">
        <f>IF(S16=FALSE,0,IF(M12=0,0,M15/M12))</f>
        <v>15.064285714285711</v>
      </c>
      <c r="N16" s="2420">
        <f>IF(S16=FALSE,0,IF(N12=0,0,N15/N12))</f>
        <v>10.178571428571429</v>
      </c>
      <c r="O16" s="2420">
        <f>IF(S16=FALSE,0,IF(O12=0,0,O15/O12))</f>
        <v>8.1428571428571441</v>
      </c>
      <c r="P16" s="2420">
        <f>IF(S16=FALSE,0,IF(P12=0,0,P15/P12))</f>
        <v>7.3285714285714292</v>
      </c>
      <c r="Q16" s="2421">
        <f>IF(S16=FALSE,0,IF(Q12=0,0,1/Q12*Q15))</f>
        <v>0</v>
      </c>
      <c r="R16" s="539"/>
      <c r="S16" s="2633" t="b">
        <v>1</v>
      </c>
      <c r="T16" s="608"/>
      <c r="U16" s="608"/>
      <c r="V16" s="608"/>
      <c r="W16" s="608"/>
      <c r="X16" s="608"/>
      <c r="Y16"/>
      <c r="Z16" s="608"/>
      <c r="AA16" s="2579" t="s">
        <v>437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79.514999999999986</v>
      </c>
      <c r="L17" s="1686"/>
      <c r="M17" s="251">
        <f>M14*(100-M9)/100</f>
        <v>29.420549999999995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14.3127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2579" t="s">
        <v>438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214.90540540540539</v>
      </c>
      <c r="L18" s="1686"/>
      <c r="M18" s="251">
        <f>IF(M11=0,0,M17/M11*100)</f>
        <v>79.514999999999986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38.682972972972976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13.252499999999998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6.4471621621621624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29.000000000000004</v>
      </c>
      <c r="L20" s="1689"/>
      <c r="M20" s="312">
        <v>29</v>
      </c>
      <c r="N20" s="313">
        <v>29</v>
      </c>
      <c r="O20" s="313">
        <v>29</v>
      </c>
      <c r="P20" s="313">
        <v>29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1.044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1.0439999999999998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2305.9349999999999</v>
      </c>
      <c r="L22" s="1690"/>
      <c r="M22" s="446">
        <f t="shared" ref="M22:Q23" si="1">M$17*M20</f>
        <v>853.19594999999981</v>
      </c>
      <c r="N22" s="448">
        <f t="shared" si="1"/>
        <v>576.48374999999999</v>
      </c>
      <c r="O22" s="448">
        <f t="shared" si="1"/>
        <v>461.18700000000007</v>
      </c>
      <c r="P22" s="448">
        <f t="shared" si="1"/>
        <v>415.06829999999997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83.013659999999987</v>
      </c>
      <c r="L23" s="1691"/>
      <c r="M23" s="447">
        <f t="shared" si="1"/>
        <v>30.71505419999999</v>
      </c>
      <c r="N23" s="449">
        <f t="shared" si="1"/>
        <v>20.753414999999997</v>
      </c>
      <c r="O23" s="449">
        <f t="shared" si="1"/>
        <v>16.602732</v>
      </c>
      <c r="P23" s="449">
        <f t="shared" si="1"/>
        <v>14.942458799999997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194"/>
      <c r="C24" s="231"/>
      <c r="D24" s="323" t="s">
        <v>912</v>
      </c>
      <c r="E24" s="2586"/>
      <c r="F24" s="2587"/>
      <c r="G24" s="323"/>
      <c r="H24" s="2588"/>
      <c r="I24" s="2589"/>
      <c r="J24" s="2634" t="str">
        <f>"Güllewert bei Güllerücknahme zu "&amp;K24*100&amp;"%"</f>
        <v>Güllewert bei Güllerücknahme zu 100%</v>
      </c>
      <c r="K24" s="3182">
        <v>1</v>
      </c>
      <c r="L24" s="1693">
        <f>K24*(L36*(1-$AC$14)+L37*(1-$AC$15)+L38*(1-$AC$16)+L39*(1-$AC$17))</f>
        <v>609.6623271666665</v>
      </c>
      <c r="M24" s="2603">
        <f>M14/$K$14*$L$24</f>
        <v>225.57506105166661</v>
      </c>
      <c r="N24" s="2604">
        <f>N14/$K$14*$L$24</f>
        <v>152.41558179166665</v>
      </c>
      <c r="O24" s="2604">
        <f>O14/$K$14*$L$24</f>
        <v>121.93246543333332</v>
      </c>
      <c r="P24" s="2604">
        <f>P14/$K$14*$L$24</f>
        <v>109.73921889</v>
      </c>
      <c r="Q24" s="45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69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99.9</v>
      </c>
      <c r="N30" s="254">
        <f>$L30*N7/100</f>
        <v>67.5</v>
      </c>
      <c r="O30" s="254">
        <f>$L30*O7/100</f>
        <v>54</v>
      </c>
      <c r="P30" s="254">
        <f>$L30*P7/100</f>
        <v>48.6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8.7097999999999995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4.2371999999999996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610€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93.186579499999993</v>
      </c>
      <c r="M34" s="460">
        <f>$L34*M$7/100</f>
        <v>34.479034414999994</v>
      </c>
      <c r="N34" s="461">
        <f>$L34*N$7/100</f>
        <v>23.296644874999998</v>
      </c>
      <c r="O34" s="461">
        <f>$L34*O$7/100</f>
        <v>18.637315899999997</v>
      </c>
      <c r="P34" s="461">
        <f>$L34*P$7/100</f>
        <v>16.77358431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2.7</v>
      </c>
      <c r="I36" s="117">
        <v>-50</v>
      </c>
      <c r="J36" s="159"/>
      <c r="K36" s="1703">
        <f>H36*$K$14+I36</f>
        <v>180.84999999999997</v>
      </c>
      <c r="L36" s="1704">
        <f>K36*$F36</f>
        <v>310.62193166666663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85.499999999999986</v>
      </c>
      <c r="L37" s="1704">
        <f>K37*$F37</f>
        <v>96.657749999999965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256.49999999999994</v>
      </c>
      <c r="L38" s="1704">
        <f>K38*$F38</f>
        <v>269.6242499999999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0.51</v>
      </c>
      <c r="I39" s="120"/>
      <c r="J39" s="161"/>
      <c r="K39" s="1705">
        <f>H39*$K$14+I39</f>
        <v>43.604999999999997</v>
      </c>
      <c r="L39" s="1706">
        <f>K39*$F39</f>
        <v>25.944974999999996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300.69470256652465</v>
      </c>
      <c r="M43" s="484">
        <f>SUM(Z46:Z56)</f>
        <v>99.145662171670125</v>
      </c>
      <c r="N43" s="484">
        <f>SUM(AA46:AA56)</f>
        <v>82.187719079431162</v>
      </c>
      <c r="O43" s="484">
        <f>SUM(AB46:AB56)</f>
        <v>61.093822582064938</v>
      </c>
      <c r="P43" s="484">
        <f>SUM(AC46:AC56)</f>
        <v>58.267498733358444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5">IF(M46&lt;&gt;0,M46*$H46,0)</f>
        <v>0.20499999999999999</v>
      </c>
      <c r="U46" s="479">
        <f t="shared" ref="U46:U56" si="6">IF(N46&lt;&gt;0,N46*$H46,0)</f>
        <v>0.20499999999999999</v>
      </c>
      <c r="V46" s="479">
        <f t="shared" ref="V46:V56" si="7">IF(O46&lt;&gt;0,O46*$H46,0)</f>
        <v>0.20499999999999999</v>
      </c>
      <c r="W46" s="479">
        <f t="shared" ref="W46:W56" si="8">IF(P46&lt;&gt;0,P46*$H46,0)</f>
        <v>0.20499999999999999</v>
      </c>
      <c r="X46" s="480">
        <f t="shared" ref="X46:X56" si="9">IF(Q46&lt;&gt;0,Q46*$H46,0)</f>
        <v>0</v>
      </c>
      <c r="Y46"/>
      <c r="Z46" s="478">
        <f t="shared" ref="Z46:Z56" si="10">IF(M46&lt;&gt;0,M46*$I46,0)</f>
        <v>2.9804792933999988</v>
      </c>
      <c r="AA46" s="479">
        <f t="shared" ref="AA46:AA56" si="11">IF(N46&lt;&gt;0,N46*$I46,0)</f>
        <v>2.9804792933999988</v>
      </c>
      <c r="AB46" s="479">
        <f t="shared" ref="AB46:AB56" si="12">IF(O46&lt;&gt;0,O46*$I46,0)</f>
        <v>2.9804792933999988</v>
      </c>
      <c r="AC46" s="479">
        <f t="shared" ref="AC46:AC56" si="13">IF(P46&lt;&gt;0,P46*$I46,0)</f>
        <v>2.9804792933999988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5"/>
        <v>0.12</v>
      </c>
      <c r="U47" s="479">
        <f t="shared" si="6"/>
        <v>0.12</v>
      </c>
      <c r="V47" s="479">
        <f t="shared" si="7"/>
        <v>0.12</v>
      </c>
      <c r="W47" s="479">
        <f t="shared" si="8"/>
        <v>0.12</v>
      </c>
      <c r="X47" s="480">
        <f t="shared" si="9"/>
        <v>0</v>
      </c>
      <c r="Y47"/>
      <c r="Z47" s="478">
        <f t="shared" si="10"/>
        <v>2.3643415375999997</v>
      </c>
      <c r="AA47" s="479">
        <f t="shared" si="11"/>
        <v>2.3643415375999997</v>
      </c>
      <c r="AB47" s="479">
        <f t="shared" si="12"/>
        <v>2.3643415375999997</v>
      </c>
      <c r="AC47" s="479">
        <f t="shared" si="13"/>
        <v>2.3643415375999997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 t="str">
        <f>IF($B49=0,0,VLOOKUP($B49,Arbeitsgänge!$B$27:$O$75,2))</f>
        <v>Mähkomb. Heck/Front (6,2 m insg.)</v>
      </c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4</v>
      </c>
      <c r="K49" s="1651">
        <f t="shared" si="3"/>
        <v>1.2</v>
      </c>
      <c r="L49" s="1704">
        <f t="shared" si="4"/>
        <v>74.366577599999999</v>
      </c>
      <c r="M49" s="317">
        <v>1</v>
      </c>
      <c r="N49" s="318">
        <v>1</v>
      </c>
      <c r="O49" s="318">
        <v>1</v>
      </c>
      <c r="P49" s="318">
        <v>1</v>
      </c>
      <c r="Q49" s="319"/>
      <c r="R49" s="542"/>
      <c r="S49" s="542"/>
      <c r="T49" s="478">
        <f t="shared" si="5"/>
        <v>0.3</v>
      </c>
      <c r="U49" s="479">
        <f t="shared" si="6"/>
        <v>0.3</v>
      </c>
      <c r="V49" s="479">
        <f t="shared" si="7"/>
        <v>0.3</v>
      </c>
      <c r="W49" s="479">
        <f t="shared" si="8"/>
        <v>0.3</v>
      </c>
      <c r="X49" s="480">
        <f t="shared" si="9"/>
        <v>0</v>
      </c>
      <c r="Y49"/>
      <c r="Z49" s="478">
        <f t="shared" si="10"/>
        <v>18.5916444</v>
      </c>
      <c r="AA49" s="479">
        <f t="shared" si="11"/>
        <v>18.5916444</v>
      </c>
      <c r="AB49" s="479">
        <f t="shared" si="12"/>
        <v>18.5916444</v>
      </c>
      <c r="AC49" s="479">
        <f t="shared" si="13"/>
        <v>18.5916444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 t="str">
        <f>IF($B50=0,0,VLOOKUP($B50,Arbeitsgänge!$B$27:$O$75,2))</f>
        <v>Kreiselwender 5,5 m</v>
      </c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2</v>
      </c>
      <c r="K50" s="1651">
        <f t="shared" si="3"/>
        <v>0.7</v>
      </c>
      <c r="L50" s="1704">
        <f t="shared" si="4"/>
        <v>17.155150935999998</v>
      </c>
      <c r="M50" s="317">
        <v>1</v>
      </c>
      <c r="N50" s="318">
        <v>1</v>
      </c>
      <c r="O50" s="318"/>
      <c r="P50" s="318"/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 t="str">
        <f>IF($B51=0,0,VLOOKUP($B51,Arbeitsgänge!$B$27:$O$75,2))</f>
        <v>Kreiselschwader: 7,5 m Seitenablage</v>
      </c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4</v>
      </c>
      <c r="K51" s="1651">
        <f t="shared" si="3"/>
        <v>1.04</v>
      </c>
      <c r="L51" s="1704">
        <f t="shared" si="4"/>
        <v>35.576475456000004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0.26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8.8941188640000011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24</v>
      </c>
      <c r="C52" s="104"/>
      <c r="D52" s="137" t="str">
        <f>IF($B52=0,0,VLOOKUP($B52,Arbeitsgänge!$B$27:$O$75,2))</f>
        <v>Grassilotransp Anwelkgut 3S-Kipper (10t Nutzl.) 7,7 t FM/ha</v>
      </c>
      <c r="E52" s="8"/>
      <c r="F52" s="8"/>
      <c r="G52" s="468" t="str">
        <f>IF($B52=0,0,VLOOKUP($B52,Arbeitsgänge!$B$27:$T$80,7))</f>
        <v>102 kW</v>
      </c>
      <c r="H52" s="507">
        <f>IF($B52=0,0,VLOOKUP($B52,Arbeitsgänge!$B$27:$O$79,12))</f>
        <v>0.66</v>
      </c>
      <c r="I52" s="469">
        <f>IF($B52=0,0,VLOOKUP($B52,Arbeitsgänge!$B$27:$T$80,14))</f>
        <v>23.779723352000001</v>
      </c>
      <c r="J52" s="593">
        <f t="shared" si="2"/>
        <v>3.1725417439703154</v>
      </c>
      <c r="K52" s="1651">
        <f t="shared" si="3"/>
        <v>2.0938775510204084</v>
      </c>
      <c r="L52" s="1704">
        <f t="shared" si="4"/>
        <v>75.442164994285719</v>
      </c>
      <c r="M52" s="317">
        <f>M15/77</f>
        <v>1.1738404452690165</v>
      </c>
      <c r="N52" s="318">
        <f>N15/77</f>
        <v>0.79313543599257896</v>
      </c>
      <c r="O52" s="318">
        <f>O15/77</f>
        <v>0.63450834879406315</v>
      </c>
      <c r="P52" s="318">
        <f>P15/77</f>
        <v>0.57105751391465687</v>
      </c>
      <c r="Q52" s="319">
        <f>Q15/77</f>
        <v>0</v>
      </c>
      <c r="R52" s="542"/>
      <c r="S52" s="542"/>
      <c r="T52" s="478">
        <f t="shared" si="5"/>
        <v>0.77473469387755101</v>
      </c>
      <c r="U52" s="479">
        <f t="shared" si="6"/>
        <v>0.5234693877551021</v>
      </c>
      <c r="V52" s="479">
        <f t="shared" si="7"/>
        <v>0.41877551020408171</v>
      </c>
      <c r="W52" s="479">
        <f t="shared" si="8"/>
        <v>0.37689795918367353</v>
      </c>
      <c r="X52" s="480">
        <f t="shared" si="9"/>
        <v>0</v>
      </c>
      <c r="Y52"/>
      <c r="Z52" s="478">
        <f t="shared" si="10"/>
        <v>27.913601047885713</v>
      </c>
      <c r="AA52" s="479">
        <f t="shared" si="11"/>
        <v>18.860541248571433</v>
      </c>
      <c r="AB52" s="479">
        <f t="shared" si="12"/>
        <v>15.088432998857146</v>
      </c>
      <c r="AC52" s="479">
        <f t="shared" si="13"/>
        <v>13.579589698971432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 t="str">
        <f>IF($B53=0,0,VLOOKUP($B53,Arbeitsgänge!$B$27:$O$75,2))</f>
        <v>Grassilo festwalzen 7,7 t FM/ha mit Schlepper</v>
      </c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3.1725417439703154</v>
      </c>
      <c r="K53" s="1651">
        <f t="shared" si="3"/>
        <v>2.5380333951762526</v>
      </c>
      <c r="L53" s="1704">
        <f t="shared" si="4"/>
        <v>65.874027441038962</v>
      </c>
      <c r="M53" s="317">
        <f>M15/77</f>
        <v>1.1738404452690165</v>
      </c>
      <c r="N53" s="318">
        <f>N15/77</f>
        <v>0.79313543599257896</v>
      </c>
      <c r="O53" s="318">
        <f>O15/77</f>
        <v>0.63450834879406315</v>
      </c>
      <c r="P53" s="318">
        <f>P15/77</f>
        <v>0.57105751391465687</v>
      </c>
      <c r="Q53" s="319">
        <f>Q15/77</f>
        <v>0</v>
      </c>
      <c r="R53" s="542"/>
      <c r="S53" s="542"/>
      <c r="T53" s="478">
        <f t="shared" si="5"/>
        <v>0.93907235621521323</v>
      </c>
      <c r="U53" s="479">
        <f t="shared" si="6"/>
        <v>0.63450834879406326</v>
      </c>
      <c r="V53" s="479">
        <f t="shared" si="7"/>
        <v>0.50760667903525059</v>
      </c>
      <c r="W53" s="479">
        <f t="shared" si="8"/>
        <v>0.45684601113172552</v>
      </c>
      <c r="X53" s="480">
        <f t="shared" si="9"/>
        <v>0</v>
      </c>
      <c r="Y53"/>
      <c r="Z53" s="478">
        <f t="shared" si="10"/>
        <v>24.373390153184413</v>
      </c>
      <c r="AA53" s="479">
        <f t="shared" si="11"/>
        <v>16.468506860259744</v>
      </c>
      <c r="AB53" s="479">
        <f t="shared" si="12"/>
        <v>13.174805488207793</v>
      </c>
      <c r="AC53" s="479">
        <f t="shared" si="13"/>
        <v>11.857324939387015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50</v>
      </c>
      <c r="C54" s="104"/>
      <c r="D54" s="137" t="str">
        <f>IF($B54=0,0,VLOOKUP($B54,Arbeitsgänge!$B$27:$O$75,2))</f>
        <v>Betreuung Portionsweide pauschal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 t="str">
        <f>IF($B55=0,0,VLOOKUP($B55,Arbeitsgänge!$B$27:$O$75,2))</f>
        <v>Betreuung Portionsweide pauschal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 t="str">
        <f>IF($B56=0,0,VLOOKUP($B56,Arbeitsgänge!$B$27:$O$75,2))</f>
        <v>Betreuung Portionsweide pauschal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9.6119109461966605</v>
      </c>
      <c r="L57" s="1716"/>
      <c r="M57" s="278">
        <f>SUM(T46:T56)</f>
        <v>3.3188070500927642</v>
      </c>
      <c r="N57" s="508">
        <f>SUM(U46:U56)</f>
        <v>2.762977736549165</v>
      </c>
      <c r="O57" s="508">
        <f>SUM(V46:V56)</f>
        <v>1.8113821892393323</v>
      </c>
      <c r="P57" s="508">
        <f>SUM(W46:W56)</f>
        <v>1.7187439703153991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17.301439703153989</v>
      </c>
      <c r="L58" s="1718"/>
      <c r="M58" s="270">
        <f>IF(M57+(M57*$G$58/100)&gt;M57+10,M57+10,M57+(M57*$G$58/100))</f>
        <v>5.973852690166976</v>
      </c>
      <c r="N58" s="509">
        <f>IF(N57+(N57*$G$58/100)&gt;N57+10,N57+10,N57+(N57*$G$58/100))</f>
        <v>4.9733599257884968</v>
      </c>
      <c r="O58" s="509">
        <f>IF(O57+(O57*$G$58/100)&gt;O57+10,O57+10,O57+(O57*$G$58/100))</f>
        <v>3.2604879406307981</v>
      </c>
      <c r="P58" s="509">
        <f>IF(P57+(P57*$G$58/100)&gt;P57+10,P57+10,P57+(P57*$G$58/100))</f>
        <v>3.0937391465677182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319.69688299999996</v>
      </c>
      <c r="M59" s="253">
        <f>SUM(T61:T63)</f>
        <v>92.274446709999978</v>
      </c>
      <c r="N59" s="254">
        <f>SUM(U61:U63)</f>
        <v>79.924220749999989</v>
      </c>
      <c r="O59" s="254">
        <f>SUM(V61:V63)</f>
        <v>74.649376599999982</v>
      </c>
      <c r="P59" s="254">
        <f>SUM(W61:W63)</f>
        <v>72.848838939999993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56" t="s">
        <v>696</v>
      </c>
      <c r="E61" s="4057"/>
      <c r="F61" s="4057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7.0000000000000007E-2</v>
      </c>
      <c r="N61" s="3088">
        <v>0.05</v>
      </c>
      <c r="O61" s="3088">
        <v>0.04</v>
      </c>
      <c r="P61" s="3088">
        <v>0.04</v>
      </c>
      <c r="Q61" s="2620"/>
      <c r="R61" s="542"/>
      <c r="S61" s="542"/>
      <c r="T61" s="2621">
        <f>IF(M61&lt;&gt;0,M61*$H61,0)</f>
        <v>5.4145000000000003</v>
      </c>
      <c r="U61" s="2621">
        <f t="shared" ref="U61:X63" si="15">IF(N61&lt;&gt;0,N61*$H61,0)</f>
        <v>3.8674999999999997</v>
      </c>
      <c r="V61" s="2621">
        <f t="shared" si="15"/>
        <v>3.0939999999999999</v>
      </c>
      <c r="W61" s="2621">
        <f t="shared" si="15"/>
        <v>3.0939999999999999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58" t="s">
        <v>1374</v>
      </c>
      <c r="E62" s="4059"/>
      <c r="F62" s="4059"/>
      <c r="G62" s="3441">
        <v>45</v>
      </c>
      <c r="H62" s="932">
        <f>G62*(100+$H$59)/100</f>
        <v>53.55</v>
      </c>
      <c r="I62" s="933"/>
      <c r="J62" s="3068">
        <f>SUM(M62:Q62)</f>
        <v>4</v>
      </c>
      <c r="K62" s="2304"/>
      <c r="L62" s="3069">
        <f>SUM(T62:X62)</f>
        <v>214.2</v>
      </c>
      <c r="M62" s="3442">
        <v>1</v>
      </c>
      <c r="N62" s="3443">
        <v>1</v>
      </c>
      <c r="O62" s="3443">
        <v>1</v>
      </c>
      <c r="P62" s="3443">
        <v>1</v>
      </c>
      <c r="Q62" s="3444"/>
      <c r="R62" s="542"/>
      <c r="S62" s="542"/>
      <c r="T62" s="2621">
        <f>IF(M62&lt;&gt;0,M62*$H62,0)</f>
        <v>53.55</v>
      </c>
      <c r="U62" s="2621">
        <f t="shared" si="15"/>
        <v>53.55</v>
      </c>
      <c r="V62" s="2621">
        <f t="shared" si="15"/>
        <v>53.55</v>
      </c>
      <c r="W62" s="2621">
        <f t="shared" si="15"/>
        <v>53.55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4060" t="s">
        <v>708</v>
      </c>
      <c r="E63" s="4061"/>
      <c r="F63" s="406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16.81174285714285</v>
      </c>
      <c r="K63" s="3074">
        <f>K17/(W66)/10*W68*K24</f>
        <v>16.81174285714285</v>
      </c>
      <c r="L63" s="3075">
        <f>K63*H63</f>
        <v>90.02688299999997</v>
      </c>
      <c r="M63" s="3184">
        <f>$K$63*M7/100</f>
        <v>6.2203448571428543</v>
      </c>
      <c r="N63" s="3183">
        <f>$K$63*N7/100</f>
        <v>4.2029357142857124</v>
      </c>
      <c r="O63" s="3183">
        <f>$K$63*O7/100</f>
        <v>3.3623485714285697</v>
      </c>
      <c r="P63" s="3183">
        <f>$K$63*P7/100</f>
        <v>3.0261137142857133</v>
      </c>
      <c r="Q63" s="3183">
        <f>$K$63*Q7/100</f>
        <v>0</v>
      </c>
      <c r="R63" s="542"/>
      <c r="S63" s="542"/>
      <c r="T63" s="2621">
        <f>IF(M63&lt;&gt;0,M63*$H63,0)</f>
        <v>33.309946709999984</v>
      </c>
      <c r="U63" s="2621">
        <f t="shared" si="15"/>
        <v>22.506720749999992</v>
      </c>
      <c r="V63" s="2621">
        <f t="shared" si="15"/>
        <v>18.005376599999991</v>
      </c>
      <c r="W63" s="2621">
        <f t="shared" si="15"/>
        <v>16.204838939999995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0.35000000000000009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41.65</v>
      </c>
      <c r="M67" s="253">
        <f t="shared" si="16"/>
        <v>15.410499999999999</v>
      </c>
      <c r="N67" s="254">
        <f t="shared" si="16"/>
        <v>10.4125</v>
      </c>
      <c r="O67" s="254">
        <f t="shared" si="16"/>
        <v>8.33</v>
      </c>
      <c r="P67" s="254">
        <f t="shared" si="16"/>
        <v>7.496999999999999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2599">
        <v>0.74</v>
      </c>
    </row>
    <row r="69" spans="1:43" s="51" customFormat="1" ht="15" customHeight="1" x14ac:dyDescent="0.2">
      <c r="A69" s="52"/>
      <c r="B69" s="937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15.410499999999999</v>
      </c>
      <c r="N69" s="933">
        <f t="shared" si="17"/>
        <v>10.4125</v>
      </c>
      <c r="O69" s="933">
        <f t="shared" si="17"/>
        <v>8.33</v>
      </c>
      <c r="P69" s="933">
        <f t="shared" si="17"/>
        <v>7.496999999999999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40.714285714285715</v>
      </c>
      <c r="L77" s="3321">
        <f t="shared" si="18"/>
        <v>0</v>
      </c>
      <c r="M77" s="3321">
        <f t="shared" si="18"/>
        <v>15.064285714285711</v>
      </c>
      <c r="N77" s="3321">
        <f t="shared" si="18"/>
        <v>10.178571428571429</v>
      </c>
      <c r="O77" s="3321">
        <f t="shared" si="18"/>
        <v>8.1428571428571441</v>
      </c>
      <c r="P77" s="3321">
        <f t="shared" si="18"/>
        <v>7.3285714285714292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197.83749999999998</v>
      </c>
      <c r="L79" s="3321"/>
      <c r="M79" s="3321">
        <f>M78*M16</f>
        <v>73.199874999999992</v>
      </c>
      <c r="N79" s="3321">
        <f>N78*N16</f>
        <v>49.459375000000001</v>
      </c>
      <c r="O79" s="3321">
        <f>O78*O16</f>
        <v>39.56750000000001</v>
      </c>
      <c r="P79" s="3321">
        <f>P78*P16</f>
        <v>35.610750000000003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2" firstPageNumber="15" orientation="portrait" horizontalDpi="300" verticalDpi="300" r:id="rId1"/>
  <headerFooter alignWithMargins="0">
    <oddFooter>&amp;L&amp;12LEL Schwäbisch Gmünd (Abtlg. II)
LAZBW Aulendorf&amp;C&amp;12 96&amp;9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9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0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1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2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4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5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6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7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0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20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2">
    <tabColor rgb="FF00B050"/>
  </sheetPr>
  <dimension ref="B1:AS99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X11" sqref="X1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'39)GS 4Nutz Biogas ex Silo 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'39)GS 4Nutz Biogas ex Silo (a)'!K2</f>
        <v>Grassilage 4 Nutz. Biogas ex Silo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9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'39)GS 4Nutz Biogas ex Silo (a)'!H3</f>
        <v>Silage für Biogasanlage; Rücklieferung Gärrest unter 100% Anrechung der Netto-Nährstoffe (30% N-Verluste); Vollkosten incl. Kosten der Gärrest-Ausbringung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'39)GS 4Nutz Biogas ex Silo (a)'!M5</f>
        <v>Silage</v>
      </c>
      <c r="O5" s="1568" t="str">
        <f>'39)GS 4Nutz Biogas ex Silo (a)'!N5</f>
        <v>Silage</v>
      </c>
      <c r="P5" s="1568" t="str">
        <f>'39)GS 4Nutz Biogas ex Silo (a)'!O5</f>
        <v>Silage</v>
      </c>
      <c r="Q5" s="1568" t="str">
        <f>'39)GS 4Nutz Biogas ex Silo (a)'!P5</f>
        <v>Silage</v>
      </c>
      <c r="R5" s="1573">
        <f>'39)GS 4Nutz Biogas ex Silo 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'39)GS 4Nutz Biogas ex Silo (a)'!K6</f>
        <v>90</v>
      </c>
      <c r="N6" s="1821">
        <f>'39)GS 4Nutz Biogas ex Silo (a)'!M6</f>
        <v>33.299999999999997</v>
      </c>
      <c r="O6" s="1821">
        <f>'39)GS 4Nutz Biogas ex Silo (a)'!N6</f>
        <v>22.5</v>
      </c>
      <c r="P6" s="1821">
        <f>'39)GS 4Nutz Biogas ex Silo (a)'!O6</f>
        <v>18</v>
      </c>
      <c r="Q6" s="1821">
        <f>'39)GS 4Nutz Biogas ex Silo (a)'!P6</f>
        <v>16.2</v>
      </c>
      <c r="R6" s="1822">
        <f>'39)GS 4Nutz Biogas ex Silo 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'39)GS 4Nutz Biogas ex Silo (a)'!K14</f>
        <v>85.499999999999986</v>
      </c>
      <c r="N7" s="452">
        <f>'39)GS 4Nutz Biogas ex Silo (a)'!M14</f>
        <v>31.634999999999994</v>
      </c>
      <c r="O7" s="452">
        <f>'39)GS 4Nutz Biogas ex Silo (a)'!N14</f>
        <v>21.375</v>
      </c>
      <c r="P7" s="452">
        <f>'39)GS 4Nutz Biogas ex Silo (a)'!O14</f>
        <v>17.100000000000001</v>
      </c>
      <c r="Q7" s="452">
        <f>'39)GS 4Nutz Biogas ex Silo (a)'!P14</f>
        <v>15.39</v>
      </c>
      <c r="R7" s="1744">
        <f>'39)GS 4Nutz Biogas ex Silo (a)'!Q14</f>
        <v>0</v>
      </c>
      <c r="S7" s="3713"/>
      <c r="V7" s="177"/>
      <c r="AG7" s="3713"/>
      <c r="AH7" s="3713"/>
      <c r="AI7" s="3713"/>
      <c r="AJ7" s="3713"/>
      <c r="AK7" s="3713"/>
      <c r="AL7" s="3713"/>
      <c r="AM7" s="3713"/>
      <c r="AN7" s="3713"/>
      <c r="AO7" s="3713"/>
      <c r="AP7" s="3713"/>
      <c r="AQ7" s="3714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'39)GS 4Nutz Biogas ex Silo (a)'!K15</f>
        <v>244.28571428571428</v>
      </c>
      <c r="N8" s="473">
        <f>'39)GS 4Nutz Biogas ex Silo (a)'!M15</f>
        <v>90.385714285714272</v>
      </c>
      <c r="O8" s="473">
        <f>'39)GS 4Nutz Biogas ex Silo (a)'!N15</f>
        <v>61.071428571428577</v>
      </c>
      <c r="P8" s="473">
        <f>'39)GS 4Nutz Biogas ex Silo (a)'!O15</f>
        <v>48.857142857142861</v>
      </c>
      <c r="Q8" s="473">
        <f>'39)GS 4Nutz Biogas ex Silo (a)'!P15</f>
        <v>43.971428571428575</v>
      </c>
      <c r="R8" s="1583">
        <f>'39)GS 4Nutz Biogas ex Silo (a)'!Q15</f>
        <v>0</v>
      </c>
      <c r="S8" s="3713"/>
      <c r="V8" s="177"/>
      <c r="AG8" s="3713"/>
      <c r="AH8" s="3713"/>
      <c r="AI8" s="3713"/>
      <c r="AJ8" s="3713"/>
      <c r="AK8" s="3713"/>
      <c r="AL8" s="3713"/>
      <c r="AM8" s="3713"/>
      <c r="AN8" s="3713"/>
      <c r="AO8" s="3713"/>
      <c r="AP8" s="3713"/>
      <c r="AQ8" s="3714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'39)GS 4Nutz Biogas ex Silo (a)'!K17</f>
        <v>79.514999999999986</v>
      </c>
      <c r="N9" s="452">
        <f>'39)GS 4Nutz Biogas ex Silo (a)'!M17</f>
        <v>29.420549999999995</v>
      </c>
      <c r="O9" s="452">
        <f>'39)GS 4Nutz Biogas ex Silo (a)'!N17</f>
        <v>19.87875</v>
      </c>
      <c r="P9" s="452">
        <f>'39)GS 4Nutz Biogas ex Silo (a)'!O17</f>
        <v>15.903000000000002</v>
      </c>
      <c r="Q9" s="452">
        <f>'39)GS 4Nutz Biogas ex Silo (a)'!P17</f>
        <v>14.3127</v>
      </c>
      <c r="R9" s="1744">
        <f>'39)GS 4Nutz Biogas ex Silo (a)'!Q17</f>
        <v>0</v>
      </c>
      <c r="S9" s="3713"/>
      <c r="V9" s="177"/>
      <c r="AG9" s="3713"/>
      <c r="AH9" s="3713"/>
      <c r="AI9" s="3713"/>
      <c r="AJ9" s="3713"/>
      <c r="AK9" s="3713"/>
      <c r="AL9" s="3713"/>
      <c r="AM9" s="3713"/>
      <c r="AN9" s="3713"/>
      <c r="AO9" s="3713"/>
      <c r="AP9" s="3713"/>
      <c r="AQ9" s="3714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'39)GS 4Nutz Biogas ex Silo (a)'!K18</f>
        <v>214.90540540540539</v>
      </c>
      <c r="N10" s="1748">
        <f>'39)GS 4Nutz Biogas ex Silo (a)'!M18</f>
        <v>79.514999999999986</v>
      </c>
      <c r="O10" s="1748">
        <f>'39)GS 4Nutz Biogas ex Silo (a)'!N18</f>
        <v>53.726351351351354</v>
      </c>
      <c r="P10" s="1748">
        <f>'39)GS 4Nutz Biogas ex Silo (a)'!O18</f>
        <v>42.981081081081086</v>
      </c>
      <c r="Q10" s="1748">
        <f>'39)GS 4Nutz Biogas ex Silo (a)'!P18</f>
        <v>38.682972972972976</v>
      </c>
      <c r="R10" s="1745">
        <f>'39)GS 4Nutz Biogas ex Silo (a)'!Q18</f>
        <v>0</v>
      </c>
      <c r="S10" s="3713"/>
      <c r="V10" s="177"/>
      <c r="AG10" s="3713"/>
      <c r="AH10" s="3713"/>
      <c r="AI10" s="3713"/>
      <c r="AJ10" s="3713"/>
      <c r="AK10" s="3713"/>
      <c r="AL10" s="3713"/>
      <c r="AM10" s="3713"/>
      <c r="AN10" s="3713"/>
      <c r="AO10" s="3713"/>
      <c r="AP10" s="3713"/>
      <c r="AQ10" s="3714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'39)GS 4Nutz Biogas ex Silo (a)'!K19</f>
        <v>35.817567567567565</v>
      </c>
      <c r="N11" s="2094">
        <f>'39)GS 4Nutz Biogas ex Silo (a)'!M19</f>
        <v>13.252499999999998</v>
      </c>
      <c r="O11" s="2094">
        <f>'39)GS 4Nutz Biogas ex Silo (a)'!N19</f>
        <v>8.9543918918918912</v>
      </c>
      <c r="P11" s="2094">
        <f>'39)GS 4Nutz Biogas ex Silo (a)'!O19</f>
        <v>7.1635135135135144</v>
      </c>
      <c r="Q11" s="2094">
        <f>'39)GS 4Nutz Biogas ex Silo (a)'!P19</f>
        <v>6.4471621621621624</v>
      </c>
      <c r="R11" s="2078">
        <f>'39)GS 4Nutz Biogas ex Silo (a)'!Q19</f>
        <v>0</v>
      </c>
      <c r="S11" s="3713"/>
      <c r="V11" s="177"/>
      <c r="AG11" s="3713"/>
      <c r="AH11" s="3713"/>
      <c r="AI11" s="3713"/>
      <c r="AJ11" s="3713"/>
      <c r="AK11" s="3713"/>
      <c r="AL11" s="3713"/>
      <c r="AM11" s="3713"/>
      <c r="AN11" s="3713"/>
      <c r="AO11" s="3713"/>
      <c r="AP11" s="3713"/>
      <c r="AQ11" s="3714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'39)GS 4Nutz Biogas ex Silo (a)'!K22</f>
        <v>2305.9349999999999</v>
      </c>
      <c r="N12" s="1176">
        <f>'39)GS 4Nutz Biogas ex Silo (a)'!M22</f>
        <v>853.19594999999981</v>
      </c>
      <c r="O12" s="1176">
        <f>'39)GS 4Nutz Biogas ex Silo (a)'!N22</f>
        <v>576.48374999999999</v>
      </c>
      <c r="P12" s="1176">
        <f>'39)GS 4Nutz Biogas ex Silo (a)'!O22</f>
        <v>461.18700000000007</v>
      </c>
      <c r="Q12" s="1176">
        <f>'39)GS 4Nutz Biogas ex Silo (a)'!P22</f>
        <v>415.06829999999997</v>
      </c>
      <c r="R12" s="1747">
        <f>'39)GS 4Nutz Biogas ex Silo (a)'!Q22</f>
        <v>0</v>
      </c>
      <c r="S12" s="3713"/>
      <c r="V12" s="177"/>
      <c r="AG12" s="3713"/>
      <c r="AH12" s="3713"/>
      <c r="AI12" s="3713"/>
      <c r="AJ12" s="3713"/>
      <c r="AK12" s="3713"/>
      <c r="AL12" s="3713"/>
      <c r="AM12" s="3713"/>
      <c r="AN12" s="3713"/>
      <c r="AO12" s="3713"/>
      <c r="AP12" s="3713"/>
      <c r="AQ12" s="3714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'39)GS 4Nutz Biogas ex Silo (a)'!K23</f>
        <v>83.013659999999987</v>
      </c>
      <c r="N13" s="2065">
        <f>'39)GS 4Nutz Biogas ex Silo (a)'!M23</f>
        <v>30.71505419999999</v>
      </c>
      <c r="O13" s="2065">
        <f>'39)GS 4Nutz Biogas ex Silo (a)'!N23</f>
        <v>20.753414999999997</v>
      </c>
      <c r="P13" s="2065">
        <f>'39)GS 4Nutz Biogas ex Silo (a)'!O23</f>
        <v>16.602732</v>
      </c>
      <c r="Q13" s="2065">
        <f>'39)GS 4Nutz Biogas ex Silo (a)'!P23</f>
        <v>14.942458799999997</v>
      </c>
      <c r="R13" s="2067">
        <f>'39)GS 4Nutz Biogas ex Silo (a)'!Q23</f>
        <v>0</v>
      </c>
      <c r="S13" s="3713"/>
      <c r="V13" s="177"/>
      <c r="AG13" s="3713"/>
      <c r="AH13" s="3713"/>
      <c r="AI13" s="3713"/>
      <c r="AJ13" s="3713"/>
      <c r="AK13" s="3713"/>
      <c r="AL13" s="3713"/>
      <c r="AM13" s="3713"/>
      <c r="AN13" s="3713"/>
      <c r="AO13" s="3713"/>
      <c r="AP13" s="3713"/>
      <c r="AQ13" s="3714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99.9</v>
      </c>
      <c r="O15" s="3340">
        <f t="shared" si="0"/>
        <v>67.5</v>
      </c>
      <c r="P15" s="3339">
        <f t="shared" si="0"/>
        <v>54</v>
      </c>
      <c r="Q15" s="3340">
        <f t="shared" si="0"/>
        <v>48.6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99.9</v>
      </c>
      <c r="O17" s="2065">
        <f t="shared" si="2"/>
        <v>67.5</v>
      </c>
      <c r="P17" s="3334">
        <f t="shared" si="2"/>
        <v>54</v>
      </c>
      <c r="Q17" s="2065">
        <f t="shared" si="2"/>
        <v>48.6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'39)GS 4Nutz Biogas ex Silo (a)'!L32</f>
        <v>23.54</v>
      </c>
      <c r="N19" s="2071">
        <f>'39)GS 4Nutz Biogas ex Silo (a)'!M32</f>
        <v>8.7097999999999995</v>
      </c>
      <c r="O19" s="2071">
        <f>'39)GS 4Nutz Biogas ex Silo (a)'!N32</f>
        <v>5.8849999999999998</v>
      </c>
      <c r="P19" s="2071">
        <f>'39)GS 4Nutz Biogas ex Silo (a)'!O32</f>
        <v>4.7079999999999993</v>
      </c>
      <c r="Q19" s="2071">
        <f>'39)GS 4Nutz Biogas ex Silo (a)'!P32</f>
        <v>4.2371999999999996</v>
      </c>
      <c r="R19" s="2073">
        <f>'39)GS 4Nutz Biogas ex Silo 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'39)GS 4Nutz Biogas ex Silo (a)'!L34</f>
        <v>93.186579499999993</v>
      </c>
      <c r="N20" s="285">
        <f>'39)GS 4Nutz Biogas ex Silo (a)'!M34</f>
        <v>34.479034414999994</v>
      </c>
      <c r="O20" s="285">
        <f>'39)GS 4Nutz Biogas ex Silo (a)'!N34</f>
        <v>23.296644874999998</v>
      </c>
      <c r="P20" s="285">
        <f>'39)GS 4Nutz Biogas ex Silo (a)'!O34</f>
        <v>18.637315899999997</v>
      </c>
      <c r="Q20" s="285">
        <f>'39)GS 4Nutz Biogas ex Silo (a)'!P34</f>
        <v>16.77358431</v>
      </c>
      <c r="R20" s="1574">
        <f>'39)GS 4Nutz Biogas ex Silo 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'39)GS 4Nutz Biogas ex Silo (a)'!L40</f>
        <v>0</v>
      </c>
      <c r="N21" s="285">
        <f>'39)GS 4Nutz Biogas ex Silo (a)'!M40</f>
        <v>0</v>
      </c>
      <c r="O21" s="285">
        <f>'39)GS 4Nutz Biogas ex Silo (a)'!N40</f>
        <v>0</v>
      </c>
      <c r="P21" s="285">
        <f>'39)GS 4Nutz Biogas ex Silo (a)'!O40</f>
        <v>0</v>
      </c>
      <c r="Q21" s="285">
        <f>'39)GS 4Nutz Biogas ex Silo (a)'!P40</f>
        <v>0</v>
      </c>
      <c r="R21" s="1574">
        <f>'39)GS 4Nutz Biogas ex Silo 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'39)GS 4Nutz Biogas ex Silo (a)'!L67</f>
        <v>41.65</v>
      </c>
      <c r="N23" s="285">
        <f>'39)GS 4Nutz Biogas ex Silo (a)'!M67</f>
        <v>15.410499999999999</v>
      </c>
      <c r="O23" s="285">
        <f>'39)GS 4Nutz Biogas ex Silo (a)'!N67</f>
        <v>10.4125</v>
      </c>
      <c r="P23" s="285">
        <f>'39)GS 4Nutz Biogas ex Silo (a)'!O67</f>
        <v>8.33</v>
      </c>
      <c r="Q23" s="285">
        <f>'39)GS 4Nutz Biogas ex Silo (a)'!P67</f>
        <v>7.496999999999999</v>
      </c>
      <c r="R23" s="1574">
        <f>'39)GS 4Nutz Biogas ex Silo 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'39)GS 4Nutz Biogas ex Silo (a)'!L43</f>
        <v>300.69470256652465</v>
      </c>
      <c r="N24" s="285">
        <f>'39)GS 4Nutz Biogas ex Silo (a)'!M43</f>
        <v>99.145662171670125</v>
      </c>
      <c r="O24" s="285">
        <f>'39)GS 4Nutz Biogas ex Silo (a)'!N43</f>
        <v>82.187719079431162</v>
      </c>
      <c r="P24" s="285">
        <f>'39)GS 4Nutz Biogas ex Silo (a)'!O43</f>
        <v>61.093822582064938</v>
      </c>
      <c r="Q24" s="285">
        <f>'39)GS 4Nutz Biogas ex Silo (a)'!P43</f>
        <v>58.267498733358444</v>
      </c>
      <c r="R24" s="1574">
        <f>'39)GS 4Nutz Biogas ex Silo 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'39)GS 4Nutz Biogas ex Silo (a)'!L59</f>
        <v>319.69688299999996</v>
      </c>
      <c r="N25" s="285">
        <f>'39)GS 4Nutz Biogas ex Silo (a)'!M59</f>
        <v>92.274446709999978</v>
      </c>
      <c r="O25" s="285">
        <f>'39)GS 4Nutz Biogas ex Silo (a)'!N59</f>
        <v>79.924220749999989</v>
      </c>
      <c r="P25" s="285">
        <f>'39)GS 4Nutz Biogas ex Silo (a)'!O59</f>
        <v>74.649376599999982</v>
      </c>
      <c r="Q25" s="285">
        <f>'39)GS 4Nutz Biogas ex Silo (a)'!P59</f>
        <v>72.848838939999993</v>
      </c>
      <c r="R25" s="1574">
        <f>'39)GS 4Nutz Biogas ex Silo 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'39)GS 4Nutz Biogas ex Silo (a)'!L64</f>
        <v>0</v>
      </c>
      <c r="N26" s="1979">
        <f>'39)GS 4Nutz Biogas ex Silo (a)'!M64</f>
        <v>0</v>
      </c>
      <c r="O26" s="1979">
        <f>'39)GS 4Nutz Biogas ex Silo (a)'!N64</f>
        <v>0</v>
      </c>
      <c r="P26" s="1979">
        <f>'39)GS 4Nutz Biogas ex Silo (a)'!O64</f>
        <v>0</v>
      </c>
      <c r="Q26" s="1979">
        <f>'39)GS 4Nutz Biogas ex Silo (a)'!P64</f>
        <v>0</v>
      </c>
      <c r="R26" s="1981">
        <f>'39)GS 4Nutz Biogas ex Silo 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778.7681650665246</v>
      </c>
      <c r="N27" s="2407">
        <f t="shared" si="4"/>
        <v>250.01944329667009</v>
      </c>
      <c r="O27" s="2407">
        <f t="shared" si="4"/>
        <v>201.70608470443113</v>
      </c>
      <c r="P27" s="2407">
        <f t="shared" si="4"/>
        <v>167.41851508206491</v>
      </c>
      <c r="Q27" s="2407">
        <f t="shared" si="4"/>
        <v>159.62412198335844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-778.7681650665246</v>
      </c>
      <c r="N28" s="1777">
        <f t="shared" si="5"/>
        <v>-250.01944329667009</v>
      </c>
      <c r="O28" s="1777">
        <f t="shared" si="5"/>
        <v>-201.70608470443113</v>
      </c>
      <c r="P28" s="1777">
        <f t="shared" si="5"/>
        <v>-167.41851508206491</v>
      </c>
      <c r="Q28" s="1777">
        <f t="shared" si="5"/>
        <v>-159.62412198335844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-0.33772338121695739</v>
      </c>
      <c r="N29" s="1874">
        <f t="shared" si="6"/>
        <v>-0.29303871320142827</v>
      </c>
      <c r="O29" s="1874">
        <f t="shared" si="6"/>
        <v>-0.34989032163427181</v>
      </c>
      <c r="P29" s="1874">
        <f t="shared" si="6"/>
        <v>-0.36301655311633868</v>
      </c>
      <c r="Q29" s="1874">
        <f t="shared" si="6"/>
        <v>-0.38457314611440685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99.9</v>
      </c>
      <c r="O30" s="2097">
        <f t="shared" si="7"/>
        <v>67.5</v>
      </c>
      <c r="P30" s="2097">
        <f t="shared" si="7"/>
        <v>54</v>
      </c>
      <c r="Q30" s="2097">
        <f t="shared" si="7"/>
        <v>48.6</v>
      </c>
      <c r="R30" s="1744">
        <f t="shared" si="7"/>
        <v>0</v>
      </c>
      <c r="T30" s="3297" t="s">
        <v>1216</v>
      </c>
      <c r="U30" s="3308">
        <f>'39)GS 4Nutz Biogas ex Silo (a)'!L25</f>
        <v>0</v>
      </c>
      <c r="V30" s="3308">
        <f>'39)GS 4Nutz Biogas ex Silo (a)'!M25</f>
        <v>0</v>
      </c>
      <c r="W30" s="3308">
        <f>'39)GS 4Nutz Biogas ex Silo (a)'!N25</f>
        <v>0</v>
      </c>
      <c r="X30" s="3308">
        <f>'39)GS 4Nutz Biogas ex Silo (a)'!O25</f>
        <v>0</v>
      </c>
      <c r="Y30" s="3308">
        <f>'39)GS 4Nutz Biogas ex Silo (a)'!P25</f>
        <v>0</v>
      </c>
      <c r="Z30" s="3308">
        <f>'39)GS 4Nutz Biogas ex Silo 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M27*'39)GS 4Nutz Biogas ex Silo (a)'!$L$72*'39)GS 4Nutz Biogas ex Silo (a)'!$Q$72/12/100</f>
        <v>4.8673010316657788</v>
      </c>
      <c r="N31" s="1979">
        <f>N27*'39)GS 4Nutz Biogas ex Silo (a)'!$L$72*'39)GS 4Nutz Biogas ex Silo (a)'!$Q$72/12/100</f>
        <v>1.562621520604188</v>
      </c>
      <c r="O31" s="1979">
        <f>O27*'39)GS 4Nutz Biogas ex Silo (a)'!$L$72*'39)GS 4Nutz Biogas ex Silo (a)'!$Q$72/12/100</f>
        <v>1.2606630294026946</v>
      </c>
      <c r="P31" s="1979">
        <f>P27*'39)GS 4Nutz Biogas ex Silo (a)'!$L$72*'39)GS 4Nutz Biogas ex Silo (a)'!$Q$72/12/100</f>
        <v>1.0463657192629057</v>
      </c>
      <c r="Q31" s="1979">
        <f>Q27*'39)GS 4Nutz Biogas ex Silo (a)'!$L$72*'39)GS 4Nutz Biogas ex Silo (a)'!$Q$72/12/100</f>
        <v>0.99765076239599015</v>
      </c>
      <c r="R31" s="1981">
        <f>R27*'39)GS 4Nutz Biogas ex Silo (a)'!$L$72*'39)GS 4Nutz Biogas ex Silo (a)'!$Q$72/12/100</f>
        <v>0</v>
      </c>
      <c r="T31" s="3297" t="s">
        <v>1215</v>
      </c>
      <c r="U31" s="3308">
        <f>'39)GS 4Nutz Biogas ex Silo (a)'!L30</f>
        <v>270</v>
      </c>
      <c r="V31" s="3308">
        <f>'39)GS 4Nutz Biogas ex Silo (a)'!M30</f>
        <v>99.9</v>
      </c>
      <c r="W31" s="3308">
        <f>'39)GS 4Nutz Biogas ex Silo (a)'!N30</f>
        <v>67.5</v>
      </c>
      <c r="X31" s="3308">
        <f>'39)GS 4Nutz Biogas ex Silo (a)'!O30</f>
        <v>54</v>
      </c>
      <c r="Y31" s="3308">
        <f>'39)GS 4Nutz Biogas ex Silo (a)'!P30</f>
        <v>48.6</v>
      </c>
      <c r="Z31" s="3308">
        <f>'39)GS 4Nutz Biogas ex Silo 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-513.63546609819036</v>
      </c>
      <c r="N32" s="1769">
        <f t="shared" si="8"/>
        <v>-151.68206481727427</v>
      </c>
      <c r="O32" s="1769">
        <f t="shared" si="8"/>
        <v>-135.46674773383384</v>
      </c>
      <c r="P32" s="1769">
        <f t="shared" si="8"/>
        <v>-114.46488080132782</v>
      </c>
      <c r="Q32" s="1769">
        <f t="shared" si="8"/>
        <v>-112.02177274575443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99.9</v>
      </c>
      <c r="W32" s="429">
        <f t="shared" si="9"/>
        <v>67.5</v>
      </c>
      <c r="X32" s="429">
        <f t="shared" si="9"/>
        <v>54</v>
      </c>
      <c r="Y32" s="429">
        <f t="shared" si="9"/>
        <v>48.6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-0.22274498895163583</v>
      </c>
      <c r="N33" s="1581">
        <f t="shared" si="10"/>
        <v>-0.17778104176100964</v>
      </c>
      <c r="O33" s="1581">
        <f t="shared" si="10"/>
        <v>-0.2349879727465585</v>
      </c>
      <c r="P33" s="1581">
        <f t="shared" si="10"/>
        <v>-0.2481962431753883</v>
      </c>
      <c r="Q33" s="1581">
        <f t="shared" si="10"/>
        <v>-0.26988756487969434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-6.1873608042121075</v>
      </c>
      <c r="N34" s="2149">
        <f t="shared" si="11"/>
        <v>-4.938362271139157</v>
      </c>
      <c r="O34" s="2149">
        <f t="shared" si="11"/>
        <v>-6.5274436874044035</v>
      </c>
      <c r="P34" s="2149">
        <f t="shared" si="11"/>
        <v>-6.8943400882052321</v>
      </c>
      <c r="Q34" s="2149">
        <f t="shared" si="11"/>
        <v>-7.4968768022137331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'39)GS 4Nutz Biogas ex Silo (a)'!K58</f>
        <v>17.301439703153989</v>
      </c>
      <c r="N36" s="2397">
        <f>'39)GS 4Nutz Biogas ex Silo (a)'!M58</f>
        <v>5.973852690166976</v>
      </c>
      <c r="O36" s="2397">
        <f>'39)GS 4Nutz Biogas ex Silo (a)'!N58</f>
        <v>4.9733599257884968</v>
      </c>
      <c r="P36" s="2397">
        <f>'39)GS 4Nutz Biogas ex Silo (a)'!O58</f>
        <v>3.2604879406307981</v>
      </c>
      <c r="Q36" s="2397">
        <f>'39)GS 4Nutz Biogas ex Silo (a)'!P58</f>
        <v>3.0937391465677182</v>
      </c>
      <c r="R36" s="2398">
        <f>'39)GS 4Nutz Biogas ex Silo 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'39)GS 4Nutz Biogas ex Silo (a)'!K16</f>
        <v>40.714285714285715</v>
      </c>
      <c r="N37" s="2400">
        <f>'39)GS 4Nutz Biogas ex Silo (a)'!M16</f>
        <v>15.064285714285711</v>
      </c>
      <c r="O37" s="2400">
        <f>'39)GS 4Nutz Biogas ex Silo (a)'!N16</f>
        <v>10.178571428571429</v>
      </c>
      <c r="P37" s="2400">
        <f>'39)GS 4Nutz Biogas ex Silo (a)'!O16</f>
        <v>8.1428571428571441</v>
      </c>
      <c r="Q37" s="2400">
        <f>'39)GS 4Nutz Biogas ex Silo (a)'!P16</f>
        <v>7.3285714285714292</v>
      </c>
      <c r="R37" s="2401">
        <f>'39)GS 4Nutz Biogas ex Silo 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'39)GS 4Nutz Biogas ex Silo (a)'!M78</f>
        <v>4.8591666666666669</v>
      </c>
      <c r="O38" s="1997">
        <f>'39)GS 4Nutz Biogas ex Silo (a)'!N78</f>
        <v>4.8591666666666669</v>
      </c>
      <c r="P38" s="1997">
        <f>'39)GS 4Nutz Biogas ex Silo (a)'!O78</f>
        <v>4.8591666666666669</v>
      </c>
      <c r="Q38" s="1997">
        <f>'39)GS 4Nutz Biogas ex Silo (a)'!P78</f>
        <v>4.8591666666666669</v>
      </c>
      <c r="R38" s="1998">
        <f>'39)GS 4Nutz Biogas ex Silo 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302.77519480519481</v>
      </c>
      <c r="N39" s="285">
        <f t="shared" si="13"/>
        <v>104.54242207792208</v>
      </c>
      <c r="O39" s="285">
        <f t="shared" si="13"/>
        <v>87.033798701298693</v>
      </c>
      <c r="P39" s="285">
        <f t="shared" si="13"/>
        <v>57.058538961038963</v>
      </c>
      <c r="Q39" s="285">
        <f t="shared" si="13"/>
        <v>54.140435064935069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197.83749999999998</v>
      </c>
      <c r="N40" s="285">
        <f>N37*N38</f>
        <v>73.199874999999992</v>
      </c>
      <c r="O40" s="285">
        <f>O37*O38</f>
        <v>49.459375000000001</v>
      </c>
      <c r="P40" s="285">
        <f>P37*P38</f>
        <v>39.56750000000001</v>
      </c>
      <c r="Q40" s="285">
        <f>Q37*Q38</f>
        <v>35.610750000000003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'Festk-Masch-Geb'!T44-'Festk-Masch-Geb'!T36-'Festk-Masch-Geb'!T37-'Festk-Masch-Geb'!T38</f>
        <v>389.16366624579132</v>
      </c>
      <c r="N41" s="285">
        <f>N$6/$M$6*$M$41</f>
        <v>143.99055651094278</v>
      </c>
      <c r="O41" s="285">
        <f>O$6/$M$6*$M$41</f>
        <v>97.29091656144783</v>
      </c>
      <c r="P41" s="285">
        <f>P$6/$M$6*$M$41</f>
        <v>77.832733249158267</v>
      </c>
      <c r="Q41" s="285">
        <f>Q$6/$M$6*$M$41</f>
        <v>70.049459924242441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25.537399999999998</v>
      </c>
      <c r="O42" s="285">
        <f>O$6/$M$6*$M$42</f>
        <v>17.254999999999999</v>
      </c>
      <c r="P42" s="285">
        <f>P$6/$M$6*$M$42</f>
        <v>13.804</v>
      </c>
      <c r="Q42" s="285">
        <f>Q$6/$M$6*$M$42</f>
        <v>12.423599999999999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47.656000000000006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23.184000000000001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1087.5963610509862</v>
      </c>
      <c r="N45" s="1991">
        <f t="shared" si="14"/>
        <v>394.92625358886482</v>
      </c>
      <c r="O45" s="1991">
        <f t="shared" si="14"/>
        <v>283.23909026274652</v>
      </c>
      <c r="P45" s="1991">
        <f t="shared" si="14"/>
        <v>214.02277221019727</v>
      </c>
      <c r="Q45" s="1991">
        <f t="shared" si="14"/>
        <v>195.40824498917749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1871.2318271491765</v>
      </c>
      <c r="N48" s="2127">
        <f t="shared" si="16"/>
        <v>646.5083184061391</v>
      </c>
      <c r="O48" s="2041">
        <f t="shared" si="16"/>
        <v>486.20583799658039</v>
      </c>
      <c r="P48" s="2041">
        <f t="shared" si="16"/>
        <v>382.48765301152508</v>
      </c>
      <c r="Q48" s="2041">
        <f t="shared" si="16"/>
        <v>356.0300177349319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-1871.2318271491765</v>
      </c>
      <c r="N49" s="2125">
        <f t="shared" si="17"/>
        <v>-646.5083184061391</v>
      </c>
      <c r="O49" s="1772">
        <f t="shared" si="17"/>
        <v>-486.20583799658039</v>
      </c>
      <c r="P49" s="1772">
        <f t="shared" si="17"/>
        <v>-382.48765301152508</v>
      </c>
      <c r="Q49" s="1772">
        <f t="shared" si="17"/>
        <v>-356.0300177349319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-0.81148507097952738</v>
      </c>
      <c r="N50" s="2511">
        <f t="shared" si="18"/>
        <v>-0.75774893025000789</v>
      </c>
      <c r="O50" s="2168">
        <f t="shared" si="18"/>
        <v>-0.84339903422530194</v>
      </c>
      <c r="P50" s="2168">
        <f t="shared" si="18"/>
        <v>-0.82935480187326405</v>
      </c>
      <c r="Q50" s="2168">
        <f t="shared" si="18"/>
        <v>-0.85776248808914568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99.9</v>
      </c>
      <c r="O51" s="2185">
        <f t="shared" si="19"/>
        <v>67.5</v>
      </c>
      <c r="P51" s="2185">
        <f t="shared" si="19"/>
        <v>54</v>
      </c>
      <c r="Q51" s="2185">
        <f t="shared" si="19"/>
        <v>48.6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-1601.2318271491765</v>
      </c>
      <c r="N52" s="2178">
        <f t="shared" si="20"/>
        <v>-546.60831840613912</v>
      </c>
      <c r="O52" s="2081">
        <f t="shared" si="20"/>
        <v>-418.70583799658039</v>
      </c>
      <c r="P52" s="2081">
        <f t="shared" si="20"/>
        <v>-328.48765301152508</v>
      </c>
      <c r="Q52" s="2081">
        <f t="shared" si="20"/>
        <v>-307.43001773493188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3325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-0.69439590758159986</v>
      </c>
      <c r="N53" s="2511">
        <f t="shared" si="21"/>
        <v>-0.64065976685208037</v>
      </c>
      <c r="O53" s="2168">
        <f t="shared" si="21"/>
        <v>-0.72630987082737442</v>
      </c>
      <c r="P53" s="2168">
        <f t="shared" si="21"/>
        <v>-0.71226563847533653</v>
      </c>
      <c r="Q53" s="2168">
        <f t="shared" si="21"/>
        <v>-0.74067332469121805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1601.2318271491765</v>
      </c>
      <c r="N55" s="2038">
        <f t="shared" si="22"/>
        <v>546.60831840613912</v>
      </c>
      <c r="O55" s="2038">
        <f t="shared" si="22"/>
        <v>418.70583799658039</v>
      </c>
      <c r="P55" s="2038">
        <f t="shared" si="22"/>
        <v>328.48765301152508</v>
      </c>
      <c r="Q55" s="2038">
        <f t="shared" si="22"/>
        <v>307.43001773493188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7.4508680883505676</v>
      </c>
      <c r="N56" s="2103">
        <f t="shared" si="24"/>
        <v>6.874279298322822</v>
      </c>
      <c r="O56" s="2103">
        <f t="shared" si="24"/>
        <v>7.7933049139777264</v>
      </c>
      <c r="P56" s="2103">
        <f t="shared" si="24"/>
        <v>7.642610300840361</v>
      </c>
      <c r="Q56" s="2103">
        <f t="shared" si="24"/>
        <v>7.9474247739367687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20.137481319866399</v>
      </c>
      <c r="N57" s="3427">
        <f>IF($N$7=0,0,N$55/$N$9)</f>
        <v>18.57913323871033</v>
      </c>
      <c r="O57" s="3427">
        <f>IF($O$7=0,0,O$55/$O$9)</f>
        <v>21.062986253993856</v>
      </c>
      <c r="P57" s="3427">
        <f>IF($P$7=0,0,P$55/$P$9)</f>
        <v>20.655703515784761</v>
      </c>
      <c r="Q57" s="3427">
        <f>IF($Q$7=0,0,Q$55/$Q$9)</f>
        <v>21.479526416045324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44.705208530103405</v>
      </c>
      <c r="N58" s="2134">
        <f t="shared" si="25"/>
        <v>41.245675789936932</v>
      </c>
      <c r="O58" s="2134">
        <f t="shared" si="25"/>
        <v>46.759829483866369</v>
      </c>
      <c r="P58" s="2134">
        <f t="shared" si="25"/>
        <v>45.855661805042168</v>
      </c>
      <c r="Q58" s="2134">
        <f t="shared" si="25"/>
        <v>47.684548643620616</v>
      </c>
      <c r="R58" s="2135">
        <f t="shared" si="25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5"/>
        <v>0.69439590758159986</v>
      </c>
      <c r="N59" s="2136">
        <f t="shared" si="25"/>
        <v>0.64065976685208037</v>
      </c>
      <c r="O59" s="2136">
        <f t="shared" si="25"/>
        <v>0.72630987082737442</v>
      </c>
      <c r="P59" s="2136">
        <f t="shared" si="25"/>
        <v>0.71226563847533653</v>
      </c>
      <c r="Q59" s="2136">
        <f t="shared" si="25"/>
        <v>0.74067332469121805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6">M59/$F$60*10</f>
        <v>0.19288775210599995</v>
      </c>
      <c r="N60" s="2136">
        <f t="shared" si="26"/>
        <v>0.17796104634780011</v>
      </c>
      <c r="O60" s="2136">
        <f t="shared" si="26"/>
        <v>0.20175274189649289</v>
      </c>
      <c r="P60" s="2136">
        <f t="shared" si="26"/>
        <v>0.19785156624314904</v>
      </c>
      <c r="Q60" s="2136">
        <f t="shared" si="26"/>
        <v>0.205742590192005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7">IF(M13=0,0,M$55/M13)</f>
        <v>19.288775210600001</v>
      </c>
      <c r="N62" s="2513">
        <f t="shared" si="27"/>
        <v>17.796104634780011</v>
      </c>
      <c r="O62" s="2513">
        <f t="shared" si="27"/>
        <v>20.17527418964929</v>
      </c>
      <c r="P62" s="2513">
        <f t="shared" si="27"/>
        <v>19.785156624314908</v>
      </c>
      <c r="Q62" s="2513">
        <f t="shared" si="27"/>
        <v>20.574259019200504</v>
      </c>
      <c r="R62" s="2514">
        <f t="shared" si="27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8">M55-M40</f>
        <v>1403.3943271491767</v>
      </c>
      <c r="N63" s="1769">
        <f t="shared" si="28"/>
        <v>473.4084434061391</v>
      </c>
      <c r="O63" s="1769">
        <f t="shared" si="28"/>
        <v>369.24646299658036</v>
      </c>
      <c r="P63" s="1769">
        <f t="shared" si="28"/>
        <v>288.92015301152509</v>
      </c>
      <c r="Q63" s="1769">
        <f t="shared" si="28"/>
        <v>271.81926773493188</v>
      </c>
      <c r="R63" s="1776">
        <f t="shared" si="28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17.649428751168671</v>
      </c>
      <c r="N64" s="3427">
        <f>IF($N$7=0,0,N$63/$N$9)</f>
        <v>16.091080670012598</v>
      </c>
      <c r="O64" s="3427">
        <f>IF($O$7=0,0,O$63/$O$9)</f>
        <v>18.574933685296127</v>
      </c>
      <c r="P64" s="3427">
        <f>IF($P$7=0,0,P$63/$P$9)</f>
        <v>18.167650947087029</v>
      </c>
      <c r="Q64" s="3427">
        <f>IF($Q$7=0,0,Q$63/$Q$9)</f>
        <v>18.991473847347592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9">IF(M12=0,0,M$63/M12)</f>
        <v>0.60860099141960922</v>
      </c>
      <c r="N65" s="2169">
        <f t="shared" si="29"/>
        <v>0.55486485069008962</v>
      </c>
      <c r="O65" s="2169">
        <f t="shared" si="29"/>
        <v>0.64051495466538366</v>
      </c>
      <c r="P65" s="2169">
        <f t="shared" si="29"/>
        <v>0.62647072231334588</v>
      </c>
      <c r="Q65" s="2169">
        <f t="shared" si="29"/>
        <v>0.65487840852922741</v>
      </c>
      <c r="R65" s="2172">
        <f t="shared" si="29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0.16905583094989143</v>
      </c>
      <c r="N66" s="2169">
        <f>N63/N12*10/$F$60</f>
        <v>0.15412912519169156</v>
      </c>
      <c r="O66" s="2169">
        <f>O63/O12*10/$F$60</f>
        <v>0.17792082074038434</v>
      </c>
      <c r="P66" s="2169">
        <f>P63/P12*10/$F$60</f>
        <v>0.17401964508704051</v>
      </c>
      <c r="Q66" s="2169">
        <f>IF(Q12=0,0,Q63/Q12*10/$F$60)</f>
        <v>0.18191066903589651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30">IF(M13=0,0,M$63/M13)</f>
        <v>16.905583094989147</v>
      </c>
      <c r="N67" s="2171">
        <f t="shared" si="30"/>
        <v>15.41291251916916</v>
      </c>
      <c r="O67" s="2171">
        <f t="shared" si="30"/>
        <v>17.792082074038436</v>
      </c>
      <c r="P67" s="2171">
        <f t="shared" si="30"/>
        <v>17.401964508704054</v>
      </c>
      <c r="Q67" s="2171">
        <f t="shared" si="30"/>
        <v>18.19106690358965</v>
      </c>
      <c r="R67" s="2173">
        <f t="shared" si="30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f>C67+1</f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1">M19+M20+M21+M22+M23+M31</f>
        <v>163.24388053166578</v>
      </c>
      <c r="N69" s="1772">
        <f t="shared" si="31"/>
        <v>60.161955935604183</v>
      </c>
      <c r="O69" s="1772">
        <f t="shared" si="31"/>
        <v>40.854807904402691</v>
      </c>
      <c r="P69" s="1772">
        <f t="shared" si="31"/>
        <v>32.721681619262903</v>
      </c>
      <c r="Q69" s="1772">
        <f t="shared" si="31"/>
        <v>29.50543507239599</v>
      </c>
      <c r="R69" s="1773">
        <f t="shared" si="31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>C69+1</f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2">IF(M69=0,0,M69/M12)</f>
        <v>7.079292370845916E-2</v>
      </c>
      <c r="N70" s="2031">
        <f t="shared" si="32"/>
        <v>7.0513644533362119E-2</v>
      </c>
      <c r="O70" s="2031">
        <f t="shared" si="32"/>
        <v>7.0868967086067367E-2</v>
      </c>
      <c r="P70" s="2031">
        <f t="shared" si="32"/>
        <v>7.0951006032830277E-2</v>
      </c>
      <c r="Q70" s="2031">
        <f t="shared" si="32"/>
        <v>7.1085734739068221E-2</v>
      </c>
      <c r="R70" s="2032">
        <f t="shared" si="32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>C70+1</f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3">M24+M25+M26+M41+M39</f>
        <v>1312.3304466175107</v>
      </c>
      <c r="N71" s="1769">
        <f t="shared" si="33"/>
        <v>439.95308747053497</v>
      </c>
      <c r="O71" s="1769">
        <f t="shared" si="33"/>
        <v>346.43665509217766</v>
      </c>
      <c r="P71" s="1769">
        <f t="shared" si="33"/>
        <v>270.63447139226213</v>
      </c>
      <c r="Q71" s="1769">
        <f t="shared" si="33"/>
        <v>255.30623266253596</v>
      </c>
      <c r="R71" s="1776">
        <f t="shared" si="33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>C71+1</f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4">IF(M71=0,0,M71/M12)</f>
        <v>0.56910990405952933</v>
      </c>
      <c r="N72" s="2168">
        <f t="shared" si="34"/>
        <v>0.51565304250510691</v>
      </c>
      <c r="O72" s="2168">
        <f t="shared" si="34"/>
        <v>0.60094782392769552</v>
      </c>
      <c r="P72" s="2168">
        <f t="shared" si="34"/>
        <v>0.58682155262889479</v>
      </c>
      <c r="Q72" s="2168">
        <f t="shared" si="34"/>
        <v>0.61509451013853855</v>
      </c>
      <c r="R72" s="2187">
        <f t="shared" si="34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55:B72"/>
    <mergeCell ref="B47:B53"/>
    <mergeCell ref="B28:B34"/>
    <mergeCell ref="B36:B45"/>
    <mergeCell ref="D32:K32"/>
    <mergeCell ref="D28:K28"/>
    <mergeCell ref="D19:D23"/>
    <mergeCell ref="B3:B5"/>
    <mergeCell ref="B19:B27"/>
    <mergeCell ref="D24:D26"/>
    <mergeCell ref="B6:B13"/>
    <mergeCell ref="B1:H1"/>
    <mergeCell ref="L1:N1"/>
    <mergeCell ref="O1:R1"/>
    <mergeCell ref="F3:G3"/>
    <mergeCell ref="I3:R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0" firstPageNumber="15" orientation="portrait" useFirstPageNumber="1" horizontalDpi="300" verticalDpi="300" r:id="rId1"/>
  <headerFooter alignWithMargins="0">
    <oddFooter>&amp;L&amp;12LEL Schwäbisch Gmünd (Abtlg. II)
LAZBW Aulendorf&amp;C&amp;9 97
&amp;R&amp;12&amp;F
&amp;A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3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Q11" sqref="Q1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10.1406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42" t="s">
        <v>688</v>
      </c>
      <c r="N2" s="4342"/>
      <c r="O2" s="4342"/>
      <c r="P2" s="434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50</v>
      </c>
      <c r="L5" s="417"/>
      <c r="M5" s="370">
        <v>60</v>
      </c>
      <c r="N5" s="2261"/>
      <c r="O5" s="370">
        <v>70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25</v>
      </c>
      <c r="L7" s="706">
        <v>28</v>
      </c>
      <c r="M7" s="702">
        <v>25</v>
      </c>
      <c r="N7" s="706">
        <v>28</v>
      </c>
      <c r="O7" s="702">
        <v>25</v>
      </c>
      <c r="P7" s="706">
        <v>28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47.5</v>
      </c>
      <c r="L9" s="721">
        <f>IF(K7=0,0,K9/K7*100)</f>
        <v>190</v>
      </c>
      <c r="M9" s="809">
        <f>M5*(100-M6)/100</f>
        <v>57</v>
      </c>
      <c r="N9" s="810">
        <f>IF(M7=0,0,M9/M7*100)</f>
        <v>227.99999999999997</v>
      </c>
      <c r="O9" s="720">
        <f>O5*(100-O6)/100</f>
        <v>66.5</v>
      </c>
      <c r="P9" s="721">
        <f>IF(O7=0,0,O9/O7*100)</f>
        <v>266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29.230769230769234</v>
      </c>
      <c r="M10" s="286"/>
      <c r="N10" s="811">
        <f>IF(R10=TRUE,IF(M8=0,0,1/M8*N9),0)</f>
        <v>35.076923076923073</v>
      </c>
      <c r="O10" s="173"/>
      <c r="P10" s="722">
        <f>IF(R10=TRUE,IF(O8=0,0,1/O8*P9),0)</f>
        <v>40.923076923076927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44.174999999999997</v>
      </c>
      <c r="L11" s="709">
        <f>IF(L7=0,0,K11/L7*100)</f>
        <v>157.76785714285714</v>
      </c>
      <c r="M11" s="812">
        <f>M9*(100-N6)/100</f>
        <v>53.01</v>
      </c>
      <c r="N11" s="813">
        <f>IF(N7=0,0,M11/N7*100)</f>
        <v>189.32142857142858</v>
      </c>
      <c r="O11" s="708">
        <f>O9*(100-P6)/100</f>
        <v>61.844999999999999</v>
      </c>
      <c r="P11" s="709">
        <f>IF(P7=0,0,O11/P7*100)</f>
        <v>220.87499999999997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24.271978021978022</v>
      </c>
      <c r="M12" s="801"/>
      <c r="N12" s="814">
        <f>IF(N8=0,0,1/N8*N11)</f>
        <v>29.126373626373631</v>
      </c>
      <c r="O12" s="487"/>
      <c r="P12" s="502">
        <f>IF(P8=0,0,1/P8*P11)</f>
        <v>33.980769230769226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1281.0749999999998</v>
      </c>
      <c r="L15" s="418"/>
      <c r="M15" s="816">
        <f>M$11*M13</f>
        <v>1537.29</v>
      </c>
      <c r="N15" s="784"/>
      <c r="O15" s="497">
        <f>O$11*O13</f>
        <v>1793.5049999999999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46.11869999999999</v>
      </c>
      <c r="L16" s="417"/>
      <c r="M16" s="817">
        <f>M$11*M14</f>
        <v>55.342439999999989</v>
      </c>
      <c r="N16" s="428"/>
      <c r="O16" s="498">
        <f>O$11*O14</f>
        <v>64.566179999999989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168.25438758333331</v>
      </c>
      <c r="M17" s="2600">
        <f>K17</f>
        <v>1</v>
      </c>
      <c r="N17" s="2591">
        <f>M17*(N33*(1-$AC$14)+N34*(1-$AC$15)+N35*(1-$AC$16)+N36*(1-$AC$17))</f>
        <v>201.90526509999998</v>
      </c>
      <c r="O17" s="2601">
        <f>K17</f>
        <v>1</v>
      </c>
      <c r="P17" s="2590">
        <f>O17*(P33*(1-$AC$14)+P34*(1-$AC$15)+P35*(1-$AC$16)+P36*(1-$AC$17))</f>
        <v>235.55614261666665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95.978999999999999</v>
      </c>
      <c r="M27" s="804"/>
      <c r="N27" s="786">
        <f>SUM(N29:N30)</f>
        <v>95.978999999999999</v>
      </c>
      <c r="O27" s="330"/>
      <c r="P27" s="325">
        <f>SUM(P29:P30)</f>
        <v>95.978999999999999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1.3</v>
      </c>
      <c r="L29" s="337">
        <f>$I29*K29</f>
        <v>95.978999999999999</v>
      </c>
      <c r="M29" s="440">
        <v>1.3</v>
      </c>
      <c r="N29" s="791">
        <f>$I29*M29</f>
        <v>95.978999999999999</v>
      </c>
      <c r="O29" s="440">
        <v>1.3</v>
      </c>
      <c r="P29" s="337">
        <f>$I29*O29</f>
        <v>95.978999999999999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195.42199833333331</v>
      </c>
      <c r="M31" s="819"/>
      <c r="N31" s="786">
        <f>SUM(N33:N36)</f>
        <v>234.50639800000002</v>
      </c>
      <c r="O31" s="334"/>
      <c r="P31" s="325">
        <f>SUM(P33:P36)</f>
        <v>273.59079766666662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1.1100000000000001</v>
      </c>
      <c r="H33" s="386">
        <v>0</v>
      </c>
      <c r="I33"/>
      <c r="J33" s="172"/>
      <c r="K33" s="336">
        <f>G33*$K$9+H33</f>
        <v>52.725000000000001</v>
      </c>
      <c r="L33" s="337">
        <f>K33*$E33</f>
        <v>90.55870250000001</v>
      </c>
      <c r="M33" s="820">
        <f>G33*$M$9+H33</f>
        <v>63.27</v>
      </c>
      <c r="N33" s="791">
        <f>M33*$E33</f>
        <v>108.67044300000001</v>
      </c>
      <c r="O33" s="336">
        <f>G33*$O$9+H33</f>
        <v>73.815000000000012</v>
      </c>
      <c r="P33" s="337">
        <f>O33*$E33</f>
        <v>126.78218350000002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</v>
      </c>
      <c r="H34" s="386"/>
      <c r="I34"/>
      <c r="J34" s="172"/>
      <c r="K34" s="336">
        <f>G34*$K$9+H34</f>
        <v>28.5</v>
      </c>
      <c r="L34" s="337">
        <f>K34*$E34</f>
        <v>32.219249999999995</v>
      </c>
      <c r="M34" s="820">
        <f>G34*$M$9+H34</f>
        <v>34.199999999999996</v>
      </c>
      <c r="N34" s="791">
        <f>M34*$E34</f>
        <v>38.663099999999993</v>
      </c>
      <c r="O34" s="336">
        <f>G34*$O$9+H34</f>
        <v>39.9</v>
      </c>
      <c r="P34" s="337">
        <f>O34*$E34</f>
        <v>45.106949999999991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1.37</v>
      </c>
      <c r="H35" s="386"/>
      <c r="I35"/>
      <c r="J35" s="172"/>
      <c r="K35" s="336">
        <f>G35*$K$9+H35</f>
        <v>65.075000000000003</v>
      </c>
      <c r="L35" s="337">
        <f>K35*$E35</f>
        <v>68.404670833333327</v>
      </c>
      <c r="M35" s="820">
        <f>G35*$M$9+H35</f>
        <v>78.09</v>
      </c>
      <c r="N35" s="791">
        <f>M35*$E35</f>
        <v>82.085605000000001</v>
      </c>
      <c r="O35" s="336">
        <f>G35*$O$9+H35</f>
        <v>91.105000000000004</v>
      </c>
      <c r="P35" s="337">
        <f>O35*$E35</f>
        <v>95.766539166666661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7.125</v>
      </c>
      <c r="L36" s="333">
        <f>K36*$E36</f>
        <v>4.2393749999999999</v>
      </c>
      <c r="M36" s="821">
        <f>G36*$M$9+H36</f>
        <v>8.5499999999999989</v>
      </c>
      <c r="N36" s="792">
        <f>M36*$E36</f>
        <v>5.0872499999999992</v>
      </c>
      <c r="O36" s="338">
        <f>G36*$O$9+H36</f>
        <v>9.9749999999999996</v>
      </c>
      <c r="P36" s="333">
        <f>O36*$E36</f>
        <v>5.9351249999999993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265.74555564728803</v>
      </c>
      <c r="M42" s="823"/>
      <c r="N42" s="786">
        <f>SUM(W45:W55)</f>
        <v>282.16876095402563</v>
      </c>
      <c r="O42" s="425"/>
      <c r="P42" s="325">
        <f>SUM(Z45:Z55)</f>
        <v>298.59196626076323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22</v>
      </c>
      <c r="C49" s="1554"/>
      <c r="D49" s="137"/>
      <c r="E49" s="8"/>
      <c r="F49" s="8"/>
      <c r="G49" s="731"/>
      <c r="H49" s="726" t="str">
        <f>IF($B49=0,0,VLOOKUP($B49,Arbeitsgänge!$B$27:$T$80,7))</f>
        <v>67 Kw</v>
      </c>
      <c r="I49" s="727">
        <f>IF($B49=0,0,VLOOKUP($B49,Arbeitsgänge!$B$27:$T$80,12))</f>
        <v>7.88</v>
      </c>
      <c r="J49" s="470">
        <f>IF($B49=0,0,VLOOKUP($B49,Arbeitsgänge!$B$27:$T$80,14))</f>
        <v>160.81118482240001</v>
      </c>
      <c r="K49" s="375">
        <f>L9/500</f>
        <v>0.38</v>
      </c>
      <c r="L49" s="337">
        <f t="shared" si="0"/>
        <v>61.108250232512006</v>
      </c>
      <c r="M49" s="375">
        <f>N9/500</f>
        <v>0.45599999999999996</v>
      </c>
      <c r="N49" s="791">
        <f t="shared" si="1"/>
        <v>73.329900279014396</v>
      </c>
      <c r="O49" s="375">
        <f>P9/500</f>
        <v>0.53200000000000003</v>
      </c>
      <c r="P49" s="337">
        <f t="shared" si="2"/>
        <v>85.551550325516814</v>
      </c>
      <c r="Q49" s="528"/>
      <c r="R49" s="1348">
        <f t="shared" si="3"/>
        <v>2.9944000000000002</v>
      </c>
      <c r="S49" s="471" t="e">
        <f>K49*#REF!</f>
        <v>#REF!</v>
      </c>
      <c r="T49" s="258">
        <f t="shared" si="4"/>
        <v>61.108250232512006</v>
      </c>
      <c r="U49" s="1349">
        <f t="shared" si="5"/>
        <v>3.5932799999999996</v>
      </c>
      <c r="V49" s="1350" t="e">
        <f>M49*#REF!</f>
        <v>#REF!</v>
      </c>
      <c r="W49" s="827">
        <f t="shared" si="6"/>
        <v>73.329900279014396</v>
      </c>
      <c r="X49" s="1351">
        <f t="shared" si="7"/>
        <v>4.1921600000000003</v>
      </c>
      <c r="Y49" s="471" t="e">
        <f>O49*#REF!</f>
        <v>#REF!</v>
      </c>
      <c r="Z49" s="258">
        <f t="shared" si="8"/>
        <v>85.551550325516814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23</v>
      </c>
      <c r="C50" s="1554"/>
      <c r="D50" s="137"/>
      <c r="E50" s="8"/>
      <c r="F50" s="8"/>
      <c r="G50" s="731"/>
      <c r="H50" s="726" t="str">
        <f>IF($B50=0,0,VLOOKUP($B50,Arbeitsgänge!$B$27:$T$80,7))</f>
        <v>102 kW</v>
      </c>
      <c r="I50" s="727">
        <f>IF($B50=0,0,VLOOKUP($B50,Arbeitsgänge!$B$27:$T$80,12))</f>
        <v>2.13</v>
      </c>
      <c r="J50" s="470">
        <f>IF($B50=0,0,VLOOKUP($B50,Arbeitsgänge!$B$27:$T$80,14))</f>
        <v>55.283621845199988</v>
      </c>
      <c r="K50" s="375">
        <f>L9/500</f>
        <v>0.38</v>
      </c>
      <c r="L50" s="337">
        <f t="shared" si="0"/>
        <v>21.007776301175994</v>
      </c>
      <c r="M50" s="375">
        <f>N9/500</f>
        <v>0.45599999999999996</v>
      </c>
      <c r="N50" s="791">
        <f t="shared" si="1"/>
        <v>25.209331561411194</v>
      </c>
      <c r="O50" s="375">
        <f>P9/500</f>
        <v>0.53200000000000003</v>
      </c>
      <c r="P50" s="337">
        <f t="shared" si="2"/>
        <v>29.410886821646397</v>
      </c>
      <c r="Q50" s="528"/>
      <c r="R50" s="1348">
        <f t="shared" si="3"/>
        <v>0.80940000000000001</v>
      </c>
      <c r="S50" s="471" t="e">
        <f>K50*#REF!</f>
        <v>#REF!</v>
      </c>
      <c r="T50" s="258">
        <f t="shared" si="4"/>
        <v>21.007776301175994</v>
      </c>
      <c r="U50" s="1349">
        <f t="shared" si="5"/>
        <v>0.97127999999999992</v>
      </c>
      <c r="V50" s="1350" t="e">
        <f>M50*#REF!</f>
        <v>#REF!</v>
      </c>
      <c r="W50" s="827">
        <f t="shared" si="6"/>
        <v>25.209331561411194</v>
      </c>
      <c r="X50" s="1351">
        <f t="shared" si="7"/>
        <v>1.1331599999999999</v>
      </c>
      <c r="Y50" s="471" t="e">
        <f>O50*#REF!</f>
        <v>#REF!</v>
      </c>
      <c r="Z50" s="258">
        <f t="shared" si="8"/>
        <v>29.410886821646397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50</v>
      </c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50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50</v>
      </c>
      <c r="C53" s="1554"/>
      <c r="D53" s="137" t="str">
        <f>IF($B53=0,0,VLOOKUP($B53,Arbeitsgänge!$B$27:$O$75,2))</f>
        <v>Betreuung Portionsweide pauschal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50</v>
      </c>
      <c r="C54" s="1554"/>
      <c r="D54" s="137" t="str">
        <f>IF($B54=0,0,VLOOKUP($B54,Arbeitsgänge!$B$27:$O$75,2))</f>
        <v>Betreuung Portionsweide pauschal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7.6338000000000008</v>
      </c>
      <c r="L56" s="341"/>
      <c r="M56" s="797">
        <f>SUM($U$45:$U$55)</f>
        <v>8.3945600000000002</v>
      </c>
      <c r="N56" s="798"/>
      <c r="O56" s="340">
        <f>SUM($X$45:$X$55)</f>
        <v>9.1553199999999997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13.740840000000002</v>
      </c>
      <c r="L57" s="343"/>
      <c r="M57" s="799">
        <f>IF(M56+(M56*$G$57/100)&gt;M56+10,M56+10,M56+(M56*$G$57/100))</f>
        <v>15.110208</v>
      </c>
      <c r="N57" s="800"/>
      <c r="O57" s="342">
        <f>IF(O56+(O56*$G$57/100)&gt;O56+10,O56+10,O56+(O56*$G$57/100))</f>
        <v>16.479576000000002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231.93950850000002</v>
      </c>
      <c r="M58" s="826"/>
      <c r="N58" s="786">
        <f>SUM(N60:N62)</f>
        <v>264.52341020000006</v>
      </c>
      <c r="O58" s="344"/>
      <c r="P58" s="325">
        <f>SUM(P60:P62)</f>
        <v>297.10731190000007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755</v>
      </c>
      <c r="E60" s="3017"/>
      <c r="F60" s="3017"/>
      <c r="G60" s="60"/>
      <c r="H60" s="3012">
        <v>145</v>
      </c>
      <c r="I60" s="3013">
        <f>H60*($H$58+100)/100</f>
        <v>172.55</v>
      </c>
      <c r="J60" s="400"/>
      <c r="K60" s="3014">
        <v>0.9</v>
      </c>
      <c r="L60" s="3015">
        <f>K60*I60</f>
        <v>155.29500000000002</v>
      </c>
      <c r="M60" s="3014">
        <v>1</v>
      </c>
      <c r="N60" s="3016">
        <f>M60*I60</f>
        <v>172.55</v>
      </c>
      <c r="O60" s="3014">
        <v>1.1000000000000001</v>
      </c>
      <c r="P60" s="3015">
        <f>O60*I60</f>
        <v>189.80500000000004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14.3127</v>
      </c>
      <c r="L62" s="308">
        <f>K62*I62</f>
        <v>76.644508500000001</v>
      </c>
      <c r="M62" s="2626">
        <f>M11/($V$63)/10*($V$65*M17)</f>
        <v>17.175240000000002</v>
      </c>
      <c r="N62" s="828">
        <f>M62*I62</f>
        <v>91.973410200000018</v>
      </c>
      <c r="O62" s="2626">
        <f>O11/($V$63)/10*($V$65*O17)</f>
        <v>20.037780000000001</v>
      </c>
      <c r="P62" s="308">
        <f>O62*I62</f>
        <v>107.30231190000002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4.9961924999999994</v>
      </c>
      <c r="M65" s="1357"/>
      <c r="N65" s="786">
        <f>M66*$H66/100</f>
        <v>5.995431</v>
      </c>
      <c r="O65" s="347"/>
      <c r="P65" s="325">
        <f>O66*$H66/100</f>
        <v>6.9946694999999988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1.3</v>
      </c>
      <c r="I66" s="74"/>
      <c r="J66" s="361" t="s">
        <v>266</v>
      </c>
      <c r="K66" s="3181">
        <f>K15*0.3</f>
        <v>384.32249999999993</v>
      </c>
      <c r="L66" s="348"/>
      <c r="M66" s="3181">
        <f>M15*0.3</f>
        <v>461.18699999999995</v>
      </c>
      <c r="N66" s="789"/>
      <c r="O66" s="3181">
        <f>O15*0.3</f>
        <v>538.05149999999992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/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98&amp;9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2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3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4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M19" sqref="M1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'40)GrünroggenVFBiogas ex S(a)'!J2</f>
        <v>2022</v>
      </c>
      <c r="K2" s="2504" t="s">
        <v>858</v>
      </c>
      <c r="L2" s="2502"/>
      <c r="M2" s="2505"/>
      <c r="N2" s="2529"/>
      <c r="O2" s="2801" t="str">
        <f>'40)GrünroggenVFBiogas ex S(a)'!M2</f>
        <v>Grünroggen Vorfrucht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8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'40)GrünroggenVFBiogas ex S(a)'!H3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'40)GrünroggenVFBiogas ex S(a)'!K5</f>
        <v>50</v>
      </c>
      <c r="N6" s="1735">
        <f>'40)GrünroggenVFBiogas ex S(a)'!M5</f>
        <v>60</v>
      </c>
      <c r="O6" s="1743">
        <f>'40)GrünroggenVFBiogas ex S(a)'!O5</f>
        <v>70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'40)GrünroggenVFBiogas ex S(a)'!K9</f>
        <v>47.5</v>
      </c>
      <c r="N7" s="1736">
        <f>'40)GrünroggenVFBiogas ex S(a)'!M9</f>
        <v>57</v>
      </c>
      <c r="O7" s="1744">
        <f>'40)GrünroggenVFBiogas ex S(a)'!O9</f>
        <v>66.5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'40)GrünroggenVFBiogas ex S(a)'!L9</f>
        <v>190</v>
      </c>
      <c r="N8" s="1737">
        <f>'40)GrünroggenVFBiogas ex S(a)'!N9</f>
        <v>227.99999999999997</v>
      </c>
      <c r="O8" s="1583">
        <f>'40)GrünroggenVFBiogas ex S(a)'!P9</f>
        <v>266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'40)GrünroggenVFBiogas ex S(a)'!K11</f>
        <v>44.174999999999997</v>
      </c>
      <c r="N9" s="1562">
        <f>'40)GrünroggenVFBiogas ex S(a)'!M11</f>
        <v>53.01</v>
      </c>
      <c r="O9" s="1747">
        <f>'40)GrünroggenVFBiogas ex S(a)'!O11</f>
        <v>61.844999999999999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'40)GrünroggenVFBiogas ex S(a)'!L11</f>
        <v>157.76785714285714</v>
      </c>
      <c r="N10" s="1582">
        <f>'40)GrünroggenVFBiogas ex S(a)'!N11</f>
        <v>189.32142857142858</v>
      </c>
      <c r="O10" s="2014">
        <f>'40)GrünroggenVFBiogas ex S(a)'!P11</f>
        <v>220.87499999999997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'40)GrünroggenVFBiogas ex S(a)'!L12</f>
        <v>24.271978021978022</v>
      </c>
      <c r="N11" s="1818">
        <f>'40)GrünroggenVFBiogas ex S(a)'!N12</f>
        <v>29.126373626373631</v>
      </c>
      <c r="O11" s="1819">
        <f>'40)GrünroggenVFBiogas ex S(a)'!P12</f>
        <v>33.980769230769226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'40)GrünroggenVFBiogas ex S(a)'!K15</f>
        <v>1281.0749999999998</v>
      </c>
      <c r="N12" s="1738">
        <f>'40)GrünroggenVFBiogas ex S(a)'!M15</f>
        <v>1537.29</v>
      </c>
      <c r="O12" s="1745">
        <f>'40)GrünroggenVFBiogas ex S(a)'!O15</f>
        <v>1793.5049999999999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'40)GrünroggenVFBiogas ex S(a)'!K16</f>
        <v>46.11869999999999</v>
      </c>
      <c r="N13" s="2077">
        <f>'40)GrünroggenVFBiogas ex S(a)'!M16</f>
        <v>55.342439999999989</v>
      </c>
      <c r="O13" s="2078">
        <f>'40)GrünroggenVFBiogas ex S(a)'!O16</f>
        <v>64.566179999999989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'40)GrünroggenVFBiogas ex S(a)'!L24</f>
        <v>270</v>
      </c>
      <c r="N15" s="3338">
        <f>'40)GrünroggenVFBiogas ex S(a)'!N24</f>
        <v>270</v>
      </c>
      <c r="O15" s="3341">
        <f>'40)GrünroggenVFBiogas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'40)GrünroggenVFBiogas ex S(a)'!L18</f>
        <v>0</v>
      </c>
      <c r="N16" s="1736">
        <f>'40)GrünroggenVFBiogas ex S(a)'!N18</f>
        <v>0</v>
      </c>
      <c r="O16" s="3343">
        <f>'40)GrünroggenVFBiogas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888">
        <f>'40)GrünroggenVFBiogas ex S(a)'!L27</f>
        <v>95.978999999999999</v>
      </c>
      <c r="N19" s="2072">
        <f>'40)GrünroggenVFBiogas ex S(a)'!N27</f>
        <v>95.978999999999999</v>
      </c>
      <c r="O19" s="2888">
        <f>'40)GrünroggenVFBiogas ex S(a)'!P27</f>
        <v>95.978999999999999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'40)GrünroggenVFBiogas ex S(a)'!L31-'40)GrünroggenVFBiogas ex S(a)'!L17</f>
        <v>27.167610749999994</v>
      </c>
      <c r="N20" s="1567">
        <f>'40)GrünroggenVFBiogas ex S(a)'!N31-'40)GrünroggenVFBiogas ex S(a)'!N17</f>
        <v>32.601132900000039</v>
      </c>
      <c r="O20" s="1567">
        <f>'40)GrünroggenVFBiogas ex S(a)'!P31-'40)GrünroggenVFBiogas ex S(a)'!P17</f>
        <v>38.034655049999969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'40)GrünroggenVFBiogas ex S(a)'!L37</f>
        <v>0</v>
      </c>
      <c r="N21" s="1567">
        <f>'40)GrünroggenVFBiogas ex S(a)'!N37</f>
        <v>0</v>
      </c>
      <c r="O21" s="1574">
        <f>'40)GrünroggenVFBiogas ex S(a)'!P37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'40)GrünroggenVFBiogas ex S(a)'!L65</f>
        <v>4.9961924999999994</v>
      </c>
      <c r="N22" s="1567">
        <f>'40)GrünroggenVFBiogas ex S(a)'!N65</f>
        <v>5.995431</v>
      </c>
      <c r="O22" s="1574">
        <f>'40)GrünroggenVFBiogas ex S(a)'!P65</f>
        <v>6.9946694999999988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'40)GrünroggenVFBiogas ex S(a)'!L67</f>
        <v>59.5</v>
      </c>
      <c r="N23" s="1567">
        <f>'40)GrünroggenVFBiogas ex S(a)'!N67</f>
        <v>59.5</v>
      </c>
      <c r="O23" s="1574">
        <f>'40)GrünroggenVFBiogas ex S(a)'!P67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'40)GrünroggenVFBiogas ex S(a)'!L42</f>
        <v>265.74555564728803</v>
      </c>
      <c r="N24" s="1567">
        <f>'40)GrünroggenVFBiogas ex S(a)'!N42</f>
        <v>282.16876095402563</v>
      </c>
      <c r="O24" s="1574">
        <f>'40)GrünroggenVFBiogas ex S(a)'!P42</f>
        <v>298.59196626076323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'40)GrünroggenVFBiogas ex S(a)'!L58</f>
        <v>231.93950850000002</v>
      </c>
      <c r="N25" s="1567">
        <f>'40)GrünroggenVFBiogas ex S(a)'!N58</f>
        <v>264.52341020000006</v>
      </c>
      <c r="O25" s="1574">
        <f>'40)GrünroggenVFBiogas ex S(a)'!P58</f>
        <v>297.10731190000007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'40)GrünroggenVFBiogas ex S(a)'!L63</f>
        <v>0</v>
      </c>
      <c r="N26" s="1980">
        <f>'40)GrünroggenVFBiogas ex S(a)'!N63</f>
        <v>0</v>
      </c>
      <c r="O26" s="1981">
        <f>'40)GrünroggenVFBiogas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685.32786739728806</v>
      </c>
      <c r="N27" s="1775">
        <f>SUM(N19:N26)</f>
        <v>740.76773505402571</v>
      </c>
      <c r="O27" s="2055">
        <f>SUM(O19:O26)</f>
        <v>796.20760271076324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-685.32786739728806</v>
      </c>
      <c r="N28" s="2060">
        <f>-N27</f>
        <v>-740.76773505402571</v>
      </c>
      <c r="O28" s="2061">
        <f>-O27</f>
        <v>-796.20760271076324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M27*'40)GrünroggenVFBiogas ex S(a)'!$L$70*'40)GrünroggenVFBiogas ex S(a)'!$P$70/12/100</f>
        <v>4.2832991712330504</v>
      </c>
      <c r="N30" s="1980">
        <f>N27*'40)GrünroggenVFBiogas ex S(a)'!$L$70*'40)GrünroggenVFBiogas ex S(a)'!$P$70/12/100</f>
        <v>4.6297983440876607</v>
      </c>
      <c r="O30" s="1981">
        <f>O27*'40)GrünroggenVFBiogas ex S(a)'!$L$70*'40)GrünroggenVFBiogas ex S(a)'!$P$70/12/100</f>
        <v>4.9762975169422701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'40)GrünroggenVFBiogas ex S(a)'!Q18+'40)GrünroggenVFBiogas ex S(a)'!Q24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-419.61116656852113</v>
      </c>
      <c r="N31" s="1769">
        <f>N28+N29-N30</f>
        <v>-475.39753339811335</v>
      </c>
      <c r="O31" s="1776">
        <f>O28+O29-O30</f>
        <v>-531.18390022770552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-0.32754613630624374</v>
      </c>
      <c r="N32" s="1561">
        <f>IF(N12=0,0,N31/N12)</f>
        <v>-0.3092438859279078</v>
      </c>
      <c r="O32" s="2047">
        <f>IF(O12=0,0,O31/O12)</f>
        <v>-0.29617084994338211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-9.0985037862845495</v>
      </c>
      <c r="N33" s="1576">
        <f>IF(N13=0,0,N31/N13)</f>
        <v>-8.5901079424418842</v>
      </c>
      <c r="O33" s="2052">
        <f>IF(O13=0,0,O31/O13)</f>
        <v>-8.2269680539828371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'40)GrünroggenVFBiogas ex S(a)'!K57</f>
        <v>13.740840000000002</v>
      </c>
      <c r="N35" s="2396">
        <f>'40)GrünroggenVFBiogas ex S(a)'!M57</f>
        <v>15.110208</v>
      </c>
      <c r="O35" s="2398">
        <f>'40)GrünroggenVFBiogas ex S(a)'!O57</f>
        <v>16.479576000000002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'40)GrünroggenVFBiogas ex S(a)'!L10</f>
        <v>29.230769230769234</v>
      </c>
      <c r="N36" s="2431">
        <f>'40)GrünroggenVFBiogas ex S(a)'!N10</f>
        <v>35.076923076923073</v>
      </c>
      <c r="O36" s="2432">
        <f>'40)GrünroggenVFBiogas ex S(a)'!P10</f>
        <v>40.923076923076927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240.46470000000005</v>
      </c>
      <c r="N37" s="1567">
        <f>$J$37*N35</f>
        <v>264.42863999999997</v>
      </c>
      <c r="O37" s="1574">
        <f>$J$37*O35</f>
        <v>288.39258000000001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/>
      <c r="N38" s="2433"/>
      <c r="O38" s="2429"/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/>
      <c r="N39" s="1567"/>
      <c r="O39" s="1574"/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/>
      <c r="N40" s="1567"/>
      <c r="O40" s="1574"/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/>
      <c r="N41" s="285"/>
      <c r="O41" s="1574"/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/>
      <c r="N42" s="1980"/>
      <c r="O42" s="1981"/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240.46470000000005</v>
      </c>
      <c r="N43" s="1991">
        <f>SUM(N37:N42)</f>
        <v>264.42863999999997</v>
      </c>
      <c r="O43" s="1994">
        <f>SUM(O37:O42)</f>
        <v>288.39258000000001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930.07586656852118</v>
      </c>
      <c r="N46" s="2041">
        <f>N27+N30+N43</f>
        <v>1009.8261733981134</v>
      </c>
      <c r="O46" s="2080">
        <f>O27+O30+O43</f>
        <v>1089.5764802277056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-930.07586656852118</v>
      </c>
      <c r="N47" s="2227">
        <f>N45-N46</f>
        <v>-1009.8261733981134</v>
      </c>
      <c r="O47" s="2228">
        <f>O45-O46</f>
        <v>-1089.5764802277056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-660.07586656852118</v>
      </c>
      <c r="N49" s="1991">
        <f>N47+N48</f>
        <v>-739.82617339811338</v>
      </c>
      <c r="O49" s="1994">
        <f>O47+O48</f>
        <v>-819.57648022770559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660.07586656852118</v>
      </c>
      <c r="N51" s="1771">
        <f>N46-N48</f>
        <v>739.82617339811338</v>
      </c>
      <c r="O51" s="3358">
        <f>O46-O48</f>
        <v>819.57648022770559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4.1838425045656127</v>
      </c>
      <c r="N52" s="2335">
        <f>IF(N10=0,0,N$51/N10)</f>
        <v>3.9077783163831681</v>
      </c>
      <c r="O52" s="2336">
        <f>IF(O10=0,0,O$51/O10)</f>
        <v>3.7105896105385656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14.942294659162902</v>
      </c>
      <c r="N53" s="2335">
        <f>IF(N9=0,0,N$51/N9)</f>
        <v>13.956351129939886</v>
      </c>
      <c r="O53" s="2336">
        <f>IF(O9=0,0,O$51/O9)</f>
        <v>13.252105751923448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27.194976279676482</v>
      </c>
      <c r="N54" s="2335">
        <f t="shared" si="3"/>
        <v>25.400559056490589</v>
      </c>
      <c r="O54" s="2336">
        <f t="shared" si="3"/>
        <v>24.118832468500678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0.5152515399711346</v>
      </c>
      <c r="N55" s="2219">
        <f t="shared" si="3"/>
        <v>0.48125348723930644</v>
      </c>
      <c r="O55" s="2220">
        <f t="shared" si="3"/>
        <v>0.45696916385942926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14.312542776975963</v>
      </c>
      <c r="N56" s="2219">
        <f>IF(N13=0,0,N$51/N13)</f>
        <v>13.36815242331407</v>
      </c>
      <c r="O56" s="2220">
        <f>IF(O13=0,0,O$51/O13)</f>
        <v>12.693587884984147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0.14312542776975962</v>
      </c>
      <c r="N57" s="2222">
        <f>N51/$N$12*10/$F$57</f>
        <v>0.1336815242331407</v>
      </c>
      <c r="O57" s="2223">
        <f>O51/$O$12*10/$F$57</f>
        <v>0.12693587884984148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660.07586656852118</v>
      </c>
      <c r="N58" s="1769">
        <f>N51-N38</f>
        <v>739.82617339811338</v>
      </c>
      <c r="O58" s="1776">
        <f>O51-O38</f>
        <v>819.57648022770559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14.942294659162902</v>
      </c>
      <c r="N59" s="3416">
        <f>N58/N9</f>
        <v>13.956351129939886</v>
      </c>
      <c r="O59" s="3417">
        <f>O58/O9</f>
        <v>13.252105751923448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0.5152515399711346</v>
      </c>
      <c r="N60" s="2130">
        <f>IF(N12=0,0,N$58/N12)</f>
        <v>0.48125348723930644</v>
      </c>
      <c r="O60" s="2217">
        <f>IF(O12=0,0,O$58/O12)</f>
        <v>0.45696916385942926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0.14312542776975962</v>
      </c>
      <c r="N61" s="2130">
        <f>N58/$N$12*10/$F$57</f>
        <v>0.1336815242331407</v>
      </c>
      <c r="O61" s="3422">
        <f>O58/$O$12*10/$F$57</f>
        <v>0.12693587884984148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14.312542776975963</v>
      </c>
      <c r="N62" s="1874">
        <f>IF(N13=0,0,N$58/N13)</f>
        <v>13.36815242331407</v>
      </c>
      <c r="O62" s="2032">
        <f>IF(O13=0,0,O$58/O13)</f>
        <v>12.693587884984147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191.92610242123303</v>
      </c>
      <c r="N64" s="1772">
        <f>SUM(N19:N23)+N30</f>
        <v>198.70536224408767</v>
      </c>
      <c r="O64" s="1773">
        <f>SUM(O19:O23)+O30</f>
        <v>205.48462206694222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0.14981644511151421</v>
      </c>
      <c r="N65" s="2031">
        <f>IF(N12=0,0,N64/N12)</f>
        <v>0.12925691459912422</v>
      </c>
      <c r="O65" s="2032">
        <f>IF(O12=0,0,O64/O12)</f>
        <v>0.11457153566170278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754.57296945402572</v>
      </c>
      <c r="N66" s="2038">
        <f>N24+N25+N26+N39+N37</f>
        <v>811.12081115402566</v>
      </c>
      <c r="O66" s="2039">
        <f>O24+O25+O26+O39+O37</f>
        <v>884.09185816076319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0.58901545144041201</v>
      </c>
      <c r="N67" s="2168">
        <f>IF(N12=0,0,N66/N12)</f>
        <v>0.52763031773707347</v>
      </c>
      <c r="O67" s="2187">
        <f>IF(O12=0,0,O66/O12)</f>
        <v>0.49294083828077606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51:B67"/>
    <mergeCell ref="D19:D23"/>
    <mergeCell ref="B45:B49"/>
    <mergeCell ref="B2:B4"/>
    <mergeCell ref="B19:B27"/>
    <mergeCell ref="B28:B33"/>
    <mergeCell ref="B35:B43"/>
    <mergeCell ref="B6:B13"/>
    <mergeCell ref="B1:H1"/>
    <mergeCell ref="L1:N1"/>
    <mergeCell ref="O1:R1"/>
    <mergeCell ref="B15:B17"/>
    <mergeCell ref="G3:O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99&amp;9
&amp;R&amp;12&amp;F
&amp;A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5">
    <pageSetUpPr fitToPage="1"/>
  </sheetPr>
  <dimension ref="A1:CA70"/>
  <sheetViews>
    <sheetView showGridLines="0" showZeros="0" topLeftCell="A19" zoomScaleNormal="100" zoomScaleSheetLayoutView="75" workbookViewId="0"/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2.1406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918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672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160</v>
      </c>
      <c r="L5" s="417"/>
      <c r="M5" s="370">
        <v>190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152</v>
      </c>
      <c r="L9" s="721">
        <f>IF(K7=0,0,K9/K7*100)</f>
        <v>490.32258064516128</v>
      </c>
      <c r="M9" s="809">
        <f>M5*(100-M6)/100</f>
        <v>180.5</v>
      </c>
      <c r="N9" s="810">
        <f>IF(M7=0,0,M9/M7*100)</f>
        <v>582.25806451612902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141.36000000000001</v>
      </c>
      <c r="L11" s="709">
        <f>IF(L7=0,0,K11/L7*100)</f>
        <v>428.36363636363643</v>
      </c>
      <c r="M11" s="812">
        <f>M9*(100-N6)/100</f>
        <v>167.86500000000001</v>
      </c>
      <c r="N11" s="813">
        <f>IF(N7=0,0,M11/N7*100)</f>
        <v>508.68181818181819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62.994652406417124</v>
      </c>
      <c r="M12" s="801"/>
      <c r="N12" s="814">
        <f>IF(N8=0,0,1/N8*N11)</f>
        <v>74.806149732620327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4240.8</v>
      </c>
      <c r="L15" s="418"/>
      <c r="M15" s="816">
        <f>M$11*M13</f>
        <v>5035.9500000000007</v>
      </c>
      <c r="N15" s="784"/>
      <c r="O15" s="497">
        <f>O$11*O13</f>
        <v>5831.1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152.6688</v>
      </c>
      <c r="L16" s="417"/>
      <c r="M16" s="817">
        <f>M$11*M14</f>
        <v>181.29419999999999</v>
      </c>
      <c r="N16" s="428"/>
      <c r="O16" s="498">
        <f>O$11*O14</f>
        <v>209.91959999999997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599.55630373333327</v>
      </c>
      <c r="M17" s="2600">
        <f>K17</f>
        <v>1</v>
      </c>
      <c r="N17" s="2591">
        <f>M17*(N33*(1-$AC$14)+N34*(1-$AC$15)+N35*(1-$AC$16)+N36*(1-$AC$17))</f>
        <v>711.97311068333329</v>
      </c>
      <c r="O17" s="2601">
        <f>K17</f>
        <v>1</v>
      </c>
      <c r="P17" s="2590">
        <f>O17*(P33*(1-$AC$14)+P34*(1-$AC$15)+P35*(1-$AC$16)+P36*(1-$AC$17))</f>
        <v>824.38991763333331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SUM($J19:$J23)</f>
        <v>0</v>
      </c>
      <c r="M18" s="785"/>
      <c r="N18" s="4070">
        <f>SUM($J19:$J23)</f>
        <v>0</v>
      </c>
      <c r="O18" s="326"/>
      <c r="P18" s="2582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309.97899999999998</v>
      </c>
      <c r="M27" s="804"/>
      <c r="N27" s="786">
        <f>SUM(N29:N30)</f>
        <v>309.97899999999998</v>
      </c>
      <c r="O27" s="330"/>
      <c r="P27" s="325">
        <f>SUM(P29:P30)</f>
        <v>309.97899999999998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1.3</v>
      </c>
      <c r="L29" s="337">
        <f>$I29*K29</f>
        <v>95.978999999999999</v>
      </c>
      <c r="M29" s="440">
        <v>1.3</v>
      </c>
      <c r="N29" s="791">
        <f>$I29*M29</f>
        <v>95.978999999999999</v>
      </c>
      <c r="O29" s="440">
        <v>1.3</v>
      </c>
      <c r="P29" s="337">
        <f>$I29*O29</f>
        <v>95.978999999999999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100</v>
      </c>
      <c r="I30" s="712">
        <f>H30*($H$27+100)/100</f>
        <v>107</v>
      </c>
      <c r="J30" s="92"/>
      <c r="K30" s="441">
        <v>2</v>
      </c>
      <c r="L30" s="333">
        <f>$I30*K30</f>
        <v>214</v>
      </c>
      <c r="M30" s="441">
        <v>2</v>
      </c>
      <c r="N30" s="792">
        <f>$I30*M30</f>
        <v>214</v>
      </c>
      <c r="O30" s="441">
        <v>2</v>
      </c>
      <c r="P30" s="333">
        <f>$I30*O30</f>
        <v>214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700.59044533333326</v>
      </c>
      <c r="M31" s="819"/>
      <c r="N31" s="786">
        <f>SUM(N33:N36)</f>
        <v>831.95115383333325</v>
      </c>
      <c r="O31" s="334"/>
      <c r="P31" s="325">
        <f>SUM(P33:P36)</f>
        <v>963.31186233333335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196.08</v>
      </c>
      <c r="L33" s="337">
        <f>K33*$E33</f>
        <v>336.78047200000003</v>
      </c>
      <c r="M33" s="820">
        <f>G33*$M$9+H33</f>
        <v>232.845</v>
      </c>
      <c r="N33" s="791">
        <f>M33*$E33</f>
        <v>399.92681049999999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88.16</v>
      </c>
      <c r="L34" s="337">
        <f>K34*$E34</f>
        <v>99.664879999999982</v>
      </c>
      <c r="M34" s="820">
        <f>G34*$M$9+H34</f>
        <v>104.69</v>
      </c>
      <c r="N34" s="791">
        <f>M34*$E34</f>
        <v>118.35204499999998</v>
      </c>
      <c r="O34" s="336">
        <f>G34*$O$9+H34</f>
        <v>121.21999999999998</v>
      </c>
      <c r="P34" s="337">
        <f>O34*$E34</f>
        <v>137.03920999999997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1.54</v>
      </c>
      <c r="H35" s="386"/>
      <c r="I35"/>
      <c r="J35" s="172"/>
      <c r="K35" s="336">
        <f>G35*$K$9+H35</f>
        <v>234.08</v>
      </c>
      <c r="L35" s="337">
        <f>K35*$E35</f>
        <v>246.05709333333331</v>
      </c>
      <c r="M35" s="820">
        <f>G35*$M$9+H35</f>
        <v>277.97000000000003</v>
      </c>
      <c r="N35" s="791">
        <f>M35*$E35</f>
        <v>292.19279833333331</v>
      </c>
      <c r="O35" s="336">
        <f>G35*$O$9+H35</f>
        <v>321.86</v>
      </c>
      <c r="P35" s="337">
        <f>O35*$E35</f>
        <v>338.32850333333334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30.400000000000002</v>
      </c>
      <c r="L36" s="333">
        <f>K36*$E36</f>
        <v>18.088000000000001</v>
      </c>
      <c r="M36" s="821">
        <f>G36*$M$9+H36</f>
        <v>36.1</v>
      </c>
      <c r="N36" s="792">
        <f>M36*$E36</f>
        <v>21.479500000000002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87.732749999999996</v>
      </c>
      <c r="M37" s="793"/>
      <c r="N37" s="786">
        <f>SUM(N39:N41)</f>
        <v>87.732749999999996</v>
      </c>
      <c r="O37" s="339"/>
      <c r="P37" s="325">
        <f>SUM(P39:P41)</f>
        <v>87.732749999999996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1.5</v>
      </c>
      <c r="L39" s="337">
        <f>$I39*K39</f>
        <v>38.555999999999997</v>
      </c>
      <c r="M39" s="165">
        <v>1.5</v>
      </c>
      <c r="N39" s="791">
        <f>$I39*M39</f>
        <v>38.555999999999997</v>
      </c>
      <c r="O39" s="165">
        <v>1.5</v>
      </c>
      <c r="P39" s="337">
        <f>$I39*O39</f>
        <v>38.555999999999997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0.75</v>
      </c>
      <c r="L40" s="337">
        <f>$I40*K40</f>
        <v>49.176749999999998</v>
      </c>
      <c r="M40" s="165">
        <v>0.75</v>
      </c>
      <c r="N40" s="791">
        <f>$I40*M40</f>
        <v>49.176749999999998</v>
      </c>
      <c r="O40" s="165">
        <v>0.75</v>
      </c>
      <c r="P40" s="337">
        <f>$I40*O40</f>
        <v>49.176749999999998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237.94409899319996</v>
      </c>
      <c r="M42" s="823"/>
      <c r="N42" s="786">
        <f>SUM(W45:W55)</f>
        <v>237.94409899319996</v>
      </c>
      <c r="O42" s="425"/>
      <c r="P42" s="325">
        <f>SUM(Z45:Z55)</f>
        <v>237.94409899319996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0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</v>
      </c>
      <c r="C47" s="104"/>
      <c r="D47" s="137"/>
      <c r="E47" s="8"/>
      <c r="F47" s="8"/>
      <c r="G47" s="731"/>
      <c r="H47" s="726" t="str">
        <f>IF($B47=0,0,VLOOKUP($B47,Arbeitsgänge!$B$27:$T$80,7))</f>
        <v>120 Kw</v>
      </c>
      <c r="I47" s="727">
        <f>IF($B47=0,0,VLOOKUP($B47,Arbeitsgänge!$B$27:$T$80,12))</f>
        <v>1.45</v>
      </c>
      <c r="J47" s="470">
        <f>IF($B47=0,0,VLOOKUP($B47,Arbeitsgänge!$B$27:$T$80,14))</f>
        <v>91.198364600000005</v>
      </c>
      <c r="K47" s="375">
        <v>1</v>
      </c>
      <c r="L47" s="337">
        <f t="shared" si="0"/>
        <v>91.198364600000005</v>
      </c>
      <c r="M47" s="375">
        <v>1</v>
      </c>
      <c r="N47" s="791">
        <f t="shared" si="1"/>
        <v>91.198364600000005</v>
      </c>
      <c r="O47" s="375">
        <v>1</v>
      </c>
      <c r="P47" s="337">
        <f t="shared" si="2"/>
        <v>91.198364600000005</v>
      </c>
      <c r="Q47" s="528"/>
      <c r="R47" s="1348">
        <f t="shared" si="3"/>
        <v>1.45</v>
      </c>
      <c r="S47" s="471" t="e">
        <f>K47*#REF!</f>
        <v>#REF!</v>
      </c>
      <c r="T47" s="258">
        <f t="shared" si="4"/>
        <v>91.198364600000005</v>
      </c>
      <c r="U47" s="1349">
        <f t="shared" si="5"/>
        <v>1.45</v>
      </c>
      <c r="V47" s="1350" t="e">
        <f>M47*#REF!</f>
        <v>#REF!</v>
      </c>
      <c r="W47" s="827">
        <f t="shared" si="6"/>
        <v>91.198364600000005</v>
      </c>
      <c r="X47" s="1351">
        <f t="shared" si="7"/>
        <v>1.45</v>
      </c>
      <c r="Y47" s="471" t="e">
        <f>O47*#REF!</f>
        <v>#REF!</v>
      </c>
      <c r="Z47" s="258">
        <f t="shared" si="8"/>
        <v>91.198364600000005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3</v>
      </c>
      <c r="C48" s="10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1.02</v>
      </c>
      <c r="J48" s="470">
        <f>IF($B48=0,0,VLOOKUP($B48,Arbeitsgänge!$B$27:$T$80,14))</f>
        <v>32.484850928</v>
      </c>
      <c r="K48" s="375">
        <v>1</v>
      </c>
      <c r="L48" s="337">
        <f t="shared" si="0"/>
        <v>32.484850928</v>
      </c>
      <c r="M48" s="375">
        <v>1</v>
      </c>
      <c r="N48" s="791">
        <f t="shared" si="1"/>
        <v>32.484850928</v>
      </c>
      <c r="O48" s="375">
        <v>1</v>
      </c>
      <c r="P48" s="337">
        <f t="shared" si="2"/>
        <v>32.484850928</v>
      </c>
      <c r="Q48" s="528"/>
      <c r="R48" s="1348">
        <f t="shared" si="3"/>
        <v>1.02</v>
      </c>
      <c r="S48" s="471" t="e">
        <f>K48*#REF!</f>
        <v>#REF!</v>
      </c>
      <c r="T48" s="258">
        <f t="shared" si="4"/>
        <v>32.484850928</v>
      </c>
      <c r="U48" s="1349">
        <f t="shared" si="5"/>
        <v>1.02</v>
      </c>
      <c r="V48" s="1350" t="e">
        <f>M48*#REF!</f>
        <v>#REF!</v>
      </c>
      <c r="W48" s="827">
        <f t="shared" si="6"/>
        <v>32.484850928</v>
      </c>
      <c r="X48" s="1351">
        <f t="shared" si="7"/>
        <v>1.02</v>
      </c>
      <c r="Y48" s="471" t="e">
        <f>O48*#REF!</f>
        <v>#REF!</v>
      </c>
      <c r="Z48" s="258">
        <f t="shared" si="8"/>
        <v>32.484850928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10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0.55000000000000004</v>
      </c>
      <c r="J49" s="470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726" t="str">
        <f>IF($B50=0,0,VLOOKUP($B50,Arbeitsgänge!$B$27:$T$80,7))</f>
        <v>45 kW</v>
      </c>
      <c r="I50" s="727">
        <f>IF($B50=0,0,VLOOKUP($B50,Arbeitsgänge!$B$27:$T$80,12))</f>
        <v>0.37</v>
      </c>
      <c r="J50" s="470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726" t="str">
        <f>IF($B51=0,0,VLOOKUP($B51,Arbeitsgänge!$B$27:$T$80,7))</f>
        <v>54 kW</v>
      </c>
      <c r="I51" s="727">
        <f>IF($B51=0,0,VLOOKUP($B51,Arbeitsgänge!$B$27:$T$80,12))</f>
        <v>0.22</v>
      </c>
      <c r="J51" s="470">
        <f>IF($B51=0,0,VLOOKUP($B51,Arbeitsgänge!$B$27:$T$80,14))</f>
        <v>4.4729452375999994</v>
      </c>
      <c r="K51" s="375">
        <v>1</v>
      </c>
      <c r="L51" s="337">
        <f t="shared" si="0"/>
        <v>4.4729452375999994</v>
      </c>
      <c r="M51" s="375">
        <v>1</v>
      </c>
      <c r="N51" s="791">
        <f t="shared" si="1"/>
        <v>4.4729452375999994</v>
      </c>
      <c r="O51" s="375">
        <v>1</v>
      </c>
      <c r="P51" s="337">
        <f t="shared" si="2"/>
        <v>4.4729452375999994</v>
      </c>
      <c r="Q51" s="528"/>
      <c r="R51" s="1348">
        <f t="shared" si="3"/>
        <v>0.22</v>
      </c>
      <c r="S51" s="471" t="e">
        <f>K51*#REF!</f>
        <v>#REF!</v>
      </c>
      <c r="T51" s="258">
        <f t="shared" si="4"/>
        <v>4.4729452375999994</v>
      </c>
      <c r="U51" s="1349">
        <f t="shared" si="5"/>
        <v>0.22</v>
      </c>
      <c r="V51" s="1350" t="e">
        <f>M51*#REF!</f>
        <v>#REF!</v>
      </c>
      <c r="W51" s="827">
        <f t="shared" si="6"/>
        <v>4.4729452375999994</v>
      </c>
      <c r="X51" s="1351">
        <f t="shared" si="7"/>
        <v>0.22</v>
      </c>
      <c r="Y51" s="471" t="e">
        <f>O51*#REF!</f>
        <v>#REF!</v>
      </c>
      <c r="Z51" s="258">
        <f t="shared" si="8"/>
        <v>4.4729452375999994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2636"/>
      <c r="L54" s="337">
        <f t="shared" si="0"/>
        <v>0</v>
      </c>
      <c r="M54" s="2803"/>
      <c r="N54" s="791">
        <f t="shared" si="1"/>
        <v>0</v>
      </c>
      <c r="O54" s="2803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2802"/>
      <c r="L55" s="372">
        <f t="shared" si="0"/>
        <v>0</v>
      </c>
      <c r="M55" s="2804"/>
      <c r="N55" s="796">
        <f t="shared" si="1"/>
        <v>0</v>
      </c>
      <c r="O55" s="2804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5.62</v>
      </c>
      <c r="L56" s="341"/>
      <c r="M56" s="797">
        <f>SUM($U$45:$U$55)</f>
        <v>5.62</v>
      </c>
      <c r="N56" s="798"/>
      <c r="O56" s="340">
        <f>SUM($X$45:$X$55)</f>
        <v>5.62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10.116</v>
      </c>
      <c r="L57" s="343"/>
      <c r="M57" s="799">
        <f>IF(M56+(M56*$G$57/100)&gt;M56+10,M56+10,M56+(M56*$G$57/100))</f>
        <v>10.116</v>
      </c>
      <c r="N57" s="800"/>
      <c r="O57" s="342">
        <f>IF(O56+(O56*$G$57/100)&gt;O56+10,O56+10,O56+(O56*$G$57/100))</f>
        <v>10.116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188.02476000000007</v>
      </c>
      <c r="M58" s="826"/>
      <c r="N58" s="786">
        <f>SUM(N60:N62)</f>
        <v>223.27940250000003</v>
      </c>
      <c r="O58" s="344"/>
      <c r="P58" s="325">
        <f>SUM(P60:P62)</f>
        <v>258.53404500000005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/>
      <c r="E60" s="3020"/>
      <c r="F60" s="3020"/>
      <c r="G60" s="3021"/>
      <c r="H60" s="3012"/>
      <c r="I60" s="3022"/>
      <c r="J60" s="3013">
        <f>H60*($H$58+100)/100</f>
        <v>0</v>
      </c>
      <c r="K60" s="3023"/>
      <c r="L60" s="3015">
        <f>K60*J60</f>
        <v>0</v>
      </c>
      <c r="M60" s="3023"/>
      <c r="N60" s="3016">
        <f>M60*J60</f>
        <v>0</v>
      </c>
      <c r="O60" s="3023"/>
      <c r="P60" s="3015">
        <f>O60*J60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1177"/>
      <c r="L61" s="258">
        <f>K61*J61</f>
        <v>0</v>
      </c>
      <c r="M61" s="1177"/>
      <c r="N61" s="827">
        <f>M61*J61</f>
        <v>0</v>
      </c>
      <c r="O61" s="1177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35.112000000000009</v>
      </c>
      <c r="L62" s="308">
        <f>K62*I62</f>
        <v>188.02476000000007</v>
      </c>
      <c r="M62" s="2626">
        <f>M11/($V$63)/10*($V$65*M17)</f>
        <v>41.695500000000003</v>
      </c>
      <c r="N62" s="828">
        <f>M62*I62</f>
        <v>223.27940250000003</v>
      </c>
      <c r="O62" s="2626">
        <f>O11/($V$63)/10*($V$65*O17)</f>
        <v>48.279000000000003</v>
      </c>
      <c r="P62" s="308">
        <f>O62*I62</f>
        <v>258.53404500000005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>
        <v>10</v>
      </c>
      <c r="H64" s="148"/>
      <c r="I64" s="148"/>
      <c r="J64" s="356" t="s">
        <v>274</v>
      </c>
      <c r="K64" s="149">
        <v>0</v>
      </c>
      <c r="L64" s="346"/>
      <c r="M64" s="149">
        <v>0</v>
      </c>
      <c r="N64" s="803"/>
      <c r="O64" s="149">
        <v>0</v>
      </c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16.53912</v>
      </c>
      <c r="M65" s="1357"/>
      <c r="N65" s="786">
        <f>M66*$H66/100</f>
        <v>19.640205000000002</v>
      </c>
      <c r="O65" s="347"/>
      <c r="P65" s="325">
        <f>O66*$H66/100</f>
        <v>22.741290000000003</v>
      </c>
      <c r="Q65" s="529"/>
      <c r="R65" s="542"/>
      <c r="S65" s="1167"/>
      <c r="T65" s="2598"/>
      <c r="U65" s="2598"/>
      <c r="V65" s="2599">
        <v>0.77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1.3</v>
      </c>
      <c r="I66" s="74"/>
      <c r="J66" s="361" t="s">
        <v>266</v>
      </c>
      <c r="K66" s="3181">
        <f>K15*0.3</f>
        <v>1272.24</v>
      </c>
      <c r="L66" s="348"/>
      <c r="M66" s="3181">
        <f>M15*0.3</f>
        <v>1510.7850000000001</v>
      </c>
      <c r="N66" s="789"/>
      <c r="O66" s="3181">
        <f>O15*0.3</f>
        <v>1749.3300000000002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4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5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6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6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'41)Grünrog.+S.mais Biogas aF(a)'!J2</f>
        <v>2022</v>
      </c>
      <c r="K2" s="2504" t="s">
        <v>858</v>
      </c>
      <c r="L2" s="2502"/>
      <c r="M2" s="2505"/>
      <c r="N2" s="2529"/>
      <c r="O2" s="2801" t="str">
        <f>'41)Grünrog.+S.mais Biogas aF(a)'!M2</f>
        <v>Grünroggen-Silomais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8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4" t="str">
        <f>'41)Grünrog.+S.mais Biogas aF(a)'!H3</f>
        <v>Grünroggen-Vorfrucht + Silomais-Hauptfrucht für Biogasanlage. Gesamt-TM-Ertrag; Rücklieferung Gärrest unter 100% Anrechung der Netto-Nährstoffe (30% N-Verluste); ab Feld; inkl. Kosten der Gärrest-Ausbringung</v>
      </c>
      <c r="H3" s="4345"/>
      <c r="I3" s="4345"/>
      <c r="J3" s="4345"/>
      <c r="K3" s="4345"/>
      <c r="L3" s="4345"/>
      <c r="M3" s="4345"/>
      <c r="N3" s="4345"/>
      <c r="O3" s="4346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'41)Grünrog.+S.mais Biogas aF(a)'!K5</f>
        <v>160</v>
      </c>
      <c r="N6" s="1735">
        <f>'41)Grünrog.+S.mais Biogas aF(a)'!M5</f>
        <v>190</v>
      </c>
      <c r="O6" s="1743">
        <f>'41)Grünrog.+S.mais Biogas aF(a)'!O5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'41)Grünrog.+S.mais Biogas aF(a)'!K9</f>
        <v>152</v>
      </c>
      <c r="N7" s="1736">
        <f>'41)Grünrog.+S.mais Biogas aF(a)'!M9</f>
        <v>180.5</v>
      </c>
      <c r="O7" s="1744">
        <f>'41)Grünrog.+S.mais Biogas aF(a)'!O9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'41)Grünrog.+S.mais Biogas aF(a)'!L9</f>
        <v>490.32258064516128</v>
      </c>
      <c r="N8" s="1737">
        <f>'41)Grünrog.+S.mais Biogas aF(a)'!N9</f>
        <v>582.25806451612902</v>
      </c>
      <c r="O8" s="1583">
        <f>'41)Grünrog.+S.mais Biogas aF(a)'!P9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'41)Grünrog.+S.mais Biogas aF(a)'!K11</f>
        <v>141.36000000000001</v>
      </c>
      <c r="N9" s="1562">
        <f>'41)Grünrog.+S.mais Biogas aF(a)'!M11</f>
        <v>167.86500000000001</v>
      </c>
      <c r="O9" s="1747">
        <f>'41)Grünrog.+S.mais Biogas aF(a)'!O11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'41)Grünrog.+S.mais Biogas aF(a)'!L11</f>
        <v>428.36363636363643</v>
      </c>
      <c r="N10" s="1582">
        <f>'41)Grünrog.+S.mais Biogas aF(a)'!N11</f>
        <v>508.68181818181819</v>
      </c>
      <c r="O10" s="2014">
        <f>'41)Grünrog.+S.mais Biogas aF(a)'!P11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'41)Grünrog.+S.mais Biogas aF(a)'!L12</f>
        <v>62.994652406417124</v>
      </c>
      <c r="N11" s="1818">
        <f>'41)Grünrog.+S.mais Biogas aF(a)'!N12</f>
        <v>74.806149732620327</v>
      </c>
      <c r="O11" s="1819">
        <f>'41)Grünrog.+S.mais Biogas aF(a)'!P12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'41)Grünrog.+S.mais Biogas aF(a)'!K15</f>
        <v>4240.8</v>
      </c>
      <c r="N12" s="1738">
        <f>'41)Grünrog.+S.mais Biogas aF(a)'!M15</f>
        <v>5035.9500000000007</v>
      </c>
      <c r="O12" s="1745">
        <f>'41)Grünrog.+S.mais Biogas aF(a)'!O15</f>
        <v>5831.1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'41)Grünrog.+S.mais Biogas aF(a)'!K16</f>
        <v>152.6688</v>
      </c>
      <c r="N13" s="2077">
        <f>'41)Grünrog.+S.mais Biogas aF(a)'!M16</f>
        <v>181.29419999999999</v>
      </c>
      <c r="O13" s="2078">
        <f>'41)Grünrog.+S.mais Biogas aF(a)'!O16</f>
        <v>209.91959999999997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'41)Grünrog.+S.mais Biogas aF(a)'!L24</f>
        <v>270</v>
      </c>
      <c r="N15" s="3338">
        <f>'41)Grünrog.+S.mais Biogas aF(a)'!N24</f>
        <v>270</v>
      </c>
      <c r="O15" s="3341">
        <f>'41)Grünrog.+S.mais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'41)Grünrog.+S.mais Biogas aF(a)'!L18</f>
        <v>0</v>
      </c>
      <c r="N16" s="1736">
        <f>'41)Grünrog.+S.mais Biogas aF(a)'!N18</f>
        <v>0</v>
      </c>
      <c r="O16" s="3343">
        <f>'41)Grünrog.+S.mais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888">
        <f>'41)Grünrog.+S.mais Biogas aF(a)'!L27</f>
        <v>309.97899999999998</v>
      </c>
      <c r="N19" s="2072">
        <f>'41)Grünrog.+S.mais Biogas aF(a)'!N27</f>
        <v>309.97899999999998</v>
      </c>
      <c r="O19" s="2888">
        <f>'41)Grünrog.+S.mais Biogas aF(a)'!P27</f>
        <v>309.97899999999998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428">
        <f>'41)Grünrog.+S.mais Biogas aF(a)'!L31-'41)Grünrog.+S.mais Biogas aF(a)'!L17</f>
        <v>101.0341416</v>
      </c>
      <c r="N20" s="1567">
        <f>'41)Grünrog.+S.mais Biogas aF(a)'!N31-'41)Grünrog.+S.mais Biogas aF(a)'!N17</f>
        <v>119.97804314999996</v>
      </c>
      <c r="O20" s="2428">
        <f>'41)Grünrog.+S.mais Biogas aF(a)'!P31-'41)Grünrog.+S.mais Biogas aF(a)'!P17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'41)Grünrog.+S.mais Biogas aF(a)'!L37</f>
        <v>87.732749999999996</v>
      </c>
      <c r="N21" s="1567">
        <f>'41)Grünrog.+S.mais Biogas aF(a)'!N37</f>
        <v>87.732749999999996</v>
      </c>
      <c r="O21" s="1574">
        <f>'41)Grünrog.+S.mais Biogas aF(a)'!P37</f>
        <v>87.732749999999996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'41)Grünrog.+S.mais Biogas aF(a)'!L65</f>
        <v>16.53912</v>
      </c>
      <c r="N22" s="1567">
        <f>'41)Grünrog.+S.mais Biogas aF(a)'!N65</f>
        <v>19.640205000000002</v>
      </c>
      <c r="O22" s="1574">
        <f>'41)Grünrog.+S.mais Biogas aF(a)'!P65</f>
        <v>22.741290000000003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'41)Grünrog.+S.mais Biogas aF(a)'!L67</f>
        <v>0</v>
      </c>
      <c r="N23" s="1567">
        <f>'41)Grünrog.+S.mais Biogas aF(a)'!N67</f>
        <v>0</v>
      </c>
      <c r="O23" s="1574">
        <f>'41)Grünrog.+S.mais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'41)Grünrog.+S.mais Biogas aF(a)'!L42</f>
        <v>237.94409899319996</v>
      </c>
      <c r="N24" s="1567">
        <f>'41)Grünrog.+S.mais Biogas aF(a)'!N42</f>
        <v>237.94409899319996</v>
      </c>
      <c r="O24" s="1574">
        <f>'41)Grünrog.+S.mais Biogas aF(a)'!P42</f>
        <v>237.94409899319996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'41)Grünrog.+S.mais Biogas aF(a)'!L58</f>
        <v>188.02476000000007</v>
      </c>
      <c r="N25" s="1567">
        <f>'41)Grünrog.+S.mais Biogas aF(a)'!N58</f>
        <v>223.27940250000003</v>
      </c>
      <c r="O25" s="1574">
        <f>'41)Grünrog.+S.mais Biogas aF(a)'!P58</f>
        <v>258.53404500000005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'41)Grünrog.+S.mais Biogas aF(a)'!L63</f>
        <v>0</v>
      </c>
      <c r="N26" s="1980">
        <f>'41)Grünrog.+S.mais Biogas aF(a)'!N63</f>
        <v>0</v>
      </c>
      <c r="O26" s="1981">
        <f>'41)Grünrog.+S.mais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941.25387059319996</v>
      </c>
      <c r="N27" s="1775">
        <f>SUM(N19:N26)</f>
        <v>998.55349964319998</v>
      </c>
      <c r="O27" s="2055">
        <f>SUM(O19:O26)</f>
        <v>1055.8531286932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-941.25387059319996</v>
      </c>
      <c r="N28" s="2060">
        <f>-N27</f>
        <v>-998.55349964319998</v>
      </c>
      <c r="O28" s="2061">
        <f>-O27</f>
        <v>-1055.8531286932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M27*'41)Grünrog.+S.mais Biogas aF(a)'!$L$70*'41)Grünrog.+S.mais Biogas aF(a)'!$P$70/12/100</f>
        <v>5.8828366912074985</v>
      </c>
      <c r="N30" s="1980">
        <f>N27*'41)Grünrog.+S.mais Biogas aF(a)'!$L$70*'41)Grünrog.+S.mais Biogas aF(a)'!$P$70/12/100</f>
        <v>6.2409593727699999</v>
      </c>
      <c r="O30" s="1981">
        <f>O27*'41)Grünrog.+S.mais Biogas aF(a)'!$L$70*'41)Grünrog.+S.mais Biogas aF(a)'!$P$70/12/100</f>
        <v>6.5990820543324995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-677.13670728440741</v>
      </c>
      <c r="N31" s="1769">
        <f>N28+N29-N30</f>
        <v>-734.79445901597001</v>
      </c>
      <c r="O31" s="1776">
        <f>O28+O29-O30</f>
        <v>-792.45221074753249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-0.15967192682616663</v>
      </c>
      <c r="N32" s="1561">
        <f>IF(N12=0,0,N31/N12)</f>
        <v>-0.14590980033875831</v>
      </c>
      <c r="O32" s="2047">
        <f>IF(O12=0,0,O31/O12)</f>
        <v>-0.13590098107518864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-4.4353313007268502</v>
      </c>
      <c r="N33" s="1576">
        <f>IF(N13=0,0,N31/N13)</f>
        <v>-4.0530500094099535</v>
      </c>
      <c r="O33" s="2052">
        <f>IF(O13=0,0,O31/O13)</f>
        <v>-3.7750272520885737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'41)Grünrog.+S.mais Biogas aF(a)'!K57</f>
        <v>10.116</v>
      </c>
      <c r="N35" s="2396">
        <f>'41)Grünrog.+S.mais Biogas aF(a)'!M57</f>
        <v>10.116</v>
      </c>
      <c r="O35" s="2398">
        <f>'41)Grünrog.+S.mais Biogas aF(a)'!O57</f>
        <v>10.116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'41)Grünrog.+S.mais Biogas aF(a)'!L10</f>
        <v>0</v>
      </c>
      <c r="N36" s="2431">
        <f>'41)Grünrog.+S.mais Biogas aF(a)'!N10</f>
        <v>0</v>
      </c>
      <c r="O36" s="2432">
        <f>'41)Grünrog.+S.mais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177.03</v>
      </c>
      <c r="N37" s="1567">
        <f>$J$37*N35</f>
        <v>177.03</v>
      </c>
      <c r="O37" s="1574">
        <f>$J$37*O35</f>
        <v>177.03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1567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1125.808419050926</v>
      </c>
      <c r="N43" s="1991">
        <f>SUM(N37:N42)</f>
        <v>815.80841905092598</v>
      </c>
      <c r="O43" s="1994">
        <f>SUM(O37:O42)</f>
        <v>815.80841905092598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2072.9451263353335</v>
      </c>
      <c r="N46" s="2041">
        <f>N27+N30+N43</f>
        <v>1820.602878066896</v>
      </c>
      <c r="O46" s="2080">
        <f>O27+O30+O43</f>
        <v>1878.2606297984585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-2072.9451263353335</v>
      </c>
      <c r="N47" s="2227">
        <f>N45-N46</f>
        <v>-1820.602878066896</v>
      </c>
      <c r="O47" s="2228">
        <f>O45-O46</f>
        <v>-1878.2606297984585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-1802.9451263353335</v>
      </c>
      <c r="N49" s="1991">
        <f>N47+N48</f>
        <v>-1550.602878066896</v>
      </c>
      <c r="O49" s="1994">
        <f>O47+O48</f>
        <v>-1608.2606297984585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1802.9451263353335</v>
      </c>
      <c r="N51" s="1771">
        <f>N46-N48</f>
        <v>1550.602878066896</v>
      </c>
      <c r="O51" s="3358">
        <f>O46-O48</f>
        <v>1608.2606297984585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3.6770591392365355</v>
      </c>
      <c r="N52" s="2335">
        <f>IF(N8=0,0,N$51/N8)</f>
        <v>2.6630852753503476</v>
      </c>
      <c r="O52" s="2336">
        <f>IF(O8=0,0,O$51/O8)</f>
        <v>2.3854583504187659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11.861481094311404</v>
      </c>
      <c r="N53" s="2335">
        <f>IF(N7=0,0,N$51/N7)</f>
        <v>8.5905976624204765</v>
      </c>
      <c r="O53" s="2336">
        <f>IF(O7=0,0,O$51/O7)</f>
        <v>7.6950269368347293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28.620605995306221</v>
      </c>
      <c r="N54" s="2335">
        <f t="shared" si="3"/>
        <v>20.728280811259729</v>
      </c>
      <c r="O54" s="2336">
        <f t="shared" si="3"/>
        <v>18.567355318556057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0.42514269155238005</v>
      </c>
      <c r="N55" s="2219">
        <f t="shared" si="3"/>
        <v>0.30790672625162996</v>
      </c>
      <c r="O55" s="2220">
        <f t="shared" si="3"/>
        <v>0.27580741709085049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11.809519209788336</v>
      </c>
      <c r="N56" s="2219">
        <f>IF(N13=0,0,N$51/N13)</f>
        <v>8.5529646181008339</v>
      </c>
      <c r="O56" s="2220">
        <f>IF(O13=0,0,O$51/O13)</f>
        <v>7.661317141412515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0.11809519209788334</v>
      </c>
      <c r="N57" s="2222">
        <f>N51/$N$12*10/$F$57</f>
        <v>8.552964618100832E-2</v>
      </c>
      <c r="O57" s="2223">
        <f>O51/$O$12*10/$F$57</f>
        <v>7.6613171414125131E-2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1802.9451263353335</v>
      </c>
      <c r="N58" s="1769">
        <f>N51-N38</f>
        <v>1550.602878066896</v>
      </c>
      <c r="O58" s="1776">
        <f>O51-O38</f>
        <v>1608.2606297984585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11.861481094311404</v>
      </c>
      <c r="N59" s="3416">
        <f>N58/N7</f>
        <v>8.5905976624204765</v>
      </c>
      <c r="O59" s="3417">
        <f>O58/O7</f>
        <v>7.6950269368347293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0.42514269155238005</v>
      </c>
      <c r="N60" s="2130">
        <f>IF(N12=0,0,N$58/N12)</f>
        <v>0.30790672625162996</v>
      </c>
      <c r="O60" s="2217">
        <f>IF(O12=0,0,O$58/O12)</f>
        <v>0.27580741709085049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0.11809519209788334</v>
      </c>
      <c r="N61" s="2130">
        <f>N58/$N$12*10/$F$57</f>
        <v>8.552964618100832E-2</v>
      </c>
      <c r="O61" s="3422">
        <f>O58/$O$12*10/$F$57</f>
        <v>7.6613171414125131E-2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11.809519209788336</v>
      </c>
      <c r="N62" s="1874">
        <f>IF(N13=0,0,N$58/N13)</f>
        <v>8.5529646181008339</v>
      </c>
      <c r="O62" s="2032">
        <f>IF(O13=0,0,O$58/O13)</f>
        <v>7.661317141412515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521.16784829120741</v>
      </c>
      <c r="N64" s="1772">
        <f>SUM(N19:N23)+N30</f>
        <v>543.57095752276996</v>
      </c>
      <c r="O64" s="1773">
        <f>SUM(O19:O23)+O30</f>
        <v>565.97406675433251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0.12289375785021868</v>
      </c>
      <c r="N65" s="2031">
        <f>IF(N12=0,0,N64/N12)</f>
        <v>0.10793811644729791</v>
      </c>
      <c r="O65" s="2032">
        <f>IF(O12=0,0,O64/O12)</f>
        <v>9.7061286336082811E-2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1043.9572780441258</v>
      </c>
      <c r="N66" s="2038">
        <f>N24+N25+N26+N39+N37</f>
        <v>1079.2119205441259</v>
      </c>
      <c r="O66" s="2039">
        <f>O24+O25+O26+O39+O37</f>
        <v>1114.4665630441259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0.24616989201191422</v>
      </c>
      <c r="N67" s="2168">
        <f>IF(N12=0,0,N66/N12)</f>
        <v>0.21430155592174777</v>
      </c>
      <c r="O67" s="2187">
        <f>IF(O12=0,0,O66/O12)</f>
        <v>0.19112458421980857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667" t="s">
        <v>835</v>
      </c>
      <c r="N72" s="2667" t="s">
        <v>261</v>
      </c>
      <c r="O72" s="2667" t="s">
        <v>920</v>
      </c>
    </row>
    <row r="73" spans="2:41" x14ac:dyDescent="0.2">
      <c r="K73" s="7" t="s">
        <v>263</v>
      </c>
      <c r="M73" s="2725">
        <f>M6</f>
        <v>160</v>
      </c>
      <c r="N73" s="2725">
        <f>N6</f>
        <v>190</v>
      </c>
      <c r="O73" s="2725">
        <f>O6</f>
        <v>220</v>
      </c>
    </row>
    <row r="74" spans="2:41" x14ac:dyDescent="0.2">
      <c r="K74" s="7" t="s">
        <v>419</v>
      </c>
      <c r="M74" s="2665">
        <f>M9</f>
        <v>141.36000000000001</v>
      </c>
      <c r="N74" s="2665">
        <f>N9</f>
        <v>167.86500000000001</v>
      </c>
      <c r="O74" s="2665">
        <f>O9</f>
        <v>194.37</v>
      </c>
    </row>
    <row r="75" spans="2:41" x14ac:dyDescent="0.2">
      <c r="M75" s="2666">
        <f>M53*10</f>
        <v>118.61481094311404</v>
      </c>
      <c r="N75" s="2666">
        <f>N53*10</f>
        <v>85.905976624204769</v>
      </c>
      <c r="O75" s="2666">
        <f>O53*10</f>
        <v>76.950269368347293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8" firstPageNumber="15" orientation="portrait" useFirstPageNumber="1" horizontalDpi="300" verticalDpi="300" r:id="rId1"/>
  <headerFooter alignWithMargins="0">
    <oddFooter>&amp;L&amp;12LEL Schwäbisch Gmünd (Abtlg. II)
LAZBW Aulendorf&amp;C&amp;12 101&amp;9
&amp;R&amp;12&amp;F
&amp;A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9">
    <pageSetUpPr fitToPage="1"/>
  </sheetPr>
  <dimension ref="A1:CA70"/>
  <sheetViews>
    <sheetView showGridLines="0" showZeros="0" zoomScaleNormal="100" zoomScaleSheetLayoutView="75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K52" sqref="K5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30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160</v>
      </c>
      <c r="L5" s="417"/>
      <c r="M5" s="370">
        <v>190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/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160</v>
      </c>
      <c r="L9" s="721">
        <f>IF(K7=0,0,K9/K7*100)</f>
        <v>516.12903225806451</v>
      </c>
      <c r="M9" s="809">
        <f>M5*(100-M6)/100</f>
        <v>180.5</v>
      </c>
      <c r="N9" s="810">
        <f>IF(M7=0,0,M9/M7*100)</f>
        <v>582.25806451612902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75.901328273244786</v>
      </c>
      <c r="M10" s="286"/>
      <c r="N10" s="811">
        <f>IF(R10=TRUE,IF(M8=0,0,1/M8*N9),0)</f>
        <v>85.626185958254268</v>
      </c>
      <c r="O10" s="173"/>
      <c r="P10" s="722">
        <f>IF(R10=TRUE,IF(O8=0,0,1/O8*P9),0)</f>
        <v>99.146110056926005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148.80000000000001</v>
      </c>
      <c r="L11" s="709">
        <f>IF(L7=0,0,K11/L7*100)</f>
        <v>450.90909090909099</v>
      </c>
      <c r="M11" s="812">
        <f>M9*(100-N6)/100</f>
        <v>167.86500000000001</v>
      </c>
      <c r="N11" s="813">
        <f>IF(N7=0,0,M11/N7*100)</f>
        <v>508.68181818181819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66.310160427807503</v>
      </c>
      <c r="M12" s="801"/>
      <c r="N12" s="814">
        <f>IF(N8=0,0,1/N8*N11)</f>
        <v>74.806149732620327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4464</v>
      </c>
      <c r="L15" s="418"/>
      <c r="M15" s="816">
        <f>M$11*M13</f>
        <v>5035.9500000000007</v>
      </c>
      <c r="N15" s="784"/>
      <c r="O15" s="497">
        <f>O$11*O13</f>
        <v>5831.1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160.70399999999998</v>
      </c>
      <c r="L16" s="417"/>
      <c r="M16" s="817">
        <f>M$11*M14</f>
        <v>181.29419999999999</v>
      </c>
      <c r="N16" s="428"/>
      <c r="O16" s="498">
        <f>O$11*O14</f>
        <v>209.91959999999997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631.11189866666655</v>
      </c>
      <c r="M17" s="2600">
        <f>K17</f>
        <v>1</v>
      </c>
      <c r="N17" s="2591">
        <f>M17*(N33*(1-$AC$14)+N34*(1-$AC$15)+N35*(1-$AC$16)+N36*(1-$AC$17))</f>
        <v>711.97311068333329</v>
      </c>
      <c r="O17" s="2601">
        <f>K17</f>
        <v>1</v>
      </c>
      <c r="P17" s="2590">
        <f>O17*(P33*(1-$AC$14)+P34*(1-$AC$15)+P35*(1-$AC$16)+P36*(1-$AC$17))</f>
        <v>824.38991763333331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SUM(L19:L23)</f>
        <v>0</v>
      </c>
      <c r="M18" s="785"/>
      <c r="N18" s="2583">
        <f>SUM(N19:N23)</f>
        <v>0</v>
      </c>
      <c r="O18" s="326"/>
      <c r="P18" s="2582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309.97899999999998</v>
      </c>
      <c r="M27" s="804"/>
      <c r="N27" s="786">
        <f>SUM(N29:N30)</f>
        <v>309.97899999999998</v>
      </c>
      <c r="O27" s="330"/>
      <c r="P27" s="325">
        <f>SUM(P29:P30)</f>
        <v>309.97899999999998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1.3</v>
      </c>
      <c r="L29" s="337">
        <f>$I29*K29</f>
        <v>95.978999999999999</v>
      </c>
      <c r="M29" s="440">
        <v>1.3</v>
      </c>
      <c r="N29" s="791">
        <f>$I29*M29</f>
        <v>95.978999999999999</v>
      </c>
      <c r="O29" s="440">
        <v>1.3</v>
      </c>
      <c r="P29" s="337">
        <f>$I29*O29</f>
        <v>95.978999999999999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100</v>
      </c>
      <c r="I30" s="712">
        <f>H30*($H$27+100)/100</f>
        <v>107</v>
      </c>
      <c r="J30" s="92"/>
      <c r="K30" s="441">
        <v>2</v>
      </c>
      <c r="L30" s="333">
        <f>$I30*K30</f>
        <v>214</v>
      </c>
      <c r="M30" s="441">
        <v>2</v>
      </c>
      <c r="N30" s="792">
        <f>$I30*M30</f>
        <v>214</v>
      </c>
      <c r="O30" s="441">
        <v>2</v>
      </c>
      <c r="P30" s="333">
        <f>$I30*O30</f>
        <v>214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737.46362666666664</v>
      </c>
      <c r="M31" s="819"/>
      <c r="N31" s="786">
        <f>SUM(N33:N36)</f>
        <v>831.95115383333325</v>
      </c>
      <c r="O31" s="334"/>
      <c r="P31" s="325">
        <f>SUM(P33:P36)</f>
        <v>963.31186233333335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206.4</v>
      </c>
      <c r="L33" s="337">
        <f>K33*$E33</f>
        <v>354.50576000000001</v>
      </c>
      <c r="M33" s="820">
        <f>G33*$M$9+H33</f>
        <v>232.845</v>
      </c>
      <c r="N33" s="791">
        <f>M33*$E33</f>
        <v>399.92681049999999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92.8</v>
      </c>
      <c r="L34" s="337">
        <f>K34*$E34</f>
        <v>104.91039999999998</v>
      </c>
      <c r="M34" s="820">
        <f>G34*$M$9+H34</f>
        <v>104.69</v>
      </c>
      <c r="N34" s="791">
        <f>M34*$E34</f>
        <v>118.35204499999998</v>
      </c>
      <c r="O34" s="336">
        <f>G34*$O$9+H34</f>
        <v>121.21999999999998</v>
      </c>
      <c r="P34" s="337">
        <f>O34*$E34</f>
        <v>137.03920999999997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1.54</v>
      </c>
      <c r="H35" s="386"/>
      <c r="I35"/>
      <c r="J35" s="172"/>
      <c r="K35" s="336">
        <f>G35*$K$9+H35</f>
        <v>246.4</v>
      </c>
      <c r="L35" s="337">
        <f>K35*$E35</f>
        <v>259.00746666666663</v>
      </c>
      <c r="M35" s="820">
        <f>G35*$M$9+H35</f>
        <v>277.97000000000003</v>
      </c>
      <c r="N35" s="791">
        <f>M35*$E35</f>
        <v>292.19279833333331</v>
      </c>
      <c r="O35" s="336">
        <f>G35*$O$9+H35</f>
        <v>321.86</v>
      </c>
      <c r="P35" s="337">
        <f>O35*$E35</f>
        <v>338.32850333333334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32</v>
      </c>
      <c r="L36" s="333">
        <f>K36*$E36</f>
        <v>19.04</v>
      </c>
      <c r="M36" s="821">
        <f>G36*$M$9+H36</f>
        <v>36.1</v>
      </c>
      <c r="N36" s="792">
        <f>M36*$E36</f>
        <v>21.479500000000002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87.732749999999996</v>
      </c>
      <c r="M37" s="793"/>
      <c r="N37" s="786">
        <f>SUM(N39:N41)</f>
        <v>87.732749999999996</v>
      </c>
      <c r="O37" s="339"/>
      <c r="P37" s="325">
        <f>SUM(P39:P41)</f>
        <v>87.732749999999996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1.5</v>
      </c>
      <c r="L39" s="337">
        <f>$I39*K39</f>
        <v>38.555999999999997</v>
      </c>
      <c r="M39" s="165">
        <v>1.5</v>
      </c>
      <c r="N39" s="791">
        <f>$I39*M39</f>
        <v>38.555999999999997</v>
      </c>
      <c r="O39" s="165">
        <v>1.5</v>
      </c>
      <c r="P39" s="337">
        <f>$I39*O39</f>
        <v>38.555999999999997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0.75</v>
      </c>
      <c r="L40" s="337">
        <f>$I40*K40</f>
        <v>49.176749999999998</v>
      </c>
      <c r="M40" s="165">
        <v>0.75</v>
      </c>
      <c r="N40" s="791">
        <f>$I40*M40</f>
        <v>49.176749999999998</v>
      </c>
      <c r="O40" s="165">
        <v>0.75</v>
      </c>
      <c r="P40" s="337">
        <f>$I40*O40</f>
        <v>49.176749999999998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461.00970587588381</v>
      </c>
      <c r="M42" s="823"/>
      <c r="N42" s="786">
        <f>SUM(W45:W55)</f>
        <v>489.58998675772773</v>
      </c>
      <c r="O42" s="425"/>
      <c r="P42" s="325">
        <f>SUM(Z45:Z55)</f>
        <v>529.32354798370568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0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</v>
      </c>
      <c r="C47" s="104"/>
      <c r="D47" s="137"/>
      <c r="E47" s="8"/>
      <c r="F47" s="8"/>
      <c r="G47" s="731"/>
      <c r="H47" s="726" t="str">
        <f>IF($B47=0,0,VLOOKUP($B47,Arbeitsgänge!$B$27:$T$80,7))</f>
        <v>120 Kw</v>
      </c>
      <c r="I47" s="727">
        <f>IF($B47=0,0,VLOOKUP($B47,Arbeitsgänge!$B$27:$T$80,12))</f>
        <v>1.45</v>
      </c>
      <c r="J47" s="470">
        <f>IF($B47=0,0,VLOOKUP($B47,Arbeitsgänge!$B$27:$T$80,14))</f>
        <v>91.198364600000005</v>
      </c>
      <c r="K47" s="375">
        <v>1</v>
      </c>
      <c r="L47" s="337">
        <f t="shared" si="0"/>
        <v>91.198364600000005</v>
      </c>
      <c r="M47" s="375">
        <v>1</v>
      </c>
      <c r="N47" s="791">
        <f t="shared" si="1"/>
        <v>91.198364600000005</v>
      </c>
      <c r="O47" s="375">
        <v>1</v>
      </c>
      <c r="P47" s="337">
        <f t="shared" si="2"/>
        <v>91.198364600000005</v>
      </c>
      <c r="Q47" s="528"/>
      <c r="R47" s="1348">
        <f t="shared" si="3"/>
        <v>1.45</v>
      </c>
      <c r="S47" s="471" t="e">
        <f>K47*#REF!</f>
        <v>#REF!</v>
      </c>
      <c r="T47" s="258">
        <f t="shared" si="4"/>
        <v>91.198364600000005</v>
      </c>
      <c r="U47" s="1349">
        <f t="shared" si="5"/>
        <v>1.45</v>
      </c>
      <c r="V47" s="1350" t="e">
        <f>M47*#REF!</f>
        <v>#REF!</v>
      </c>
      <c r="W47" s="827">
        <f t="shared" si="6"/>
        <v>91.198364600000005</v>
      </c>
      <c r="X47" s="1351">
        <f t="shared" si="7"/>
        <v>1.45</v>
      </c>
      <c r="Y47" s="471" t="e">
        <f>O47*#REF!</f>
        <v>#REF!</v>
      </c>
      <c r="Z47" s="258">
        <f t="shared" si="8"/>
        <v>91.198364600000005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3</v>
      </c>
      <c r="C48" s="10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1.02</v>
      </c>
      <c r="J48" s="470">
        <f>IF($B48=0,0,VLOOKUP($B48,Arbeitsgänge!$B$27:$T$80,14))</f>
        <v>32.484850928</v>
      </c>
      <c r="K48" s="375">
        <v>1</v>
      </c>
      <c r="L48" s="337">
        <f t="shared" si="0"/>
        <v>32.484850928</v>
      </c>
      <c r="M48" s="375">
        <v>1</v>
      </c>
      <c r="N48" s="791">
        <f t="shared" si="1"/>
        <v>32.484850928</v>
      </c>
      <c r="O48" s="375">
        <v>1</v>
      </c>
      <c r="P48" s="337">
        <f t="shared" si="2"/>
        <v>32.484850928</v>
      </c>
      <c r="Q48" s="528"/>
      <c r="R48" s="1348">
        <f t="shared" si="3"/>
        <v>1.02</v>
      </c>
      <c r="S48" s="471" t="e">
        <f>K48*#REF!</f>
        <v>#REF!</v>
      </c>
      <c r="T48" s="258">
        <f t="shared" si="4"/>
        <v>32.484850928</v>
      </c>
      <c r="U48" s="1349">
        <f t="shared" si="5"/>
        <v>1.02</v>
      </c>
      <c r="V48" s="1350" t="e">
        <f>M48*#REF!</f>
        <v>#REF!</v>
      </c>
      <c r="W48" s="827">
        <f t="shared" si="6"/>
        <v>32.484850928</v>
      </c>
      <c r="X48" s="1351">
        <f t="shared" si="7"/>
        <v>1.02</v>
      </c>
      <c r="Y48" s="471" t="e">
        <f>O48*#REF!</f>
        <v>#REF!</v>
      </c>
      <c r="Z48" s="258">
        <f t="shared" si="8"/>
        <v>32.484850928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10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0.55000000000000004</v>
      </c>
      <c r="J49" s="470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726" t="str">
        <f>IF($B50=0,0,VLOOKUP($B50,Arbeitsgänge!$B$27:$T$80,7))</f>
        <v>45 kW</v>
      </c>
      <c r="I50" s="727">
        <f>IF($B50=0,0,VLOOKUP($B50,Arbeitsgänge!$B$27:$T$80,12))</f>
        <v>0.37</v>
      </c>
      <c r="J50" s="470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726" t="str">
        <f>IF($B51=0,0,VLOOKUP($B51,Arbeitsgänge!$B$27:$T$80,7))</f>
        <v>54 kW</v>
      </c>
      <c r="I51" s="727">
        <f>IF($B51=0,0,VLOOKUP($B51,Arbeitsgänge!$B$27:$T$80,12))</f>
        <v>0.22</v>
      </c>
      <c r="J51" s="470">
        <f>IF($B51=0,0,VLOOKUP($B51,Arbeitsgänge!$B$27:$T$80,14))</f>
        <v>4.4729452375999994</v>
      </c>
      <c r="K51" s="375">
        <v>1</v>
      </c>
      <c r="L51" s="337">
        <f t="shared" si="0"/>
        <v>4.4729452375999994</v>
      </c>
      <c r="M51" s="375">
        <v>1</v>
      </c>
      <c r="N51" s="791">
        <f t="shared" si="1"/>
        <v>4.4729452375999994</v>
      </c>
      <c r="O51" s="375">
        <v>1</v>
      </c>
      <c r="P51" s="337">
        <f t="shared" si="2"/>
        <v>4.4729452375999994</v>
      </c>
      <c r="Q51" s="528"/>
      <c r="R51" s="1348">
        <f t="shared" si="3"/>
        <v>0.22</v>
      </c>
      <c r="S51" s="471" t="e">
        <f>K51*#REF!</f>
        <v>#REF!</v>
      </c>
      <c r="T51" s="258">
        <f t="shared" si="4"/>
        <v>4.4729452375999994</v>
      </c>
      <c r="U51" s="1349">
        <f t="shared" si="5"/>
        <v>0.22</v>
      </c>
      <c r="V51" s="1350" t="e">
        <f>M51*#REF!</f>
        <v>#REF!</v>
      </c>
      <c r="W51" s="827">
        <f t="shared" si="6"/>
        <v>4.4729452375999994</v>
      </c>
      <c r="X51" s="1351">
        <f t="shared" si="7"/>
        <v>0.22</v>
      </c>
      <c r="Y51" s="471" t="e">
        <f>O51*#REF!</f>
        <v>#REF!</v>
      </c>
      <c r="Z51" s="258">
        <f t="shared" si="8"/>
        <v>4.4729452375999994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7.88</v>
      </c>
      <c r="J52" s="470">
        <f>IF($B52=0,0,VLOOKUP($B52,Arbeitsgänge!$B$27:$T$80,14))</f>
        <v>160.81118482240001</v>
      </c>
      <c r="K52" s="375">
        <f>L9/500</f>
        <v>1.032258064516129</v>
      </c>
      <c r="L52" s="337">
        <f t="shared" si="0"/>
        <v>165.99864239731613</v>
      </c>
      <c r="M52" s="375">
        <f>N9/500</f>
        <v>1.1645161290322581</v>
      </c>
      <c r="N52" s="791">
        <f t="shared" si="1"/>
        <v>187.26721845447227</v>
      </c>
      <c r="O52" s="375">
        <f>P9/500</f>
        <v>1.3483870967741935</v>
      </c>
      <c r="P52" s="337">
        <f t="shared" si="2"/>
        <v>216.8357266314942</v>
      </c>
      <c r="Q52" s="528"/>
      <c r="R52" s="1348">
        <f t="shared" si="3"/>
        <v>8.1341935483870973</v>
      </c>
      <c r="S52" s="471" t="e">
        <f>K52*#REF!</f>
        <v>#REF!</v>
      </c>
      <c r="T52" s="258">
        <f t="shared" si="4"/>
        <v>165.99864239731613</v>
      </c>
      <c r="U52" s="1349">
        <f t="shared" si="5"/>
        <v>9.1763870967741941</v>
      </c>
      <c r="V52" s="1350" t="e">
        <f>M52*#REF!</f>
        <v>#REF!</v>
      </c>
      <c r="W52" s="827">
        <f t="shared" si="6"/>
        <v>187.26721845447227</v>
      </c>
      <c r="X52" s="1351">
        <f t="shared" si="7"/>
        <v>10.625290322580645</v>
      </c>
      <c r="Y52" s="471" t="e">
        <f>O52*#REF!</f>
        <v>#REF!</v>
      </c>
      <c r="Z52" s="258">
        <f t="shared" si="8"/>
        <v>216.8357266314942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2.13</v>
      </c>
      <c r="J53" s="470">
        <f>IF($B53=0,0,VLOOKUP($B53,Arbeitsgänge!$B$27:$T$80,14))</f>
        <v>55.283621845199988</v>
      </c>
      <c r="K53" s="375">
        <f>L9/500</f>
        <v>1.032258064516129</v>
      </c>
      <c r="L53" s="337">
        <f t="shared" si="0"/>
        <v>57.066964485367727</v>
      </c>
      <c r="M53" s="375">
        <f>N9/500</f>
        <v>1.1645161290322581</v>
      </c>
      <c r="N53" s="791">
        <f t="shared" si="1"/>
        <v>64.378669310055471</v>
      </c>
      <c r="O53" s="375">
        <f>P9/500</f>
        <v>1.3483870967741935</v>
      </c>
      <c r="P53" s="337">
        <f t="shared" si="2"/>
        <v>74.543722359011596</v>
      </c>
      <c r="Q53" s="528"/>
      <c r="R53" s="1348">
        <f t="shared" si="3"/>
        <v>2.1987096774193549</v>
      </c>
      <c r="S53" s="471" t="e">
        <f>K53*#REF!</f>
        <v>#REF!</v>
      </c>
      <c r="T53" s="258">
        <f t="shared" si="4"/>
        <v>57.066964485367727</v>
      </c>
      <c r="U53" s="1349">
        <f t="shared" si="5"/>
        <v>2.4804193548387095</v>
      </c>
      <c r="V53" s="1350" t="e">
        <f>M53*#REF!</f>
        <v>#REF!</v>
      </c>
      <c r="W53" s="827">
        <f t="shared" si="6"/>
        <v>64.378669310055471</v>
      </c>
      <c r="X53" s="1351">
        <f t="shared" si="7"/>
        <v>2.8720645161290319</v>
      </c>
      <c r="Y53" s="471" t="e">
        <f>O53*#REF!</f>
        <v>#REF!</v>
      </c>
      <c r="Z53" s="258">
        <f t="shared" si="8"/>
        <v>74.543722359011596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v>80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5"/>
      <c r="N54" s="791">
        <f t="shared" si="1"/>
        <v>0</v>
      </c>
      <c r="O54" s="375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2802"/>
      <c r="L55" s="372">
        <f t="shared" si="0"/>
        <v>0</v>
      </c>
      <c r="M55" s="2804"/>
      <c r="N55" s="796">
        <f t="shared" si="1"/>
        <v>0</v>
      </c>
      <c r="O55" s="2804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15.952903225806452</v>
      </c>
      <c r="L56" s="341"/>
      <c r="M56" s="797">
        <f>SUM($U$45:$U$55)</f>
        <v>17.276806451612902</v>
      </c>
      <c r="N56" s="798"/>
      <c r="O56" s="340">
        <f>SUM($X$45:$X$55)</f>
        <v>19.117354838709677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25.952903225806452</v>
      </c>
      <c r="L57" s="343"/>
      <c r="M57" s="799">
        <f>IF(M56+(M56*$G$57/100)&gt;M56+10,M56+10,M56+(M56*$G$57/100))</f>
        <v>27.276806451612902</v>
      </c>
      <c r="N57" s="800"/>
      <c r="O57" s="342">
        <f>IF(O56+(O56*$G$57/100)&gt;O56+10,O56+10,O56+(O56*$G$57/100))</f>
        <v>29.117354838709677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540.64080000000013</v>
      </c>
      <c r="M58" s="826"/>
      <c r="N58" s="786">
        <f>SUM(N60:N62)</f>
        <v>604.07940250000001</v>
      </c>
      <c r="O58" s="344"/>
      <c r="P58" s="325">
        <f>SUM(P60:P62)</f>
        <v>677.4140450000001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160</v>
      </c>
      <c r="I60" s="3022"/>
      <c r="J60" s="3013">
        <f>H60*($H$58+100)/100</f>
        <v>190.4</v>
      </c>
      <c r="K60" s="3023">
        <v>1.8</v>
      </c>
      <c r="L60" s="3015">
        <f>K60*J60</f>
        <v>342.72</v>
      </c>
      <c r="M60" s="3023">
        <v>2</v>
      </c>
      <c r="N60" s="3016">
        <f>M60*J60</f>
        <v>380.8</v>
      </c>
      <c r="O60" s="3023">
        <v>2.2000000000000002</v>
      </c>
      <c r="P60" s="3015">
        <f>O60*J60</f>
        <v>418.88000000000005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1177"/>
      <c r="L61" s="258">
        <f>K61*J61</f>
        <v>0</v>
      </c>
      <c r="M61" s="1177"/>
      <c r="N61" s="827">
        <f>M61*J61</f>
        <v>0</v>
      </c>
      <c r="O61" s="1177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36.960000000000008</v>
      </c>
      <c r="L62" s="308">
        <f>K62*I62</f>
        <v>197.92080000000007</v>
      </c>
      <c r="M62" s="2626">
        <f>M11/($V$63)/10*($V$65*M17)</f>
        <v>41.695500000000003</v>
      </c>
      <c r="N62" s="828">
        <f>M62*I62</f>
        <v>223.27940250000003</v>
      </c>
      <c r="O62" s="2626">
        <f>O11/($V$63)/10*($V$65*O17)</f>
        <v>48.279000000000003</v>
      </c>
      <c r="P62" s="308">
        <f>O62*I62</f>
        <v>258.53404500000005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>
        <v>0</v>
      </c>
      <c r="L64" s="346"/>
      <c r="M64" s="149">
        <v>0</v>
      </c>
      <c r="N64" s="803"/>
      <c r="O64" s="149">
        <v>0</v>
      </c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17.409600000000001</v>
      </c>
      <c r="M65" s="1357"/>
      <c r="N65" s="786">
        <f>M66*$H66/100</f>
        <v>19.640205000000002</v>
      </c>
      <c r="O65" s="347"/>
      <c r="P65" s="325">
        <f>O66*$H66/100</f>
        <v>22.741290000000003</v>
      </c>
      <c r="Q65" s="529"/>
      <c r="R65" s="542"/>
      <c r="S65" s="1167"/>
      <c r="T65" s="2598"/>
      <c r="U65" s="2598"/>
      <c r="V65" s="2599">
        <v>0.77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1.3</v>
      </c>
      <c r="I66" s="74"/>
      <c r="J66" s="361" t="s">
        <v>266</v>
      </c>
      <c r="K66" s="3181">
        <f>K15*0.3</f>
        <v>1339.2</v>
      </c>
      <c r="L66" s="348"/>
      <c r="M66" s="3181">
        <f>M15*0.3</f>
        <v>1510.7850000000001</v>
      </c>
      <c r="N66" s="789"/>
      <c r="O66" s="3181">
        <f>O15*0.3</f>
        <v>1749.3300000000002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79.5</v>
      </c>
      <c r="M67" s="830"/>
      <c r="N67" s="786">
        <f>SUM(N68:N69)</f>
        <v>79.5</v>
      </c>
      <c r="O67" s="330"/>
      <c r="P67" s="325">
        <f>SUM(P68:P69)</f>
        <v>79.5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 t="s">
        <v>171</v>
      </c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>
        <v>20</v>
      </c>
      <c r="M69" s="774"/>
      <c r="N69" s="938">
        <v>20</v>
      </c>
      <c r="O69" s="774"/>
      <c r="P69" s="938">
        <v>20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Aulendorf&amp;C&amp;12 102&amp;9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4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0">
    <tabColor rgb="FFFFC000"/>
    <pageSetUpPr fitToPage="1"/>
  </sheetPr>
  <dimension ref="A1:BP92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X26" sqref="X2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'42)Grürog.+Silom. Biog ex S(a)'!J2</f>
        <v>2022</v>
      </c>
      <c r="K2" s="2504" t="s">
        <v>858</v>
      </c>
      <c r="L2" s="2502"/>
      <c r="M2" s="2505"/>
      <c r="N2" s="2529"/>
      <c r="O2" s="2801" t="str">
        <f>'42)Grürog.+Silom. Biog ex S(a)'!M2</f>
        <v>Grünroggen-Silomais Biog.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8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4" t="str">
        <f>'42)Grürog.+Silom. Biog ex S(a)'!H3</f>
        <v>Silage für Biogasanlage; Rücklieferung Gärrest unter 100% Anrechung der Netto-Nährstoffe (30% N-Verluste); Vollkosten incl. Kosten der Gärrest-Ausbringung</v>
      </c>
      <c r="H3" s="4345"/>
      <c r="I3" s="4345"/>
      <c r="J3" s="4345"/>
      <c r="K3" s="4345"/>
      <c r="L3" s="4345"/>
      <c r="M3" s="4345"/>
      <c r="N3" s="4345"/>
      <c r="O3" s="4346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1588</v>
      </c>
      <c r="F6" s="26"/>
      <c r="G6" s="26"/>
      <c r="H6" s="26"/>
      <c r="I6" s="238"/>
      <c r="J6" s="238"/>
      <c r="K6" s="238"/>
      <c r="L6" s="512" t="s">
        <v>139</v>
      </c>
      <c r="M6" s="316">
        <f>'42)Grürog.+Silom. Biog ex S(a)'!K5</f>
        <v>160</v>
      </c>
      <c r="N6" s="1735">
        <f>'42)Grürog.+Silom. Biog ex S(a)'!M5</f>
        <v>190</v>
      </c>
      <c r="O6" s="1743">
        <f>'42)Grürog.+Silom. Biog ex S(a)'!O5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'42)Grürog.+Silom. Biog ex S(a)'!K9</f>
        <v>160</v>
      </c>
      <c r="N7" s="1736">
        <f>'42)Grürog.+Silom. Biog ex S(a)'!M9</f>
        <v>180.5</v>
      </c>
      <c r="O7" s="1744">
        <f>'42)Grürog.+Silom. Biog ex S(a)'!O9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'42)Grürog.+Silom. Biog ex S(a)'!L9</f>
        <v>516.12903225806451</v>
      </c>
      <c r="N8" s="1737">
        <f>'42)Grürog.+Silom. Biog ex S(a)'!N9</f>
        <v>582.25806451612902</v>
      </c>
      <c r="O8" s="1583">
        <f>'42)Grürog.+Silom. Biog ex S(a)'!P9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'42)Grürog.+Silom. Biog ex S(a)'!K11</f>
        <v>148.80000000000001</v>
      </c>
      <c r="N9" s="1562">
        <f>'42)Grürog.+Silom. Biog ex S(a)'!M11</f>
        <v>167.86500000000001</v>
      </c>
      <c r="O9" s="1747">
        <f>'42)Grürog.+Silom. Biog ex S(a)'!O11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'42)Grürog.+Silom. Biog ex S(a)'!L11</f>
        <v>450.90909090909099</v>
      </c>
      <c r="N10" s="1582">
        <f>'42)Grürog.+Silom. Biog ex S(a)'!N11</f>
        <v>508.68181818181819</v>
      </c>
      <c r="O10" s="2014">
        <f>'42)Grürog.+Silom. Biog ex S(a)'!P11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'42)Grürog.+Silom. Biog ex S(a)'!L12</f>
        <v>66.310160427807503</v>
      </c>
      <c r="N11" s="1818">
        <f>'42)Grürog.+Silom. Biog ex S(a)'!N12</f>
        <v>74.806149732620327</v>
      </c>
      <c r="O11" s="1819">
        <f>'42)Grürog.+Silom. Biog ex S(a)'!P12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'42)Grürog.+Silom. Biog ex S(a)'!K15</f>
        <v>4464</v>
      </c>
      <c r="N12" s="1738">
        <f>'42)Grürog.+Silom. Biog ex S(a)'!M15</f>
        <v>5035.9500000000007</v>
      </c>
      <c r="O12" s="1745">
        <f>'42)Grürog.+Silom. Biog ex S(a)'!O15</f>
        <v>5831.1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'42)Grürog.+Silom. Biog ex S(a)'!K16</f>
        <v>160.70399999999998</v>
      </c>
      <c r="N13" s="2077">
        <f>'42)Grürog.+Silom. Biog ex S(a)'!M16</f>
        <v>181.29419999999999</v>
      </c>
      <c r="O13" s="2078">
        <f>'42)Grürog.+Silom. Biog ex S(a)'!O16</f>
        <v>209.91959999999997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'42)Grürog.+Silom. Biog ex S(a)'!L24</f>
        <v>270</v>
      </c>
      <c r="N15" s="3338">
        <f>'42)Grürog.+Silom. Biog ex S(a)'!N24</f>
        <v>270</v>
      </c>
      <c r="O15" s="3341">
        <f>'42)Grürog.+Silom. Biog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'42)Grürog.+Silom. Biog ex S(a)'!L18</f>
        <v>0</v>
      </c>
      <c r="N16" s="1736">
        <f>'42)Grürog.+Silom. Biog ex S(a)'!N18</f>
        <v>0</v>
      </c>
      <c r="O16" s="3343">
        <f>'42)Grürog.+Silom. Biog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'42)Grürog.+Silom. Biog ex S(a)'!L27</f>
        <v>309.97899999999998</v>
      </c>
      <c r="N19" s="2072">
        <f>'42)Grürog.+Silom. Biog ex S(a)'!N27</f>
        <v>309.97899999999998</v>
      </c>
      <c r="O19" s="2072">
        <f>'42)Grürog.+Silom. Biog ex S(a)'!P27</f>
        <v>309.97899999999998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'42)Grürog.+Silom. Biog ex S(a)'!L31-'42)Grürog.+Silom. Biog ex S(a)'!L17</f>
        <v>106.35172800000009</v>
      </c>
      <c r="N20" s="1567">
        <f>'42)Grürog.+Silom. Biog ex S(a)'!N31-'42)Grürog.+Silom. Biog ex S(a)'!N17</f>
        <v>119.97804314999996</v>
      </c>
      <c r="O20" s="1567">
        <f>'42)Grürog.+Silom. Biog ex S(a)'!P31-'42)Grürog.+Silom. Biog ex S(a)'!P17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'42)Grürog.+Silom. Biog ex S(a)'!L37</f>
        <v>87.732749999999996</v>
      </c>
      <c r="N21" s="1567">
        <f>'42)Grürog.+Silom. Biog ex S(a)'!N37</f>
        <v>87.732749999999996</v>
      </c>
      <c r="O21" s="1574">
        <f>'42)Grürog.+Silom. Biog ex S(a)'!P37</f>
        <v>87.732749999999996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'42)Grürog.+Silom. Biog ex S(a)'!L65</f>
        <v>17.409600000000001</v>
      </c>
      <c r="N22" s="1567">
        <f>'42)Grürog.+Silom. Biog ex S(a)'!N65</f>
        <v>19.640205000000002</v>
      </c>
      <c r="O22" s="1574">
        <f>'42)Grürog.+Silom. Biog ex S(a)'!P65</f>
        <v>22.741290000000003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'42)Grürog.+Silom. Biog ex S(a)'!L67</f>
        <v>79.5</v>
      </c>
      <c r="N23" s="1567">
        <f>'42)Grürog.+Silom. Biog ex S(a)'!N67</f>
        <v>79.5</v>
      </c>
      <c r="O23" s="1574">
        <f>'42)Grürog.+Silom. Biog ex S(a)'!P67</f>
        <v>79.5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'42)Grürog.+Silom. Biog ex S(a)'!L42</f>
        <v>461.00970587588381</v>
      </c>
      <c r="N24" s="1567">
        <f>'42)Grürog.+Silom. Biog ex S(a)'!N42</f>
        <v>489.58998675772773</v>
      </c>
      <c r="O24" s="1574">
        <f>'42)Grürog.+Silom. Biog ex S(a)'!P42</f>
        <v>529.32354798370568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'42)Grürog.+Silom. Biog ex S(a)'!L58</f>
        <v>540.64080000000013</v>
      </c>
      <c r="N25" s="1567">
        <f>'42)Grürog.+Silom. Biog ex S(a)'!N58</f>
        <v>604.07940250000001</v>
      </c>
      <c r="O25" s="1574">
        <f>'42)Grürog.+Silom. Biog ex S(a)'!P58</f>
        <v>677.4140450000001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'42)Grürog.+Silom. Biog ex S(a)'!L63</f>
        <v>0</v>
      </c>
      <c r="N26" s="1980">
        <f>'42)Grürog.+Silom. Biog ex S(a)'!N63</f>
        <v>0</v>
      </c>
      <c r="O26" s="1981">
        <f>'42)Grürog.+Silom. Biog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1602.6235838758839</v>
      </c>
      <c r="N27" s="1775">
        <f>SUM(N19:N26)</f>
        <v>1710.4993874077277</v>
      </c>
      <c r="O27" s="2055">
        <f>SUM(O19:O26)</f>
        <v>1845.6125776837057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-1602.6235838758839</v>
      </c>
      <c r="N28" s="2060">
        <f>-N27</f>
        <v>-1710.4993874077277</v>
      </c>
      <c r="O28" s="2061">
        <f>-O27</f>
        <v>-1845.6125776837057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M27*'42)Grürog.+Silom. Biog ex S(a)'!$L$70*'42)Grürog.+Silom. Biog ex S(a)'!$P$70/12/100</f>
        <v>10.016397399224275</v>
      </c>
      <c r="N30" s="1980">
        <f>N27*'42)Grürog.+Silom. Biog ex S(a)'!$L$70*'42)Grürog.+Silom. Biog ex S(a)'!$P$70/12/100</f>
        <v>10.690621171298297</v>
      </c>
      <c r="O30" s="1981">
        <f>O27*'42)Grürog.+Silom. Biog ex S(a)'!$L$70*'42)Grürog.+Silom. Biog ex S(a)'!$P$70/12/100</f>
        <v>11.535078610523163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-1342.6399812751083</v>
      </c>
      <c r="N31" s="1769">
        <f>N28+N29-N30</f>
        <v>-1451.190008579026</v>
      </c>
      <c r="O31" s="1776">
        <f>O28+O29-O30</f>
        <v>-1587.1476562942289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-0.30077060512435222</v>
      </c>
      <c r="N32" s="1561">
        <f>IF(N12=0,0,N31/N12)</f>
        <v>-0.28816608754634693</v>
      </c>
      <c r="O32" s="2047">
        <f>IF(O12=0,0,O31/O12)</f>
        <v>-0.27218666397321756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-8.3547390312320076</v>
      </c>
      <c r="N33" s="1576">
        <f>IF(N13=0,0,N31/N13)</f>
        <v>-8.0046135429540826</v>
      </c>
      <c r="O33" s="2052">
        <f>IF(O13=0,0,O31/O13)</f>
        <v>-7.5607406659227108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'42)Grürog.+Silom. Biog ex S(a)'!K57</f>
        <v>25.952903225806452</v>
      </c>
      <c r="N35" s="2396">
        <f>'42)Grürog.+Silom. Biog ex S(a)'!M57</f>
        <v>27.276806451612902</v>
      </c>
      <c r="O35" s="2398">
        <f>'42)Grürog.+Silom. Biog ex S(a)'!O57</f>
        <v>29.117354838709677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'42)Grürog.+Silom. Biog ex S(a)'!L10</f>
        <v>75.901328273244786</v>
      </c>
      <c r="N36" s="2431">
        <f>'42)Grürog.+Silom. Biog ex S(a)'!N10</f>
        <v>85.626185958254268</v>
      </c>
      <c r="O36" s="2432">
        <f>'42)Grürog.+Silom. Biog ex S(a)'!P10</f>
        <v>99.146110056926005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454.17580645161291</v>
      </c>
      <c r="N37" s="1567">
        <f>$J$37*N35</f>
        <v>477.34411290322578</v>
      </c>
      <c r="O37" s="1574">
        <f>$J$37*O35</f>
        <v>509.55370967741936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368.81720430107532</v>
      </c>
      <c r="N38" s="2433">
        <f>N36*$I$36</f>
        <v>416.07190860215053</v>
      </c>
      <c r="O38" s="2429">
        <f>O36*$I$36</f>
        <v>481.76747311827961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1805.736154803614</v>
      </c>
      <c r="N43" s="1991">
        <f>SUM(N37:N42)</f>
        <v>1566.1591655563022</v>
      </c>
      <c r="O43" s="1994">
        <f>SUM(O37:O42)</f>
        <v>1664.0643268466249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3418.3761360787221</v>
      </c>
      <c r="N46" s="2041">
        <f>N27+N30+N43</f>
        <v>3287.3491741353282</v>
      </c>
      <c r="O46" s="2080">
        <f>O27+O30+O43</f>
        <v>3521.2119831408536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-3418.3761360787221</v>
      </c>
      <c r="N47" s="2227">
        <f>N45-N46</f>
        <v>-3287.3491741353282</v>
      </c>
      <c r="O47" s="2228">
        <f>O45-O46</f>
        <v>-3521.2119831408536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-3148.3761360787221</v>
      </c>
      <c r="N49" s="1991">
        <f>N47+N48</f>
        <v>-3017.3491741353282</v>
      </c>
      <c r="O49" s="1994">
        <f>O47+O48</f>
        <v>-3251.2119831408536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3148.3761360787221</v>
      </c>
      <c r="N51" s="1771">
        <f>N46-N48</f>
        <v>3017.3491741353282</v>
      </c>
      <c r="O51" s="3358">
        <f>O46-O48</f>
        <v>3251.2119831408536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6.9822857856584548</v>
      </c>
      <c r="N52" s="2335">
        <f>IF(N10=0,0,N$51/N10)</f>
        <v>5.9317024243568239</v>
      </c>
      <c r="O52" s="2336">
        <f>IF(O10=0,0,O$51/O10)</f>
        <v>5.5198845214615515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21.158441774722593</v>
      </c>
      <c r="N53" s="2335">
        <f>IF(N9=0,0,N$51/N9)</f>
        <v>17.974855831384314</v>
      </c>
      <c r="O53" s="2336">
        <f>IF(O9=0,0,O$51/O9)</f>
        <v>16.726922792307729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47.479543342477491</v>
      </c>
      <c r="N54" s="2335">
        <f t="shared" si="3"/>
        <v>40.335576485626405</v>
      </c>
      <c r="O54" s="2336">
        <f t="shared" si="3"/>
        <v>37.535214745938546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0.70528139249075317</v>
      </c>
      <c r="N55" s="2219">
        <f t="shared" si="3"/>
        <v>0.59916186104614377</v>
      </c>
      <c r="O55" s="2220">
        <f t="shared" si="3"/>
        <v>0.55756409307692434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19.591149791409812</v>
      </c>
      <c r="N56" s="2219">
        <f>IF(N13=0,0,N$51/N13)</f>
        <v>16.643385029059552</v>
      </c>
      <c r="O56" s="2220">
        <f>IF(O13=0,0,O$51/O13)</f>
        <v>15.487891474359012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0.19591149791409809</v>
      </c>
      <c r="N57" s="2222">
        <f>N51/$N$12*10/$F$57</f>
        <v>0.16643385029059549</v>
      </c>
      <c r="O57" s="2223">
        <f>O51/$O$12*10/$F$57</f>
        <v>0.15487891474359008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2779.5589317776466</v>
      </c>
      <c r="N58" s="1769">
        <f>N51-N38</f>
        <v>2601.2772655331778</v>
      </c>
      <c r="O58" s="1776">
        <f>O51-O38</f>
        <v>2769.4445100225739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18.679831530763753</v>
      </c>
      <c r="N59" s="3416">
        <f>N58/N9</f>
        <v>15.496245587425477</v>
      </c>
      <c r="O59" s="3417">
        <f>O58/O9</f>
        <v>14.24831254834889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0.62266105102545843</v>
      </c>
      <c r="N60" s="2130">
        <f>IF(N12=0,0,N$58/N12)</f>
        <v>0.51654151958084915</v>
      </c>
      <c r="O60" s="2217">
        <f>IF(O12=0,0,O$58/O12)</f>
        <v>0.47494375161162966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0.17296140306262733</v>
      </c>
      <c r="N61" s="2130">
        <f>N58/$N$12*10/$F$57</f>
        <v>0.14348375543912475</v>
      </c>
      <c r="O61" s="3422">
        <f>O58/$O$12*10/$F$57</f>
        <v>0.13192881989211935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17.296140306262739</v>
      </c>
      <c r="N62" s="1874">
        <f>IF(N13=0,0,N$58/N13)</f>
        <v>14.34837554391248</v>
      </c>
      <c r="O62" s="2032">
        <f>IF(O13=0,0,O$58/O13)</f>
        <v>13.192881989211937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610.98947539922437</v>
      </c>
      <c r="N64" s="1772">
        <f>SUM(N19:N23)+N30</f>
        <v>627.52061932129823</v>
      </c>
      <c r="O64" s="1773">
        <f>SUM(O19:O23)+O30</f>
        <v>650.41006331052324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0.13687040219516675</v>
      </c>
      <c r="N65" s="2031">
        <f>IF(N12=0,0,N64/N12)</f>
        <v>0.12460819097117687</v>
      </c>
      <c r="O65" s="2032">
        <f>IF(O12=0,0,O64/O12)</f>
        <v>0.11154157248384065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1959.3297372602667</v>
      </c>
      <c r="N66" s="2038">
        <f>N24+N25+N26+N39+N37</f>
        <v>2045.9366462118794</v>
      </c>
      <c r="O66" s="2039">
        <f>O24+O25+O26+O39+O37</f>
        <v>2191.2144467120511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0.43891795189522104</v>
      </c>
      <c r="N67" s="2168">
        <f>IF(N12=0,0,N66/N12)</f>
        <v>0.40626627472708804</v>
      </c>
      <c r="O67" s="2187">
        <f>IF(O12=0,0,O66/O12)</f>
        <v>0.37578063259283001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667" t="s">
        <v>835</v>
      </c>
      <c r="N72" s="2667" t="s">
        <v>261</v>
      </c>
      <c r="O72" s="2667" t="s">
        <v>920</v>
      </c>
    </row>
    <row r="73" spans="2:41" x14ac:dyDescent="0.2">
      <c r="K73" s="7" t="s">
        <v>263</v>
      </c>
      <c r="M73" s="2725">
        <f>M6</f>
        <v>160</v>
      </c>
      <c r="N73" s="2725">
        <f>N6</f>
        <v>190</v>
      </c>
      <c r="O73" s="2725">
        <f>O6</f>
        <v>220</v>
      </c>
    </row>
    <row r="74" spans="2:41" x14ac:dyDescent="0.2">
      <c r="K74" s="7" t="s">
        <v>419</v>
      </c>
      <c r="M74" s="2665">
        <f>M9</f>
        <v>148.80000000000001</v>
      </c>
      <c r="N74" s="2665">
        <f>N9</f>
        <v>167.86500000000001</v>
      </c>
      <c r="O74" s="2665">
        <f>O9</f>
        <v>194.37</v>
      </c>
    </row>
    <row r="75" spans="2:41" x14ac:dyDescent="0.2">
      <c r="M75" s="2666">
        <f>M53*10</f>
        <v>211.58441774722593</v>
      </c>
      <c r="N75" s="2666">
        <f>N53*10</f>
        <v>179.74855831384315</v>
      </c>
      <c r="O75" s="2666">
        <f>O53*10</f>
        <v>167.2692279230773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51:B67"/>
    <mergeCell ref="D19:D23"/>
    <mergeCell ref="B19:B27"/>
    <mergeCell ref="B28:B33"/>
    <mergeCell ref="B45:B49"/>
    <mergeCell ref="B35:B43"/>
    <mergeCell ref="B1:H1"/>
    <mergeCell ref="L1:N1"/>
    <mergeCell ref="O1:R1"/>
    <mergeCell ref="B15:B17"/>
    <mergeCell ref="G3:O3"/>
    <mergeCell ref="B2:B4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Aulendorf&amp;C&amp;12 103&amp;9
&amp;R&amp;12&amp;F
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r G F 2 V P W R M i i o A A A A + A A A A B I A H A B D b 2 5 m a W c v U G F j a 2 F n Z S 5 4 b W w g o h g A K K A U A A A A A A A A A A A A A A A A A A A A A A A A A A A A h Y 9 N C s I w G E S v U r J v / t S i 8 j V d q D s L g i B u S x r b Y J t K k 5 r e z Y V H 8 g o W t O r O 5 Q x v 4 M 3 j d o e k r 6 v g q l q r G x M j h i k K l J F N r k 0 R o 8 6 d w j l K B O w y e c 4 K F Q y w s c v e 6 h i V z l 2 W h H j v s Z / g p i 0 I p 5 S R Y 7 r d y 1 L V W a i N d Z m R C n 1 W + f 8 V E n B 4 y Q i O I 4 Z n b M H x N G J A x h p S b b 4 I H 4 w x B f J T w q q r X N c q k a t w v Q E y R i D v F + I J U E s D B B Q A A g A I A K x h d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Y X Z U K I p H u A 4 A A A A R A A A A E w A c A E Z v c m 1 1 b G F z L 1 N l Y 3 R p b 2 4 x L m 0 g o h g A K K A U A A A A A A A A A A A A A A A A A A A A A A A A A A A A K 0 5 N L s n M z 1 M I h t C G 1 g B Q S w E C L Q A U A A I A C A C s Y X Z U 9 Z E y K K g A A A D 4 A A A A E g A A A A A A A A A A A A A A A A A A A A A A Q 2 9 u Z m l n L 1 B h Y 2 t h Z 2 U u e G 1 s U E s B A i 0 A F A A C A A g A r G F 2 V A / K 6 a u k A A A A 6 Q A A A B M A A A A A A A A A A A A A A A A A 9 A A A A F t D b 2 5 0 Z W 5 0 X 1 R 5 c G V z X S 5 4 b W x Q S w E C L Q A U A A I A C A C s Y X Z U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j 6 f 0 O v E 6 U G / 6 m V i K l K K Z g A A A A A C A A A A A A A D Z g A A w A A A A B A A A A C t s 3 w U M 8 B A t v g 5 i / X e h F s 4 A A A A A A S A A A C g A A A A E A A A A C s 3 k D 4 3 J s D O K D R 8 r L O w p P p Q A A A A v 6 o C U P o i M E + N d 9 v F C a x Y e X k 0 A 6 d R T c q b y t 6 x 2 J n z 1 S n d v 3 6 n k i j D P o u 3 h m 9 k j J J j L e + D P Q 1 J m 6 1 p z 5 X R D d 2 G 2 E Q I e 9 r V T i J c 9 V v 9 5 C f 3 q Q M U A A A A / f h o L / z 3 t A k P R t R z A N M M p 7 B a Y K w = < / D a t a M a s h u p > 
</file>

<file path=customXml/itemProps1.xml><?xml version="1.0" encoding="utf-8"?>
<ds:datastoreItem xmlns:ds="http://schemas.openxmlformats.org/officeDocument/2006/customXml" ds:itemID="{1EA38E91-F508-4E5F-B735-DC5B80E99D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Arbeitsblätter</vt:lpstr>
      </vt:variant>
      <vt:variant>
        <vt:i4>136</vt:i4>
      </vt:variant>
      <vt:variant>
        <vt:lpstr>Diagramme</vt:lpstr>
      </vt:variant>
      <vt:variant>
        <vt:i4>2</vt:i4>
      </vt:variant>
      <vt:variant>
        <vt:lpstr>Benannte Bereiche</vt:lpstr>
      </vt:variant>
      <vt:variant>
        <vt:i4>137</vt:i4>
      </vt:variant>
    </vt:vector>
  </HeadingPairs>
  <TitlesOfParts>
    <vt:vector size="275" baseType="lpstr">
      <vt:lpstr>Deckbl</vt:lpstr>
      <vt:lpstr>Inhalt</vt:lpstr>
      <vt:lpstr>Hinweise</vt:lpstr>
      <vt:lpstr>Übersicht wichtige Verfahren</vt:lpstr>
      <vt:lpstr>Grafik-(a)</vt:lpstr>
      <vt:lpstr>Grafik-(b)</vt:lpstr>
      <vt:lpstr>Owerte-(a)</vt:lpstr>
      <vt:lpstr>Owerte-(b)</vt:lpstr>
      <vt:lpstr>Ausglleist</vt:lpstr>
      <vt:lpstr>Preise-Stammdaten</vt:lpstr>
      <vt:lpstr>Festk-Masch-Geb</vt:lpstr>
      <vt:lpstr>Sonst-Festk</vt:lpstr>
      <vt:lpstr>Arbeitsgänge</vt:lpstr>
      <vt:lpstr>1)Grünf. 3Nutz.(a)</vt:lpstr>
      <vt:lpstr>1)Grünf. 3Nutz.(b)</vt:lpstr>
      <vt:lpstr>2)Grünf. 4Nutz.(a)</vt:lpstr>
      <vt:lpstr>2)Grünf. 4Nutz.(b)</vt:lpstr>
      <vt:lpstr>3)Grünf. 5Nutz.(a)</vt:lpstr>
      <vt:lpstr>3)Grünf. 5Nutz.(b)</vt:lpstr>
      <vt:lpstr>4)GS 3Nutz.eig.mech.(a)</vt:lpstr>
      <vt:lpstr>4)GS 3Nutz.eig.mech.(b)</vt:lpstr>
      <vt:lpstr>5)GS 4Nutz. eig.mech(a)</vt:lpstr>
      <vt:lpstr>5)GS 4Nutz.eig.mech(b)</vt:lpstr>
      <vt:lpstr>6)GS 5Nutz.eig.mech(a)</vt:lpstr>
      <vt:lpstr>6)GS 5Nutz.eig.mech.(b)</vt:lpstr>
      <vt:lpstr>7)GS 3Nutz.Fremdmech(a)</vt:lpstr>
      <vt:lpstr>7)GS3Nutz.Fremdmech(b)</vt:lpstr>
      <vt:lpstr>8)GS 4Nutz.Fremdmech(a)</vt:lpstr>
      <vt:lpstr>8)GS4Nutz.Fremdmech(b)</vt:lpstr>
      <vt:lpstr>9)GS 5Nutz.Fremdmech(a)</vt:lpstr>
      <vt:lpstr>9)GS 5Nutz.Fremd(b)</vt:lpstr>
      <vt:lpstr>10) GS 3Nutz. Ballensil-(a)</vt:lpstr>
      <vt:lpstr>10) GS 3Nutz. Ballensil.(b)</vt:lpstr>
      <vt:lpstr>11)Heu 2Nutz.-(a)</vt:lpstr>
      <vt:lpstr>11)Heu 2Nutz.-(b)</vt:lpstr>
      <vt:lpstr>12)Heu 3Nutz.(a)</vt:lpstr>
      <vt:lpstr>12)Heu 3Nutz.(b)</vt:lpstr>
      <vt:lpstr>13)Grascobs 5Nutz.(a)</vt:lpstr>
      <vt:lpstr>13)Grascobs 5Nutz.(b)</vt:lpstr>
      <vt:lpstr>14)Weide ext.(a)</vt:lpstr>
      <vt:lpstr>14)Weide_ext.(b)</vt:lpstr>
      <vt:lpstr>15)Weide int.(a)</vt:lpstr>
      <vt:lpstr>15)Weide int. 4Nutz.(b)</vt:lpstr>
      <vt:lpstr>16)GSHeuGrünMischung-(a)</vt:lpstr>
      <vt:lpstr>16)GSHeuGrünMischung-(b)</vt:lpstr>
      <vt:lpstr>17)Kleegras-GrünFu-Eig.mech(a)</vt:lpstr>
      <vt:lpstr>17)Kleegras-GrünFu-Eig.mech(b)</vt:lpstr>
      <vt:lpstr>18)Kleegrassi-Fremdernt(a)</vt:lpstr>
      <vt:lpstr>18)Kleegrassi-Fremnernt(b)</vt:lpstr>
      <vt:lpstr>19)LuzerneSil-Fremdernte(a)</vt:lpstr>
      <vt:lpstr>19)LuzerneSil-Fremdernte(b)</vt:lpstr>
      <vt:lpstr>Silomais-Meka-(a)</vt:lpstr>
      <vt:lpstr>Silomais-Meka-(b)</vt:lpstr>
      <vt:lpstr>20)Silomais int-(a)</vt:lpstr>
      <vt:lpstr>20)Silomais int(b)</vt:lpstr>
      <vt:lpstr>21)Futterrüben-(a)</vt:lpstr>
      <vt:lpstr>21)Futterrüben(b)</vt:lpstr>
      <vt:lpstr>22)ZWF-Raps-(a)</vt:lpstr>
      <vt:lpstr>22)ZWF-Raps-(b)</vt:lpstr>
      <vt:lpstr>23)GPS-(a)</vt:lpstr>
      <vt:lpstr>23)GPS-(b)</vt:lpstr>
      <vt:lpstr>24)Mais LKS-(a)</vt:lpstr>
      <vt:lpstr>24)Mais LKS-(b)</vt:lpstr>
      <vt:lpstr>25)Mais CCM-(a)</vt:lpstr>
      <vt:lpstr>25)Mais CCM-(b)</vt:lpstr>
      <vt:lpstr>26)Mais feucht-(a)</vt:lpstr>
      <vt:lpstr>26)M(ais feucht-b)</vt:lpstr>
      <vt:lpstr>27)Silomais Biogas ab Feld-(a)</vt:lpstr>
      <vt:lpstr>27)Silomais Biogas ab Feld-(b)</vt:lpstr>
      <vt:lpstr>28)Silomais Biogas ex Silo (a)</vt:lpstr>
      <vt:lpstr>28)Silomais Biogas ex Silo (b)</vt:lpstr>
      <vt:lpstr>29)Triticale-GPS Biogas Feld(a)</vt:lpstr>
      <vt:lpstr>29)Triticale-GPS Biogas Feld(b)</vt:lpstr>
      <vt:lpstr>30)Tritic-GPS Biogas ex Silo(a)</vt:lpstr>
      <vt:lpstr>30)Tritic-GPS Biogas ex Silo(b)</vt:lpstr>
      <vt:lpstr>31)Hafer-GPS Biogas ab Feld (a)</vt:lpstr>
      <vt:lpstr>31)Hafer-GPS Biogas ab Feld (b)</vt:lpstr>
      <vt:lpstr>32)Hafer-GPS Biogas ex Silo (a)</vt:lpstr>
      <vt:lpstr>32)Hafer-GPS Biogas ex Silo (b)</vt:lpstr>
      <vt:lpstr>33)Kleegrassil 4N Biogas aF(a)</vt:lpstr>
      <vt:lpstr>33)Kleegrassil 4N Biogas aF(b)</vt:lpstr>
      <vt:lpstr>34)Kleegrassil 4N Biog ex S(a)</vt:lpstr>
      <vt:lpstr>34)Kleegrassil 4N Biog ex S(b)</vt:lpstr>
      <vt:lpstr>35)Weidelgrassil 4N Bg ex S (a)</vt:lpstr>
      <vt:lpstr>35)Weidelgrassil 4N Bg ex S (b)</vt:lpstr>
      <vt:lpstr>36)GS 3Nutz Biogas Feld-(a)</vt:lpstr>
      <vt:lpstr>36)GS 3Nutz. Biogas Feld-(b)</vt:lpstr>
      <vt:lpstr>37)GS 3Nutz Biogas ex Silo (a)</vt:lpstr>
      <vt:lpstr>37)GS 3Nutz. Biogas ex Silo (b)</vt:lpstr>
      <vt:lpstr>38)GS 4Nutz Biogas Feld-(a)</vt:lpstr>
      <vt:lpstr>38)GS 4Nutz. Biogas Feld-(b)</vt:lpstr>
      <vt:lpstr>39)GS 4Nutz Biogas ex Silo (a)</vt:lpstr>
      <vt:lpstr>39)GS 4Nutz. Biogas ex Silo (b)</vt:lpstr>
      <vt:lpstr>40)GrünroggenVFBiogas ex S(a)</vt:lpstr>
      <vt:lpstr>40)GrünroggenVFBiogas ex S(b)</vt:lpstr>
      <vt:lpstr>41)Grünrog.+S.mais Biogas aF(a)</vt:lpstr>
      <vt:lpstr>41)Grünrog.+S.mais Biogas aF(b)</vt:lpstr>
      <vt:lpstr>42)Grürog.+Silom. Biog ex S(a)</vt:lpstr>
      <vt:lpstr>42)Grürog.+Silom. Biog ex S(b)</vt:lpstr>
      <vt:lpstr>43)Sudangras HF Biogas aF-(a)</vt:lpstr>
      <vt:lpstr>43)Sudangras HF Biogas aF-(b)</vt:lpstr>
      <vt:lpstr>44)Sudangras HF Biogas ex S(a)</vt:lpstr>
      <vt:lpstr>44)Sudangras HF Biogas ex S(b)</vt:lpstr>
      <vt:lpstr>45)GPS+Sudangras Biogas aF(a)</vt:lpstr>
      <vt:lpstr>45)GPS+Sudangras Biogas aF(b)</vt:lpstr>
      <vt:lpstr>46)GPS+Sudangr Biogas ex S(a)</vt:lpstr>
      <vt:lpstr>46)GPS+Sudangr Biogas ex S(b)</vt:lpstr>
      <vt:lpstr>47)Zuckerhirse HF Biogas aF-(a)</vt:lpstr>
      <vt:lpstr>47)Zuckerhirse HF Biogas aF-(b)</vt:lpstr>
      <vt:lpstr>48)Zuhirse HF Biogas ex Silo(a)</vt:lpstr>
      <vt:lpstr>48)Zuhirse HF Biogas ex S(b)</vt:lpstr>
      <vt:lpstr>49)GPS+Zuckerhirse Biogas aF(a)</vt:lpstr>
      <vt:lpstr>49)GPS+Zuckerhirse Biogas aF(b)</vt:lpstr>
      <vt:lpstr>50)GPS+Zuckhi. Biogas ex S(a)</vt:lpstr>
      <vt:lpstr>50)GPS+Zuckhi. Biogas ex S(b)</vt:lpstr>
      <vt:lpstr>51) GPS Weidelgras Biog aF(a)</vt:lpstr>
      <vt:lpstr>51) GPS Weidelgras Biog aF (b)</vt:lpstr>
      <vt:lpstr>52)Grünr.+Sonnbl. Biog ex S(a)</vt:lpstr>
      <vt:lpstr>52)Grünr.+Sonnbl. Biog ex S(b)</vt:lpstr>
      <vt:lpstr>53)Zuckerrüben Biogas ex S(a)</vt:lpstr>
      <vt:lpstr>53)Zuckerrüben Biogas ex S(b)</vt:lpstr>
      <vt:lpstr>54)Dw. Silphie Biogas ex S(a)</vt:lpstr>
      <vt:lpstr>54)Dw. Silphie Biogas ex S(b)</vt:lpstr>
      <vt:lpstr>55)Wildpflanzen Biogas ex S(a)</vt:lpstr>
      <vt:lpstr>55)Wildpflanzen Biogas ex S(b)</vt:lpstr>
      <vt:lpstr>56)Individuelle Eingabe(a)</vt:lpstr>
      <vt:lpstr>56)Individuelle Eingabe (b)</vt:lpstr>
      <vt:lpstr>57)Topi Kraut f Biogas ex S (a)</vt:lpstr>
      <vt:lpstr>57)Topi Kraut f Biogas ex S (b)</vt:lpstr>
      <vt:lpstr>Topi Knolle Biogas ex Silo (a)</vt:lpstr>
      <vt:lpstr>Topi Knolle Biogas ex Silo (b)</vt:lpstr>
      <vt:lpstr>Topi Kraut s Biogas ex Silo (a)</vt:lpstr>
      <vt:lpstr>Topi Kraut s Biogas ex Silo (b)</vt:lpstr>
      <vt:lpstr>Transportkosten Silomais</vt:lpstr>
      <vt:lpstr>Vergleich Maisprodukte</vt:lpstr>
      <vt:lpstr>N-Bindung Leg</vt:lpstr>
      <vt:lpstr>Grafik Ertrag SM</vt:lpstr>
      <vt:lpstr>Grafik Maisprodukte</vt:lpstr>
      <vt:lpstr>'1)Grünf. 3Nutz.(a)'!Druckbereich</vt:lpstr>
      <vt:lpstr>'1)Grünf. 3Nutz.(b)'!Druckbereich</vt:lpstr>
      <vt:lpstr>'10) GS 3Nutz. Ballensil-(a)'!Druckbereich</vt:lpstr>
      <vt:lpstr>'10) GS 3Nutz. Ballensil.(b)'!Druckbereich</vt:lpstr>
      <vt:lpstr>'11)Heu 2Nutz.-(a)'!Druckbereich</vt:lpstr>
      <vt:lpstr>'11)Heu 2Nutz.-(b)'!Druckbereich</vt:lpstr>
      <vt:lpstr>'12)Heu 3Nutz.(a)'!Druckbereich</vt:lpstr>
      <vt:lpstr>'12)Heu 3Nutz.(b)'!Druckbereich</vt:lpstr>
      <vt:lpstr>'13)Grascobs 5Nutz.(a)'!Druckbereich</vt:lpstr>
      <vt:lpstr>'13)Grascobs 5Nutz.(b)'!Druckbereich</vt:lpstr>
      <vt:lpstr>'14)Weide ext.(a)'!Druckbereich</vt:lpstr>
      <vt:lpstr>'14)Weide_ext.(b)'!Druckbereich</vt:lpstr>
      <vt:lpstr>'15)Weide int. 4Nutz.(b)'!Druckbereich</vt:lpstr>
      <vt:lpstr>'15)Weide int.(a)'!Druckbereich</vt:lpstr>
      <vt:lpstr>'16)GSHeuGrünMischung-(a)'!Druckbereich</vt:lpstr>
      <vt:lpstr>'16)GSHeuGrünMischung-(b)'!Druckbereich</vt:lpstr>
      <vt:lpstr>'17)Kleegras-GrünFu-Eig.mech(a)'!Druckbereich</vt:lpstr>
      <vt:lpstr>'17)Kleegras-GrünFu-Eig.mech(b)'!Druckbereich</vt:lpstr>
      <vt:lpstr>'18)Kleegrassi-Fremdernt(a)'!Druckbereich</vt:lpstr>
      <vt:lpstr>'18)Kleegrassi-Fremnernt(b)'!Druckbereich</vt:lpstr>
      <vt:lpstr>'19)LuzerneSil-Fremdernte(a)'!Druckbereich</vt:lpstr>
      <vt:lpstr>'19)LuzerneSil-Fremdernte(b)'!Druckbereich</vt:lpstr>
      <vt:lpstr>'2)Grünf. 4Nutz.(a)'!Druckbereich</vt:lpstr>
      <vt:lpstr>'2)Grünf. 4Nutz.(b)'!Druckbereich</vt:lpstr>
      <vt:lpstr>'20)Silomais int-(a)'!Druckbereich</vt:lpstr>
      <vt:lpstr>'20)Silomais int(b)'!Druckbereich</vt:lpstr>
      <vt:lpstr>'21)Futterrüben-(a)'!Druckbereich</vt:lpstr>
      <vt:lpstr>'21)Futterrüben(b)'!Druckbereich</vt:lpstr>
      <vt:lpstr>'22)ZWF-Raps-(a)'!Druckbereich</vt:lpstr>
      <vt:lpstr>'22)ZWF-Raps-(b)'!Druckbereich</vt:lpstr>
      <vt:lpstr>'23)GPS-(a)'!Druckbereich</vt:lpstr>
      <vt:lpstr>'23)GPS-(b)'!Druckbereich</vt:lpstr>
      <vt:lpstr>'24)Mais LKS-(a)'!Druckbereich</vt:lpstr>
      <vt:lpstr>'24)Mais LKS-(b)'!Druckbereich</vt:lpstr>
      <vt:lpstr>'25)Mais CCM-(a)'!Druckbereich</vt:lpstr>
      <vt:lpstr>'25)Mais CCM-(b)'!Druckbereich</vt:lpstr>
      <vt:lpstr>'26)M(ais feucht-b)'!Druckbereich</vt:lpstr>
      <vt:lpstr>'26)Mais feucht-(a)'!Druckbereich</vt:lpstr>
      <vt:lpstr>'27)Silomais Biogas ab Feld-(a)'!Druckbereich</vt:lpstr>
      <vt:lpstr>'27)Silomais Biogas ab Feld-(b)'!Druckbereich</vt:lpstr>
      <vt:lpstr>'28)Silomais Biogas ex Silo (a)'!Druckbereich</vt:lpstr>
      <vt:lpstr>'28)Silomais Biogas ex Silo (b)'!Druckbereich</vt:lpstr>
      <vt:lpstr>'29)Triticale-GPS Biogas Feld(a)'!Druckbereich</vt:lpstr>
      <vt:lpstr>'29)Triticale-GPS Biogas Feld(b)'!Druckbereich</vt:lpstr>
      <vt:lpstr>'3)Grünf. 5Nutz.(a)'!Druckbereich</vt:lpstr>
      <vt:lpstr>'3)Grünf. 5Nutz.(b)'!Druckbereich</vt:lpstr>
      <vt:lpstr>'30)Tritic-GPS Biogas ex Silo(a)'!Druckbereich</vt:lpstr>
      <vt:lpstr>'30)Tritic-GPS Biogas ex Silo(b)'!Druckbereich</vt:lpstr>
      <vt:lpstr>'31)Hafer-GPS Biogas ab Feld (a)'!Druckbereich</vt:lpstr>
      <vt:lpstr>'31)Hafer-GPS Biogas ab Feld (b)'!Druckbereich</vt:lpstr>
      <vt:lpstr>'32)Hafer-GPS Biogas ex Silo (a)'!Druckbereich</vt:lpstr>
      <vt:lpstr>'32)Hafer-GPS Biogas ex Silo (b)'!Druckbereich</vt:lpstr>
      <vt:lpstr>'33)Kleegrassil 4N Biogas aF(a)'!Druckbereich</vt:lpstr>
      <vt:lpstr>'33)Kleegrassil 4N Biogas aF(b)'!Druckbereich</vt:lpstr>
      <vt:lpstr>'34)Kleegrassil 4N Biog ex S(a)'!Druckbereich</vt:lpstr>
      <vt:lpstr>'34)Kleegrassil 4N Biog ex S(b)'!Druckbereich</vt:lpstr>
      <vt:lpstr>'35)Weidelgrassil 4N Bg ex S (a)'!Druckbereich</vt:lpstr>
      <vt:lpstr>'35)Weidelgrassil 4N Bg ex S (b)'!Druckbereich</vt:lpstr>
      <vt:lpstr>'36)GS 3Nutz Biogas Feld-(a)'!Druckbereich</vt:lpstr>
      <vt:lpstr>'36)GS 3Nutz. Biogas Feld-(b)'!Druckbereich</vt:lpstr>
      <vt:lpstr>'37)GS 3Nutz Biogas ex Silo (a)'!Druckbereich</vt:lpstr>
      <vt:lpstr>'37)GS 3Nutz. Biogas ex Silo (b)'!Druckbereich</vt:lpstr>
      <vt:lpstr>'38)GS 4Nutz Biogas Feld-(a)'!Druckbereich</vt:lpstr>
      <vt:lpstr>'38)GS 4Nutz. Biogas Feld-(b)'!Druckbereich</vt:lpstr>
      <vt:lpstr>'39)GS 4Nutz Biogas ex Silo (a)'!Druckbereich</vt:lpstr>
      <vt:lpstr>'39)GS 4Nutz. Biogas ex Silo (b)'!Druckbereich</vt:lpstr>
      <vt:lpstr>'4)GS 3Nutz.eig.mech.(a)'!Druckbereich</vt:lpstr>
      <vt:lpstr>'4)GS 3Nutz.eig.mech.(b)'!Druckbereich</vt:lpstr>
      <vt:lpstr>'40)GrünroggenVFBiogas ex S(a)'!Druckbereich</vt:lpstr>
      <vt:lpstr>'40)GrünroggenVFBiogas ex S(b)'!Druckbereich</vt:lpstr>
      <vt:lpstr>'41)Grünrog.+S.mais Biogas aF(a)'!Druckbereich</vt:lpstr>
      <vt:lpstr>'41)Grünrog.+S.mais Biogas aF(b)'!Druckbereich</vt:lpstr>
      <vt:lpstr>'42)Grürog.+Silom. Biog ex S(a)'!Druckbereich</vt:lpstr>
      <vt:lpstr>'42)Grürog.+Silom. Biog ex S(b)'!Druckbereich</vt:lpstr>
      <vt:lpstr>'43)Sudangras HF Biogas aF-(a)'!Druckbereich</vt:lpstr>
      <vt:lpstr>'43)Sudangras HF Biogas aF-(b)'!Druckbereich</vt:lpstr>
      <vt:lpstr>'44)Sudangras HF Biogas ex S(a)'!Druckbereich</vt:lpstr>
      <vt:lpstr>'44)Sudangras HF Biogas ex S(b)'!Druckbereich</vt:lpstr>
      <vt:lpstr>'45)GPS+Sudangras Biogas aF(a)'!Druckbereich</vt:lpstr>
      <vt:lpstr>'45)GPS+Sudangras Biogas aF(b)'!Druckbereich</vt:lpstr>
      <vt:lpstr>'46)GPS+Sudangr Biogas ex S(a)'!Druckbereich</vt:lpstr>
      <vt:lpstr>'46)GPS+Sudangr Biogas ex S(b)'!Druckbereich</vt:lpstr>
      <vt:lpstr>'47)Zuckerhirse HF Biogas aF-(a)'!Druckbereich</vt:lpstr>
      <vt:lpstr>'47)Zuckerhirse HF Biogas aF-(b)'!Druckbereich</vt:lpstr>
      <vt:lpstr>'48)Zuhirse HF Biogas ex S(b)'!Druckbereich</vt:lpstr>
      <vt:lpstr>'48)Zuhirse HF Biogas ex Silo(a)'!Druckbereich</vt:lpstr>
      <vt:lpstr>'49)GPS+Zuckerhirse Biogas aF(a)'!Druckbereich</vt:lpstr>
      <vt:lpstr>'49)GPS+Zuckerhirse Biogas aF(b)'!Druckbereich</vt:lpstr>
      <vt:lpstr>'5)GS 4Nutz. eig.mech(a)'!Druckbereich</vt:lpstr>
      <vt:lpstr>'5)GS 4Nutz.eig.mech(b)'!Druckbereich</vt:lpstr>
      <vt:lpstr>'50)GPS+Zuckhi. Biogas ex S(a)'!Druckbereich</vt:lpstr>
      <vt:lpstr>'50)GPS+Zuckhi. Biogas ex S(b)'!Druckbereich</vt:lpstr>
      <vt:lpstr>'51) GPS Weidelgras Biog aF (b)'!Druckbereich</vt:lpstr>
      <vt:lpstr>'51) GPS Weidelgras Biog aF(a)'!Druckbereich</vt:lpstr>
      <vt:lpstr>'52)Grünr.+Sonnbl. Biog ex S(a)'!Druckbereich</vt:lpstr>
      <vt:lpstr>'52)Grünr.+Sonnbl. Biog ex S(b)'!Druckbereich</vt:lpstr>
      <vt:lpstr>'53)Zuckerrüben Biogas ex S(a)'!Druckbereich</vt:lpstr>
      <vt:lpstr>'53)Zuckerrüben Biogas ex S(b)'!Druckbereich</vt:lpstr>
      <vt:lpstr>'54)Dw. Silphie Biogas ex S(a)'!Druckbereich</vt:lpstr>
      <vt:lpstr>'54)Dw. Silphie Biogas ex S(b)'!Druckbereich</vt:lpstr>
      <vt:lpstr>'55)Wildpflanzen Biogas ex S(a)'!Druckbereich</vt:lpstr>
      <vt:lpstr>'55)Wildpflanzen Biogas ex S(b)'!Druckbereich</vt:lpstr>
      <vt:lpstr>'56)Individuelle Eingabe (b)'!Druckbereich</vt:lpstr>
      <vt:lpstr>'56)Individuelle Eingabe(a)'!Druckbereich</vt:lpstr>
      <vt:lpstr>'57)Topi Kraut f Biogas ex S (a)'!Druckbereich</vt:lpstr>
      <vt:lpstr>'57)Topi Kraut f Biogas ex S (b)'!Druckbereich</vt:lpstr>
      <vt:lpstr>'6)GS 5Nutz.eig.mech(a)'!Druckbereich</vt:lpstr>
      <vt:lpstr>'6)GS 5Nutz.eig.mech.(b)'!Druckbereich</vt:lpstr>
      <vt:lpstr>'7)GS 3Nutz.Fremdmech(a)'!Druckbereich</vt:lpstr>
      <vt:lpstr>'7)GS3Nutz.Fremdmech(b)'!Druckbereich</vt:lpstr>
      <vt:lpstr>'8)GS 4Nutz.Fremdmech(a)'!Druckbereich</vt:lpstr>
      <vt:lpstr>'8)GS4Nutz.Fremdmech(b)'!Druckbereich</vt:lpstr>
      <vt:lpstr>'9)GS 5Nutz.Fremd(b)'!Druckbereich</vt:lpstr>
      <vt:lpstr>'9)GS 5Nutz.Fremdmech(a)'!Druckbereich</vt:lpstr>
      <vt:lpstr>Arbeitsgänge!Druckbereich</vt:lpstr>
      <vt:lpstr>Ausglleist!Druckbereich</vt:lpstr>
      <vt:lpstr>Deckbl!Druckbereich</vt:lpstr>
      <vt:lpstr>'Festk-Masch-Geb'!Druckbereich</vt:lpstr>
      <vt:lpstr>'Grafik-(a)'!Druckbereich</vt:lpstr>
      <vt:lpstr>'Grafik-(b)'!Druckbereich</vt:lpstr>
      <vt:lpstr>Hinweise!Druckbereich</vt:lpstr>
      <vt:lpstr>Inhalt!Druckbereich</vt:lpstr>
      <vt:lpstr>'Owerte-(a)'!Druckbereich</vt:lpstr>
      <vt:lpstr>'Owerte-(b)'!Druckbereich</vt:lpstr>
      <vt:lpstr>'Preise-Stammdaten'!Druckbereich</vt:lpstr>
      <vt:lpstr>'Silomais-Meka-(a)'!Druckbereich</vt:lpstr>
      <vt:lpstr>'Silomais-Meka-(b)'!Druckbereich</vt:lpstr>
      <vt:lpstr>'Sonst-Festk'!Druckbereich</vt:lpstr>
      <vt:lpstr>'Topi Knolle Biogas ex Silo (a)'!Druckbereich</vt:lpstr>
      <vt:lpstr>'Topi Knolle Biogas ex Silo (b)'!Druckbereich</vt:lpstr>
      <vt:lpstr>'Topi Kraut s Biogas ex Silo (a)'!Druckbereich</vt:lpstr>
      <vt:lpstr>'Topi Kraut s Biogas ex Silo (b)'!Druckbereich</vt:lpstr>
      <vt:lpstr>'Transportkosten Silomais'!Druckbereich</vt:lpstr>
      <vt:lpstr>'Übersicht wichtige Verfahren'!Druckbereich</vt:lpstr>
      <vt:lpstr>'16)GSHeuGrünMischung-(a)'!Drucktitel</vt:lpstr>
      <vt:lpstr>Arbeitsgänge!Drucktitel</vt:lpstr>
      <vt:lpstr>'Übersicht wichtige Verfahren'!Drucktitel</vt:lpstr>
    </vt:vector>
  </TitlesOfParts>
  <Company>LEL Schwäbisch Gmünd, LVVG Aulendorf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Kalkulationsdaten Futterbau</dc:title>
  <dc:subject>Deckungsbeiträge / Vollkosten</dc:subject>
  <dc:creator>LEL Schwäbisch Gmünd (Abt. 2, Dr. Over, Dr. Frieder Klotz);LVVG Aulendorf (Dr. Nussbaum)</dc:creator>
  <cp:keywords>Futterbau, Deckungsbeitrag, Unternehmergewinn, Grundfutterkosten</cp:keywords>
  <dc:description>Die Kalkulationsdaten enthalten Faustzahlen zur betriebswirtschaftlichen Bewertung des Futterbaus. Sie dienen als Entscheidungsgrundlage bei Anbaufragen, bei der Betriebsplanung, in Betriebsverbesserungsplänen oder in betriebswirtschaftlichen Schätzungen und Gutachten. _x000d_
Mit der EXCEL-Anwendung sind auch eigene Berechnungen möglich</dc:description>
  <cp:lastModifiedBy>Schroeder, Gudrun (LEL-SG)</cp:lastModifiedBy>
  <cp:lastPrinted>2022-02-22T07:47:31Z</cp:lastPrinted>
  <dcterms:created xsi:type="dcterms:W3CDTF">1999-02-26T09:37:29Z</dcterms:created>
  <dcterms:modified xsi:type="dcterms:W3CDTF">2022-03-31T07:23:44Z</dcterms:modified>
</cp:coreProperties>
</file>