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485" windowWidth="15240" windowHeight="8880" tabRatio="888" activeTab="0"/>
  </bookViews>
  <sheets>
    <sheet name="Info" sheetId="1" r:id="rId1"/>
    <sheet name="Datenbasis " sheetId="2" r:id="rId2"/>
    <sheet name="Ergebnisse" sheetId="3" r:id="rId3"/>
    <sheet name="Graf_Max. KP" sheetId="4" r:id="rId4"/>
    <sheet name="Graf_Max. FP" sheetId="5" r:id="rId5"/>
    <sheet name="Ergebnisse_Fleischpreis" sheetId="6" r:id="rId6"/>
    <sheet name="Graf_erf. Rfl.preis(Ka)" sheetId="7" r:id="rId7"/>
    <sheet name="Grafik_erf. Rfl.preis(Fre)" sheetId="8" r:id="rId8"/>
    <sheet name="Tabelle1" sheetId="9" r:id="rId9"/>
  </sheets>
  <definedNames>
    <definedName name="_xlnm.Print_Area" localSheetId="1">'Datenbasis '!$A$1:$M$60</definedName>
    <definedName name="_xlnm.Print_Area" localSheetId="2">'Ergebnisse'!$B$2:$O$33</definedName>
    <definedName name="_xlnm.Print_Area" localSheetId="5">'Ergebnisse_Fleischpreis'!$B$2:$O$33</definedName>
  </definedNames>
  <calcPr fullCalcOnLoad="1"/>
</workbook>
</file>

<file path=xl/comments2.xml><?xml version="1.0" encoding="utf-8"?>
<comments xmlns="http://schemas.openxmlformats.org/spreadsheetml/2006/main">
  <authors>
    <author>Volker Segger</author>
  </authors>
  <commentList>
    <comment ref="K17" authorId="0">
      <text>
        <r>
          <rPr>
            <sz val="12"/>
            <rFont val="Tahoma"/>
            <family val="2"/>
          </rPr>
          <t>variable Kosten + entgangener DB von Getreide, Körnermais oder Raps</t>
        </r>
      </text>
    </comment>
    <comment ref="K20" authorId="0">
      <text>
        <r>
          <rPr>
            <sz val="12"/>
            <rFont val="Tahoma"/>
            <family val="2"/>
          </rPr>
          <t>variable Kosten
+ entgangener DB von Heuverkauf</t>
        </r>
      </text>
    </comment>
    <comment ref="K41" authorId="0">
      <text>
        <r>
          <rPr>
            <sz val="12"/>
            <rFont val="Tahoma"/>
            <family val="2"/>
          </rPr>
          <t>variable Kosten + entgangener DB von Getreide, Körnermais oder Raps</t>
        </r>
      </text>
    </comment>
    <comment ref="K44" authorId="0">
      <text>
        <r>
          <rPr>
            <sz val="12"/>
            <rFont val="Tahoma"/>
            <family val="2"/>
          </rPr>
          <t>variable Kosten
+ entgangener DB von Heuverkauf</t>
        </r>
      </text>
    </comment>
  </commentList>
</comments>
</file>

<file path=xl/sharedStrings.xml><?xml version="1.0" encoding="utf-8"?>
<sst xmlns="http://schemas.openxmlformats.org/spreadsheetml/2006/main" count="281" uniqueCount="139">
  <si>
    <t>Schlachtprämie</t>
  </si>
  <si>
    <t xml:space="preserve">Eingaben erfolgen generell in den gelb hinterlegten Feldern, alle anderen Felder </t>
  </si>
  <si>
    <t>sind gesperrt.</t>
  </si>
  <si>
    <t>Dr. Volker Segger, LEL Schwäbisch Gmünd   ( Tel. : 07171 / 917 - 229 )</t>
  </si>
  <si>
    <t>Nebenleistungen</t>
  </si>
  <si>
    <t>Bullenprämie</t>
  </si>
  <si>
    <t>Düngerwert</t>
  </si>
  <si>
    <t>davon</t>
  </si>
  <si>
    <t>niedrig</t>
  </si>
  <si>
    <t>mittel</t>
  </si>
  <si>
    <t>hoch</t>
  </si>
  <si>
    <t>Einbußen Flächenprämien für Futterflächen</t>
  </si>
  <si>
    <t>tägliche Zunahmen</t>
  </si>
  <si>
    <t>Lohnansatz</t>
  </si>
  <si>
    <t>Festkosten Stall und Gemeinkosten</t>
  </si>
  <si>
    <t>je kg ( o. Mwst.)</t>
  </si>
  <si>
    <t>Variable Kosten ( abz. Nebenleistungen )</t>
  </si>
  <si>
    <t>je Stck.( inkl. Mwst.)</t>
  </si>
  <si>
    <t>SG ( kg ) :</t>
  </si>
  <si>
    <t>tgl. Zunahmen :</t>
  </si>
  <si>
    <t xml:space="preserve">Datenbasis für intensive Bullenmastverfahren </t>
  </si>
  <si>
    <t xml:space="preserve">Marge zur Abdeckung aller Kosten </t>
  </si>
  <si>
    <t>Leistungsniveau</t>
  </si>
  <si>
    <t>Maximale Kälberpreise ( 75 kg, Flv.)</t>
  </si>
  <si>
    <t>Maximale Fresserpreise ( 200 kg, Flv. )</t>
  </si>
  <si>
    <t>Stand:</t>
  </si>
  <si>
    <t>Mit den Arbeitsblättern dieser Datei können die kurz- , mittel- und langfristig vertretbaren Kälber-</t>
  </si>
  <si>
    <r>
      <t xml:space="preserve">Im Blatt </t>
    </r>
    <r>
      <rPr>
        <b/>
        <i/>
        <sz val="12"/>
        <rFont val="Arial"/>
        <family val="2"/>
      </rPr>
      <t xml:space="preserve">Datenbasis </t>
    </r>
    <r>
      <rPr>
        <sz val="12"/>
        <rFont val="Arial"/>
        <family val="2"/>
      </rPr>
      <t xml:space="preserve">sind beide Verfahren mit ihren Kostenmerkmalen bei 3 verschiedenen </t>
    </r>
  </si>
  <si>
    <t>preise die maximalen Kälber- bzw. Fresserpreise , und zwar</t>
  </si>
  <si>
    <t>kurzfristig :</t>
  </si>
  <si>
    <t>mittelfristig :</t>
  </si>
  <si>
    <t>langfristig :</t>
  </si>
  <si>
    <t>alle Kosten, also auch Fest- und Gemeinkosten sind abgedeckt</t>
  </si>
  <si>
    <t>auch die Kosten der Arbeit sind abgedeckt</t>
  </si>
  <si>
    <t>Bullenpreis ( je kg SG ), ohne Mwst.</t>
  </si>
  <si>
    <t>Bullenpreis ( je kg SG ) , ohne Mwst.</t>
  </si>
  <si>
    <t>Kraftfutter</t>
  </si>
  <si>
    <t>nur die variablen Kosten ( inkl. Grundfutter ) sind abgedeckt ( Produktionsschwelle )</t>
  </si>
  <si>
    <t>Aufzuchtfutter</t>
  </si>
  <si>
    <t>ha</t>
  </si>
  <si>
    <t>g</t>
  </si>
  <si>
    <t>€</t>
  </si>
  <si>
    <t>Silomais</t>
  </si>
  <si>
    <t>Grünland</t>
  </si>
  <si>
    <t>Tierarzt</t>
  </si>
  <si>
    <t>Wasser, Energie</t>
  </si>
  <si>
    <t>Versicherung, Verluste</t>
  </si>
  <si>
    <t>Summe variable Kosten ohne Kalb</t>
  </si>
  <si>
    <t>Summe Nebenleistungen</t>
  </si>
  <si>
    <t>€/Bulle</t>
  </si>
  <si>
    <t>Var. Kosten abzgl. Nebenleistungen (Marge kurzfristig)</t>
  </si>
  <si>
    <t>ausgewählt:</t>
  </si>
  <si>
    <t>Zunahmeniveau</t>
  </si>
  <si>
    <t>(Auswahlmöglichkeiten: niedrig, mittel, hoch)</t>
  </si>
  <si>
    <t>Maximale Kälberkosten langfristig</t>
  </si>
  <si>
    <t>Maximale Kälberkosten mittelfristig</t>
  </si>
  <si>
    <t>Maximale Kälberkosten kurzfristig</t>
  </si>
  <si>
    <t>auszuwählen. Das Programm ermittelt dann für unterschiedliche Schlachtbullen-</t>
  </si>
  <si>
    <r>
      <t xml:space="preserve">Im Blatt </t>
    </r>
    <r>
      <rPr>
        <b/>
        <i/>
        <sz val="12"/>
        <rFont val="Arial"/>
        <family val="2"/>
      </rPr>
      <t xml:space="preserve">Ergebnisse </t>
    </r>
    <r>
      <rPr>
        <sz val="12"/>
        <rFont val="Arial"/>
        <family val="2"/>
      </rPr>
      <t xml:space="preserve">ist zunächst über eine Schaltfläche das produktionstechnische Niveau </t>
    </r>
  </si>
  <si>
    <r>
      <t xml:space="preserve">Die Ergebnisse sind grafisch in den 2 Registerblättern </t>
    </r>
    <r>
      <rPr>
        <b/>
        <i/>
        <sz val="12"/>
        <rFont val="Arial"/>
        <family val="2"/>
      </rPr>
      <t xml:space="preserve">Max.KP </t>
    </r>
    <r>
      <rPr>
        <sz val="12"/>
        <rFont val="Arial"/>
        <family val="2"/>
      </rPr>
      <t>(Kälberpreise)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bzw. </t>
    </r>
  </si>
  <si>
    <r>
      <t xml:space="preserve">Max. FP </t>
    </r>
    <r>
      <rPr>
        <sz val="12"/>
        <rFont val="Arial"/>
        <family val="2"/>
      </rPr>
      <t>(Fresserpreise) dargestellt.</t>
    </r>
  </si>
  <si>
    <r>
      <t xml:space="preserve">€/ha </t>
    </r>
    <r>
      <rPr>
        <vertAlign val="superscript"/>
        <sz val="11"/>
        <rFont val="Arial"/>
        <family val="2"/>
      </rPr>
      <t>2)</t>
    </r>
  </si>
  <si>
    <t>vari. Maschinenkosten (Futtervorlage,Gülleausbring.)</t>
  </si>
  <si>
    <r>
      <t xml:space="preserve">langfristig </t>
    </r>
    <r>
      <rPr>
        <sz val="12"/>
        <color indexed="17"/>
        <rFont val="Arial"/>
        <family val="2"/>
      </rPr>
      <t>( alle Kosten einschl. Stall abgedeckt )</t>
    </r>
  </si>
  <si>
    <r>
      <t>mittelfristig</t>
    </r>
    <r>
      <rPr>
        <sz val="12"/>
        <color indexed="14"/>
        <rFont val="Arial"/>
        <family val="2"/>
      </rPr>
      <t xml:space="preserve"> ( var. Kosten und Arbeit abgedeckt )</t>
    </r>
  </si>
  <si>
    <r>
      <t>kurzfristig</t>
    </r>
    <r>
      <rPr>
        <sz val="12"/>
        <color indexed="10"/>
        <rFont val="Arial"/>
        <family val="2"/>
      </rPr>
      <t xml:space="preserve"> ( nur variable Kosten abgedeckt )</t>
    </r>
  </si>
  <si>
    <r>
      <t>langfristig</t>
    </r>
    <r>
      <rPr>
        <sz val="12"/>
        <color indexed="17"/>
        <rFont val="Arial"/>
        <family val="2"/>
      </rPr>
      <t xml:space="preserve"> ( alle Kosten einschl. Stall abgedeckt )</t>
    </r>
  </si>
  <si>
    <t>Variable Kosten inkl. Mwst. (ohne Kalb)</t>
  </si>
  <si>
    <t>Variable Kosten inkl. Mwst.( ohne Kalb )</t>
  </si>
  <si>
    <t>Mwst. Verkauf Bulle :</t>
  </si>
  <si>
    <t xml:space="preserve">Mwst. Einkauf  Kalb/Fresser : </t>
  </si>
  <si>
    <t>Maximale Fresserkosten langfristig</t>
  </si>
  <si>
    <t>Maximale Fresserkosten mittelfristig</t>
  </si>
  <si>
    <t>Maximale Fresserkosten kurzfristig</t>
  </si>
  <si>
    <t>Vermarktung,Kälbertransport, Sonstiges</t>
  </si>
  <si>
    <t>Individuelle Dateneingabe durch Überschreiben der gelben Felder möglich.</t>
  </si>
  <si>
    <t>(bei entkoppelten Prämien)</t>
  </si>
  <si>
    <t>aktueller Preis</t>
  </si>
  <si>
    <t>Bullenmast auf Kälberbasis  ( 75 - 680 kg LG )</t>
  </si>
  <si>
    <t>Bullenmast auf Fresserbasis  ( 200 - 680 kg LG )</t>
  </si>
  <si>
    <t>Zinsansatz für Vieh- u. Umlaufvermögen</t>
  </si>
  <si>
    <r>
      <t xml:space="preserve">Mastbulle Fleckvieh, </t>
    </r>
    <r>
      <rPr>
        <b/>
        <sz val="12"/>
        <rFont val="Arial"/>
        <family val="2"/>
      </rPr>
      <t>75</t>
    </r>
    <r>
      <rPr>
        <sz val="12"/>
        <rFont val="Arial"/>
        <family val="2"/>
      </rPr>
      <t xml:space="preserve"> - 680 kg </t>
    </r>
  </si>
  <si>
    <r>
      <t xml:space="preserve">Mastbulle Fleckvieh, </t>
    </r>
    <r>
      <rPr>
        <b/>
        <sz val="12"/>
        <rFont val="Arial"/>
        <family val="2"/>
      </rPr>
      <t>200</t>
    </r>
    <r>
      <rPr>
        <sz val="12"/>
        <rFont val="Arial"/>
        <family val="2"/>
      </rPr>
      <t xml:space="preserve"> - 680 kg </t>
    </r>
  </si>
  <si>
    <t>Leistungsniveaus aufgeführt. Die Daten (gelbe Felder) können bei Bedarf geändert werden.</t>
  </si>
  <si>
    <t xml:space="preserve">Als Grundfutter ist im Beispiel Silomais (0,18 ha/Bulle bei Kälberzukauf) mit  einem geringen Heuanteil (0,03 ha) unterstellt. </t>
  </si>
  <si>
    <t>Wird im eigenen Betrieb mehr Grassilage eingesetzt, müssen die entsprechenden ha-Werte geändert werden, u.U. auch die Kosten je ha.</t>
  </si>
  <si>
    <t>Kalb (kg LG) :</t>
  </si>
  <si>
    <t>Fresser (kg LG) :</t>
  </si>
  <si>
    <t xml:space="preserve">Notwendige Marge (Erlös abzgl. Kälberpreis) zur Abdeckung aller Kosten </t>
  </si>
  <si>
    <t>Notwendige Rindfleischpreise bei unterschiedlichen Kälberpreisen</t>
  </si>
  <si>
    <t>Kälberpreis ohne Mwst.</t>
  </si>
  <si>
    <t>Notw. Rindfleischpreispreise ( 75 kg, Flv.)</t>
  </si>
  <si>
    <t>Kälberpreis (inkl. Mwst.)</t>
  </si>
  <si>
    <t>Notwendiger Rindfleischpreis langfristig</t>
  </si>
  <si>
    <t>Fresserpreis ohne Mwst.</t>
  </si>
  <si>
    <t>Fresserpreis (inkl. Mwst.)</t>
  </si>
  <si>
    <t>3,44 / 245 kg; 6.05.2013, Kirchheim</t>
  </si>
  <si>
    <t>2,80</t>
  </si>
  <si>
    <t xml:space="preserve"> 76+27</t>
  </si>
  <si>
    <t>MAT + Kälberaufzuchtfutter</t>
  </si>
  <si>
    <t>277+111+18</t>
  </si>
  <si>
    <t>253+101+16</t>
  </si>
  <si>
    <t>229+91+15</t>
  </si>
  <si>
    <t>Kalk.dat Ri-mast 2014</t>
  </si>
  <si>
    <r>
      <t xml:space="preserve">Grundfutter </t>
    </r>
    <r>
      <rPr>
        <b/>
        <vertAlign val="superscript"/>
        <sz val="12"/>
        <color indexed="10"/>
        <rFont val="Arial"/>
        <family val="2"/>
      </rPr>
      <t>1)</t>
    </r>
  </si>
  <si>
    <t xml:space="preserve">1) </t>
  </si>
  <si>
    <t xml:space="preserve">2) </t>
  </si>
  <si>
    <t xml:space="preserve">3) </t>
  </si>
  <si>
    <t>(alle Werte je erzeugten Bullen; Datenquelle: enge Anlehnung an LEL-Kalkulationsdaten Rindermast)</t>
  </si>
  <si>
    <t>der Kraftfutterkosten simuliert.</t>
  </si>
  <si>
    <t>Quelle : LEL, Kalkulationsdaten Rindermast 2013; Kalkulationsdaten Futterbau</t>
  </si>
  <si>
    <r>
      <t xml:space="preserve">€/ha </t>
    </r>
    <r>
      <rPr>
        <vertAlign val="superscript"/>
        <sz val="11"/>
        <rFont val="Arial"/>
        <family val="2"/>
      </rPr>
      <t>3)</t>
    </r>
  </si>
  <si>
    <r>
      <t xml:space="preserve">Grundfutter </t>
    </r>
    <r>
      <rPr>
        <b/>
        <vertAlign val="superscript"/>
        <sz val="12"/>
        <color indexed="56"/>
        <rFont val="Arial"/>
        <family val="2"/>
      </rPr>
      <t>1)</t>
    </r>
  </si>
  <si>
    <t>ausblenden ?</t>
  </si>
  <si>
    <t xml:space="preserve">Analog zu der oben beschriebenen Fragestellung wird anhand der gegebenen Datenbasis </t>
  </si>
  <si>
    <t xml:space="preserve">Die Entkoppelung der Tierprämien im Rahmen der Agrarreform 2005 hat die Wirtschaftlichkeit der Rindermast massiv geschwächt. Ohne Bullen- und Schlachtprämie ist bei den bisher gegebenen  Erlösen und Kälberpreisen in manchen Betrieben schnell der Punkt erreicht, wo nicht einmal die variablen Kosten gedeckt sind. </t>
  </si>
  <si>
    <t>einstandspreise bzw. die notwendigen Rindfleischpreise für 2 Bullenmastverfahren ermittelt werden :</t>
  </si>
  <si>
    <t xml:space="preserve">Notwendige Rindfleischpreise für den Bullenmäster </t>
  </si>
  <si>
    <t>der notwendige Fleischpreis bei verschiedenen Kälber- bzw. Fresserpreisen ermittelt.</t>
  </si>
  <si>
    <t>Maximale Kälber- bzw. Fresserpreise</t>
  </si>
  <si>
    <t>Schlachterlös je Bulle ( 380kg SG ) , inkl. Mwst.</t>
  </si>
  <si>
    <t>Schlachterlös je Bulle ( 380 kg SG ) , inkl. Mwst.</t>
  </si>
  <si>
    <t>Notw. Rindfleischpreise (200 kg, Flv.)</t>
  </si>
  <si>
    <t>Notwendiger Rindfleischpreis mittelfristig</t>
  </si>
  <si>
    <t>Notwendiger Rindfleischpreis kurzfristig</t>
  </si>
  <si>
    <r>
      <t>Variable Kosten (</t>
    </r>
    <r>
      <rPr>
        <sz val="12"/>
        <color indexed="10"/>
        <rFont val="Arial"/>
        <family val="2"/>
      </rPr>
      <t>ohne Kalb</t>
    </r>
    <r>
      <rPr>
        <sz val="12"/>
        <color indexed="8"/>
        <rFont val="Arial"/>
        <family val="2"/>
      </rPr>
      <t>, abz. Nebenleistungen )</t>
    </r>
  </si>
  <si>
    <t>Maximale Kälber- und Fresserpreise für den Bullenmäster</t>
  </si>
  <si>
    <t xml:space="preserve">Z. 4 </t>
  </si>
  <si>
    <t>Z. 7 bis 15</t>
  </si>
  <si>
    <t>Z. 16 - Z. 5</t>
  </si>
  <si>
    <t>Z. 17 bis 19</t>
  </si>
  <si>
    <t>Z. 24</t>
  </si>
  <si>
    <t>Z. 26 bis 33</t>
  </si>
  <si>
    <t>Z. 34 - 23</t>
  </si>
  <si>
    <t>Z. 35 bis 37</t>
  </si>
  <si>
    <t>Bei höheren täglichen Zunahmen und damit verbunden kürzerer Mastdauer sinken auch die Grundfutterkosten.</t>
  </si>
  <si>
    <t xml:space="preserve">Aus Gründen der Vereinfachung wird hier die Veränderung der Gesamt-Futterkosten nur über die  Veränderung </t>
  </si>
  <si>
    <t>Variable Kosten Grünland plus entgangener DB für eine alternative Grünlandnutzung (z.B. Heuverkauf); Oder: Vollkosten Grünland</t>
  </si>
  <si>
    <t>Variable Kosten Silomais plus entgangenener DB der verdrängten Kultur (Getreide, Körnermais, Raps). Oder: Vollkosten Silomais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</si>
</sst>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_-* #,##0.0\ &quot;DM&quot;_-;\-* #,##0.0\ &quot;DM&quot;_-;_-* &quot;-&quot;??\ &quot;DM&quot;_-;_-@_-"/>
    <numFmt numFmtId="175" formatCode="_-* #,##0\ &quot;DM&quot;_-;\-* #,##0\ &quot;DM&quot;_-;_-* &quot;-&quot;??\ &quot;DM&quot;_-;_-@_-"/>
    <numFmt numFmtId="176" formatCode="0\ \ \ \ "/>
    <numFmt numFmtId="177" formatCode="#,##0\ \ \ "/>
    <numFmt numFmtId="178" formatCode="0%\ \ \ "/>
    <numFmt numFmtId="179" formatCode="#,##0.0"/>
    <numFmt numFmtId="180" formatCode="0.0000"/>
    <numFmt numFmtId="181" formatCode="_-* #,##0.0\ _D_M_-;\-* #,##0.0\ _D_M_-;_-* &quot;-&quot;??\ _D_M_-;_-@_-"/>
    <numFmt numFmtId="182" formatCode="_-* #,##0\ _D_M_-;\-* #,##0\ _D_M_-;_-* &quot;-&quot;??\ _D_M_-;_-@_-"/>
    <numFmt numFmtId="183" formatCode="#,##0.00_ ;\-#,##0.00\ "/>
    <numFmt numFmtId="184" formatCode="0.00_ ;\-0.00\ "/>
    <numFmt numFmtId="185" formatCode="#,##0.0\ \ \ "/>
    <numFmt numFmtId="186" formatCode="#,##0.00\ \ \ "/>
    <numFmt numFmtId="187" formatCode="#,##0.00\ &quot;€&quot;"/>
    <numFmt numFmtId="188" formatCode="0\ &quot;g&quot;"/>
    <numFmt numFmtId="189" formatCode="#,##0.000"/>
    <numFmt numFmtId="190" formatCode="0.00000"/>
    <numFmt numFmtId="191" formatCode="0.000000"/>
    <numFmt numFmtId="192" formatCode="0_ ;\-0\ "/>
    <numFmt numFmtId="193" formatCode="0.0%"/>
  </numFmts>
  <fonts count="89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13"/>
      <color indexed="10"/>
      <name val="Arial"/>
      <family val="2"/>
    </font>
    <font>
      <sz val="13"/>
      <color indexed="12"/>
      <name val="Arial"/>
      <family val="2"/>
    </font>
    <font>
      <b/>
      <sz val="16"/>
      <color indexed="12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17"/>
      <name val="Arial"/>
      <family val="2"/>
    </font>
    <font>
      <b/>
      <sz val="18"/>
      <color indexed="8"/>
      <name val="Arial Narrow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0"/>
      <color indexed="14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sz val="12"/>
      <color indexed="9"/>
      <name val="Arial"/>
      <family val="2"/>
    </font>
    <font>
      <b/>
      <sz val="16"/>
      <color indexed="8"/>
      <name val="Arial"/>
      <family val="2"/>
    </font>
    <font>
      <sz val="16"/>
      <color indexed="10"/>
      <name val="Arial"/>
      <family val="2"/>
    </font>
    <font>
      <sz val="12"/>
      <name val="Tahoma"/>
      <family val="2"/>
    </font>
    <font>
      <sz val="10.5"/>
      <color indexed="8"/>
      <name val="Arial"/>
      <family val="2"/>
    </font>
    <font>
      <b/>
      <vertAlign val="superscript"/>
      <sz val="12"/>
      <color indexed="10"/>
      <name val="Arial"/>
      <family val="2"/>
    </font>
    <font>
      <sz val="9.25"/>
      <color indexed="8"/>
      <name val="Arial"/>
      <family val="2"/>
    </font>
    <font>
      <i/>
      <sz val="12"/>
      <color indexed="8"/>
      <name val="Arial"/>
      <family val="2"/>
    </font>
    <font>
      <b/>
      <vertAlign val="superscript"/>
      <sz val="12"/>
      <color indexed="56"/>
      <name val="Arial"/>
      <family val="2"/>
    </font>
    <font>
      <b/>
      <sz val="16"/>
      <color indexed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b/>
      <sz val="1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6" borderId="2" applyNumberFormat="0" applyAlignment="0" applyProtection="0"/>
    <xf numFmtId="169" fontId="0" fillId="0" borderId="0" applyFont="0" applyFill="0" applyBorder="0" applyAlignment="0" applyProtection="0"/>
    <xf numFmtId="0" fontId="74" fillId="27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171" fontId="0" fillId="0" borderId="0" applyFont="0" applyFill="0" applyBorder="0" applyAlignment="0" applyProtection="0"/>
    <xf numFmtId="0" fontId="7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32" borderId="9" applyNumberFormat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4" fontId="10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177" fontId="19" fillId="0" borderId="13" xfId="0" applyNumberFormat="1" applyFont="1" applyBorder="1" applyAlignment="1" applyProtection="1">
      <alignment horizontal="center"/>
      <protection/>
    </xf>
    <xf numFmtId="177" fontId="17" fillId="0" borderId="14" xfId="0" applyNumberFormat="1" applyFont="1" applyBorder="1" applyAlignment="1" applyProtection="1">
      <alignment horizontal="center"/>
      <protection/>
    </xf>
    <xf numFmtId="177" fontId="19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/>
      <protection/>
    </xf>
    <xf numFmtId="0" fontId="19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177" fontId="10" fillId="0" borderId="21" xfId="0" applyNumberFormat="1" applyFont="1" applyBorder="1" applyAlignment="1" applyProtection="1">
      <alignment/>
      <protection/>
    </xf>
    <xf numFmtId="177" fontId="7" fillId="0" borderId="22" xfId="0" applyNumberFormat="1" applyFont="1" applyBorder="1" applyAlignment="1" applyProtection="1">
      <alignment/>
      <protection/>
    </xf>
    <xf numFmtId="177" fontId="10" fillId="0" borderId="23" xfId="0" applyNumberFormat="1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10" fillId="0" borderId="26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/>
      <protection/>
    </xf>
    <xf numFmtId="0" fontId="0" fillId="33" borderId="28" xfId="0" applyFill="1" applyBorder="1" applyAlignment="1" applyProtection="1">
      <alignment/>
      <protection/>
    </xf>
    <xf numFmtId="0" fontId="0" fillId="33" borderId="29" xfId="0" applyFill="1" applyBorder="1" applyAlignment="1" applyProtection="1">
      <alignment/>
      <protection/>
    </xf>
    <xf numFmtId="0" fontId="10" fillId="0" borderId="25" xfId="0" applyFont="1" applyBorder="1" applyAlignment="1" applyProtection="1">
      <alignment/>
      <protection/>
    </xf>
    <xf numFmtId="0" fontId="10" fillId="0" borderId="24" xfId="0" applyFont="1" applyBorder="1" applyAlignment="1" applyProtection="1">
      <alignment horizontal="center"/>
      <protection/>
    </xf>
    <xf numFmtId="177" fontId="10" fillId="33" borderId="27" xfId="0" applyNumberFormat="1" applyFont="1" applyFill="1" applyBorder="1" applyAlignment="1" applyProtection="1">
      <alignment horizontal="right"/>
      <protection/>
    </xf>
    <xf numFmtId="177" fontId="10" fillId="33" borderId="28" xfId="0" applyNumberFormat="1" applyFont="1" applyFill="1" applyBorder="1" applyAlignment="1" applyProtection="1">
      <alignment horizontal="right"/>
      <protection/>
    </xf>
    <xf numFmtId="177" fontId="10" fillId="33" borderId="29" xfId="0" applyNumberFormat="1" applyFont="1" applyFill="1" applyBorder="1" applyAlignment="1" applyProtection="1">
      <alignment horizontal="right"/>
      <protection/>
    </xf>
    <xf numFmtId="177" fontId="10" fillId="0" borderId="27" xfId="0" applyNumberFormat="1" applyFont="1" applyFill="1" applyBorder="1" applyAlignment="1" applyProtection="1">
      <alignment horizontal="right"/>
      <protection/>
    </xf>
    <xf numFmtId="177" fontId="10" fillId="0" borderId="28" xfId="0" applyNumberFormat="1" applyFont="1" applyFill="1" applyBorder="1" applyAlignment="1" applyProtection="1">
      <alignment horizontal="right"/>
      <protection/>
    </xf>
    <xf numFmtId="177" fontId="10" fillId="0" borderId="29" xfId="0" applyNumberFormat="1" applyFont="1" applyFill="1" applyBorder="1" applyAlignment="1" applyProtection="1">
      <alignment horizontal="right"/>
      <protection/>
    </xf>
    <xf numFmtId="0" fontId="1" fillId="0" borderId="3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/>
      <protection/>
    </xf>
    <xf numFmtId="0" fontId="10" fillId="0" borderId="33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/>
      <protection/>
    </xf>
    <xf numFmtId="0" fontId="10" fillId="0" borderId="3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177" fontId="7" fillId="0" borderId="36" xfId="0" applyNumberFormat="1" applyFont="1" applyBorder="1" applyAlignment="1" applyProtection="1">
      <alignment/>
      <protection/>
    </xf>
    <xf numFmtId="177" fontId="7" fillId="0" borderId="37" xfId="0" applyNumberFormat="1" applyFont="1" applyBorder="1" applyAlignment="1" applyProtection="1">
      <alignment/>
      <protection/>
    </xf>
    <xf numFmtId="177" fontId="7" fillId="0" borderId="38" xfId="0" applyNumberFormat="1" applyFont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186" fontId="10" fillId="0" borderId="0" xfId="0" applyNumberFormat="1" applyFont="1" applyFill="1" applyBorder="1" applyAlignment="1" applyProtection="1">
      <alignment horizontal="right"/>
      <protection/>
    </xf>
    <xf numFmtId="177" fontId="1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29" fillId="0" borderId="35" xfId="0" applyFont="1" applyBorder="1" applyAlignment="1" applyProtection="1">
      <alignment horizontal="center"/>
      <protection/>
    </xf>
    <xf numFmtId="177" fontId="8" fillId="0" borderId="36" xfId="0" applyNumberFormat="1" applyFont="1" applyBorder="1" applyAlignment="1" applyProtection="1">
      <alignment horizontal="right"/>
      <protection/>
    </xf>
    <xf numFmtId="177" fontId="8" fillId="0" borderId="37" xfId="0" applyNumberFormat="1" applyFont="1" applyBorder="1" applyAlignment="1" applyProtection="1">
      <alignment horizontal="right"/>
      <protection/>
    </xf>
    <xf numFmtId="177" fontId="8" fillId="0" borderId="38" xfId="0" applyNumberFormat="1" applyFont="1" applyBorder="1" applyAlignment="1" applyProtection="1">
      <alignment horizontal="right"/>
      <protection/>
    </xf>
    <xf numFmtId="0" fontId="7" fillId="0" borderId="4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/>
      <protection/>
    </xf>
    <xf numFmtId="0" fontId="29" fillId="0" borderId="42" xfId="0" applyFont="1" applyBorder="1" applyAlignment="1" applyProtection="1">
      <alignment horizontal="center"/>
      <protection/>
    </xf>
    <xf numFmtId="0" fontId="10" fillId="0" borderId="43" xfId="0" applyFont="1" applyBorder="1" applyAlignment="1" applyProtection="1">
      <alignment horizontal="center"/>
      <protection/>
    </xf>
    <xf numFmtId="177" fontId="8" fillId="0" borderId="44" xfId="0" applyNumberFormat="1" applyFont="1" applyBorder="1" applyAlignment="1" applyProtection="1">
      <alignment horizontal="right"/>
      <protection/>
    </xf>
    <xf numFmtId="177" fontId="8" fillId="0" borderId="45" xfId="0" applyNumberFormat="1" applyFont="1" applyBorder="1" applyAlignment="1" applyProtection="1">
      <alignment horizontal="right"/>
      <protection/>
    </xf>
    <xf numFmtId="177" fontId="8" fillId="0" borderId="46" xfId="0" applyNumberFormat="1" applyFont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/>
      <protection/>
    </xf>
    <xf numFmtId="0" fontId="9" fillId="0" borderId="33" xfId="0" applyFont="1" applyBorder="1" applyAlignment="1" applyProtection="1">
      <alignment horizontal="center"/>
      <protection/>
    </xf>
    <xf numFmtId="0" fontId="29" fillId="0" borderId="19" xfId="0" applyFont="1" applyBorder="1" applyAlignment="1" applyProtection="1">
      <alignment horizontal="center"/>
      <protection/>
    </xf>
    <xf numFmtId="177" fontId="24" fillId="0" borderId="21" xfId="0" applyNumberFormat="1" applyFont="1" applyBorder="1" applyAlignment="1" applyProtection="1">
      <alignment/>
      <protection/>
    </xf>
    <xf numFmtId="177" fontId="8" fillId="0" borderId="22" xfId="0" applyNumberFormat="1" applyFont="1" applyBorder="1" applyAlignment="1" applyProtection="1">
      <alignment/>
      <protection/>
    </xf>
    <xf numFmtId="177" fontId="24" fillId="0" borderId="23" xfId="0" applyNumberFormat="1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/>
      <protection/>
    </xf>
    <xf numFmtId="0" fontId="20" fillId="0" borderId="11" xfId="0" applyFont="1" applyBorder="1" applyAlignment="1" applyProtection="1">
      <alignment/>
      <protection/>
    </xf>
    <xf numFmtId="0" fontId="14" fillId="0" borderId="47" xfId="0" applyFont="1" applyBorder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177" fontId="20" fillId="0" borderId="13" xfId="0" applyNumberFormat="1" applyFont="1" applyBorder="1" applyAlignment="1" applyProtection="1">
      <alignment horizontal="center"/>
      <protection/>
    </xf>
    <xf numFmtId="177" fontId="18" fillId="0" borderId="14" xfId="0" applyNumberFormat="1" applyFont="1" applyBorder="1" applyAlignment="1" applyProtection="1">
      <alignment horizontal="center"/>
      <protection/>
    </xf>
    <xf numFmtId="177" fontId="20" fillId="0" borderId="15" xfId="0" applyNumberFormat="1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/>
      <protection/>
    </xf>
    <xf numFmtId="0" fontId="20" fillId="0" borderId="34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16" xfId="0" applyFont="1" applyBorder="1" applyAlignment="1" applyProtection="1">
      <alignment horizontal="center"/>
      <protection/>
    </xf>
    <xf numFmtId="177" fontId="15" fillId="0" borderId="36" xfId="0" applyNumberFormat="1" applyFont="1" applyBorder="1" applyAlignment="1" applyProtection="1">
      <alignment/>
      <protection/>
    </xf>
    <xf numFmtId="177" fontId="13" fillId="0" borderId="37" xfId="0" applyNumberFormat="1" applyFont="1" applyBorder="1" applyAlignment="1" applyProtection="1">
      <alignment/>
      <protection/>
    </xf>
    <xf numFmtId="177" fontId="15" fillId="0" borderId="38" xfId="0" applyNumberFormat="1" applyFont="1" applyBorder="1" applyAlignment="1" applyProtection="1">
      <alignment/>
      <protection/>
    </xf>
    <xf numFmtId="0" fontId="15" fillId="0" borderId="24" xfId="0" applyFont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5" fillId="0" borderId="26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177" fontId="15" fillId="0" borderId="27" xfId="0" applyNumberFormat="1" applyFont="1" applyBorder="1" applyAlignment="1" applyProtection="1">
      <alignment/>
      <protection/>
    </xf>
    <xf numFmtId="177" fontId="13" fillId="0" borderId="28" xfId="0" applyNumberFormat="1" applyFont="1" applyBorder="1" applyAlignment="1" applyProtection="1">
      <alignment/>
      <protection/>
    </xf>
    <xf numFmtId="177" fontId="15" fillId="0" borderId="29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/>
      <protection/>
    </xf>
    <xf numFmtId="177" fontId="15" fillId="33" borderId="27" xfId="0" applyNumberFormat="1" applyFont="1" applyFill="1" applyBorder="1" applyAlignment="1" applyProtection="1">
      <alignment horizontal="right"/>
      <protection/>
    </xf>
    <xf numFmtId="177" fontId="15" fillId="33" borderId="28" xfId="0" applyNumberFormat="1" applyFont="1" applyFill="1" applyBorder="1" applyAlignment="1" applyProtection="1">
      <alignment horizontal="right"/>
      <protection/>
    </xf>
    <xf numFmtId="177" fontId="15" fillId="33" borderId="29" xfId="0" applyNumberFormat="1" applyFont="1" applyFill="1" applyBorder="1" applyAlignment="1" applyProtection="1">
      <alignment horizontal="right"/>
      <protection/>
    </xf>
    <xf numFmtId="0" fontId="15" fillId="0" borderId="30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32" xfId="0" applyFont="1" applyBorder="1" applyAlignment="1" applyProtection="1">
      <alignment/>
      <protection/>
    </xf>
    <xf numFmtId="0" fontId="28" fillId="0" borderId="33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177" fontId="13" fillId="33" borderId="28" xfId="0" applyNumberFormat="1" applyFont="1" applyFill="1" applyBorder="1" applyAlignment="1" applyProtection="1">
      <alignment horizontal="right"/>
      <protection/>
    </xf>
    <xf numFmtId="0" fontId="13" fillId="0" borderId="34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28" fillId="0" borderId="35" xfId="0" applyFont="1" applyBorder="1" applyAlignment="1" applyProtection="1">
      <alignment horizontal="center"/>
      <protection/>
    </xf>
    <xf numFmtId="177" fontId="25" fillId="0" borderId="36" xfId="0" applyNumberFormat="1" applyFont="1" applyBorder="1" applyAlignment="1" applyProtection="1">
      <alignment horizontal="right"/>
      <protection/>
    </xf>
    <xf numFmtId="177" fontId="25" fillId="0" borderId="37" xfId="0" applyNumberFormat="1" applyFont="1" applyBorder="1" applyAlignment="1" applyProtection="1">
      <alignment horizontal="right"/>
      <protection/>
    </xf>
    <xf numFmtId="177" fontId="25" fillId="0" borderId="38" xfId="0" applyNumberFormat="1" applyFont="1" applyBorder="1" applyAlignment="1" applyProtection="1">
      <alignment horizontal="right"/>
      <protection/>
    </xf>
    <xf numFmtId="0" fontId="13" fillId="0" borderId="40" xfId="0" applyFont="1" applyBorder="1" applyAlignment="1" applyProtection="1">
      <alignment/>
      <protection/>
    </xf>
    <xf numFmtId="0" fontId="16" fillId="0" borderId="41" xfId="0" applyFont="1" applyBorder="1" applyAlignment="1" applyProtection="1">
      <alignment/>
      <protection/>
    </xf>
    <xf numFmtId="0" fontId="28" fillId="0" borderId="42" xfId="0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177" fontId="25" fillId="0" borderId="44" xfId="0" applyNumberFormat="1" applyFont="1" applyBorder="1" applyAlignment="1" applyProtection="1">
      <alignment horizontal="right"/>
      <protection/>
    </xf>
    <xf numFmtId="177" fontId="12" fillId="0" borderId="45" xfId="0" applyNumberFormat="1" applyFont="1" applyBorder="1" applyAlignment="1" applyProtection="1">
      <alignment horizontal="right"/>
      <protection/>
    </xf>
    <xf numFmtId="177" fontId="25" fillId="0" borderId="46" xfId="0" applyNumberFormat="1" applyFont="1" applyBorder="1" applyAlignment="1" applyProtection="1">
      <alignment horizontal="right"/>
      <protection/>
    </xf>
    <xf numFmtId="0" fontId="14" fillId="0" borderId="26" xfId="0" applyFont="1" applyBorder="1" applyAlignment="1" applyProtection="1">
      <alignment/>
      <protection/>
    </xf>
    <xf numFmtId="0" fontId="14" fillId="0" borderId="32" xfId="0" applyFont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12" fillId="0" borderId="48" xfId="0" applyFont="1" applyBorder="1" applyAlignment="1" applyProtection="1">
      <alignment/>
      <protection/>
    </xf>
    <xf numFmtId="0" fontId="28" fillId="0" borderId="19" xfId="0" applyFont="1" applyBorder="1" applyAlignment="1" applyProtection="1">
      <alignment horizontal="center"/>
      <protection/>
    </xf>
    <xf numFmtId="177" fontId="25" fillId="0" borderId="21" xfId="0" applyNumberFormat="1" applyFont="1" applyBorder="1" applyAlignment="1" applyProtection="1">
      <alignment/>
      <protection/>
    </xf>
    <xf numFmtId="177" fontId="12" fillId="0" borderId="22" xfId="0" applyNumberFormat="1" applyFont="1" applyBorder="1" applyAlignment="1" applyProtection="1">
      <alignment/>
      <protection/>
    </xf>
    <xf numFmtId="177" fontId="25" fillId="0" borderId="23" xfId="0" applyNumberFormat="1" applyFont="1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  <xf numFmtId="3" fontId="10" fillId="0" borderId="27" xfId="46" applyNumberFormat="1" applyFont="1" applyBorder="1" applyAlignment="1" applyProtection="1">
      <alignment/>
      <protection/>
    </xf>
    <xf numFmtId="3" fontId="10" fillId="0" borderId="28" xfId="46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0" fillId="0" borderId="49" xfId="0" applyFont="1" applyBorder="1" applyAlignment="1" applyProtection="1">
      <alignment/>
      <protection/>
    </xf>
    <xf numFmtId="0" fontId="10" fillId="0" borderId="50" xfId="0" applyFont="1" applyBorder="1" applyAlignment="1" applyProtection="1">
      <alignment/>
      <protection/>
    </xf>
    <xf numFmtId="0" fontId="10" fillId="0" borderId="4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2" fontId="7" fillId="0" borderId="21" xfId="0" applyNumberFormat="1" applyFont="1" applyBorder="1" applyAlignment="1" applyProtection="1">
      <alignment/>
      <protection/>
    </xf>
    <xf numFmtId="2" fontId="7" fillId="0" borderId="22" xfId="0" applyNumberFormat="1" applyFont="1" applyBorder="1" applyAlignment="1" applyProtection="1">
      <alignment/>
      <protection/>
    </xf>
    <xf numFmtId="2" fontId="7" fillId="0" borderId="48" xfId="0" applyNumberFormat="1" applyFont="1" applyBorder="1" applyAlignment="1" applyProtection="1">
      <alignment/>
      <protection/>
    </xf>
    <xf numFmtId="2" fontId="7" fillId="0" borderId="23" xfId="0" applyNumberFormat="1" applyFont="1" applyBorder="1" applyAlignment="1" applyProtection="1">
      <alignment/>
      <protection/>
    </xf>
    <xf numFmtId="2" fontId="7" fillId="0" borderId="20" xfId="0" applyNumberFormat="1" applyFont="1" applyBorder="1" applyAlignment="1" applyProtection="1">
      <alignment/>
      <protection/>
    </xf>
    <xf numFmtId="3" fontId="10" fillId="0" borderId="49" xfId="46" applyNumberFormat="1" applyFont="1" applyBorder="1" applyAlignment="1" applyProtection="1">
      <alignment/>
      <protection/>
    </xf>
    <xf numFmtId="3" fontId="10" fillId="0" borderId="51" xfId="46" applyNumberFormat="1" applyFont="1" applyBorder="1" applyAlignment="1" applyProtection="1">
      <alignment/>
      <protection/>
    </xf>
    <xf numFmtId="3" fontId="10" fillId="0" borderId="52" xfId="46" applyNumberFormat="1" applyFont="1" applyBorder="1" applyAlignment="1" applyProtection="1">
      <alignment/>
      <protection/>
    </xf>
    <xf numFmtId="3" fontId="10" fillId="0" borderId="53" xfId="46" applyNumberFormat="1" applyFont="1" applyBorder="1" applyAlignment="1" applyProtection="1">
      <alignment/>
      <protection/>
    </xf>
    <xf numFmtId="3" fontId="10" fillId="0" borderId="54" xfId="46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4" fontId="3" fillId="0" borderId="0" xfId="0" applyNumberFormat="1" applyFont="1" applyAlignment="1">
      <alignment/>
    </xf>
    <xf numFmtId="0" fontId="0" fillId="0" borderId="55" xfId="0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9" fillId="0" borderId="59" xfId="0" applyFont="1" applyBorder="1" applyAlignment="1" applyProtection="1">
      <alignment/>
      <protection/>
    </xf>
    <xf numFmtId="3" fontId="23" fillId="0" borderId="28" xfId="46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0" fillId="34" borderId="0" xfId="0" applyFill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23" fillId="0" borderId="25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3" fillId="0" borderId="26" xfId="46" applyNumberFormat="1" applyFont="1" applyBorder="1" applyAlignment="1" applyProtection="1">
      <alignment/>
      <protection/>
    </xf>
    <xf numFmtId="3" fontId="23" fillId="0" borderId="29" xfId="46" applyNumberFormat="1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3" fontId="23" fillId="0" borderId="24" xfId="46" applyNumberFormat="1" applyFont="1" applyBorder="1" applyAlignment="1" applyProtection="1">
      <alignment/>
      <protection/>
    </xf>
    <xf numFmtId="0" fontId="23" fillId="0" borderId="31" xfId="0" applyFont="1" applyBorder="1" applyAlignment="1" applyProtection="1">
      <alignment/>
      <protection/>
    </xf>
    <xf numFmtId="0" fontId="31" fillId="0" borderId="29" xfId="0" applyFont="1" applyBorder="1" applyAlignment="1" applyProtection="1">
      <alignment/>
      <protection/>
    </xf>
    <xf numFmtId="3" fontId="23" fillId="0" borderId="22" xfId="46" applyNumberFormat="1" applyFont="1" applyBorder="1" applyAlignment="1" applyProtection="1">
      <alignment/>
      <protection/>
    </xf>
    <xf numFmtId="3" fontId="23" fillId="0" borderId="23" xfId="46" applyNumberFormat="1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0" fillId="35" borderId="60" xfId="0" applyFill="1" applyBorder="1" applyAlignment="1" applyProtection="1">
      <alignment horizontal="center" vertical="center"/>
      <protection/>
    </xf>
    <xf numFmtId="0" fontId="0" fillId="35" borderId="60" xfId="0" applyFill="1" applyBorder="1" applyAlignment="1">
      <alignment horizontal="center" vertical="center"/>
    </xf>
    <xf numFmtId="0" fontId="23" fillId="35" borderId="61" xfId="0" applyFont="1" applyFill="1" applyBorder="1" applyAlignment="1" applyProtection="1">
      <alignment horizontal="right" vertical="center"/>
      <protection/>
    </xf>
    <xf numFmtId="0" fontId="32" fillId="0" borderId="49" xfId="0" applyFont="1" applyBorder="1" applyAlignment="1" applyProtection="1">
      <alignment/>
      <protection/>
    </xf>
    <xf numFmtId="0" fontId="32" fillId="0" borderId="50" xfId="0" applyFont="1" applyBorder="1" applyAlignment="1" applyProtection="1">
      <alignment/>
      <protection/>
    </xf>
    <xf numFmtId="0" fontId="32" fillId="0" borderId="48" xfId="0" applyFont="1" applyBorder="1" applyAlignment="1" applyProtection="1">
      <alignment/>
      <protection/>
    </xf>
    <xf numFmtId="0" fontId="32" fillId="0" borderId="19" xfId="0" applyFont="1" applyBorder="1" applyAlignment="1" applyProtection="1">
      <alignment/>
      <protection/>
    </xf>
    <xf numFmtId="2" fontId="33" fillId="0" borderId="21" xfId="0" applyNumberFormat="1" applyFont="1" applyBorder="1" applyAlignment="1" applyProtection="1">
      <alignment/>
      <protection/>
    </xf>
    <xf numFmtId="2" fontId="33" fillId="0" borderId="22" xfId="0" applyNumberFormat="1" applyFont="1" applyBorder="1" applyAlignment="1" applyProtection="1">
      <alignment/>
      <protection/>
    </xf>
    <xf numFmtId="2" fontId="33" fillId="0" borderId="48" xfId="0" applyNumberFormat="1" applyFont="1" applyBorder="1" applyAlignment="1" applyProtection="1">
      <alignment/>
      <protection/>
    </xf>
    <xf numFmtId="2" fontId="33" fillId="0" borderId="23" xfId="0" applyNumberFormat="1" applyFont="1" applyBorder="1" applyAlignment="1" applyProtection="1">
      <alignment/>
      <protection/>
    </xf>
    <xf numFmtId="0" fontId="34" fillId="0" borderId="62" xfId="0" applyFont="1" applyBorder="1" applyAlignment="1" applyProtection="1">
      <alignment/>
      <protection/>
    </xf>
    <xf numFmtId="0" fontId="34" fillId="0" borderId="63" xfId="0" applyFont="1" applyBorder="1" applyAlignment="1" applyProtection="1">
      <alignment/>
      <protection/>
    </xf>
    <xf numFmtId="49" fontId="34" fillId="0" borderId="64" xfId="57" applyNumberFormat="1" applyFont="1" applyBorder="1" applyAlignment="1" applyProtection="1">
      <alignment horizontal="center"/>
      <protection/>
    </xf>
    <xf numFmtId="3" fontId="23" fillId="0" borderId="27" xfId="46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2" fontId="33" fillId="0" borderId="2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1" fontId="32" fillId="0" borderId="52" xfId="0" applyNumberFormat="1" applyFont="1" applyBorder="1" applyAlignment="1" applyProtection="1">
      <alignment/>
      <protection/>
    </xf>
    <xf numFmtId="1" fontId="32" fillId="0" borderId="53" xfId="0" applyNumberFormat="1" applyFont="1" applyBorder="1" applyAlignment="1" applyProtection="1">
      <alignment/>
      <protection/>
    </xf>
    <xf numFmtId="1" fontId="32" fillId="0" borderId="49" xfId="0" applyNumberFormat="1" applyFont="1" applyBorder="1" applyAlignment="1" applyProtection="1">
      <alignment/>
      <protection/>
    </xf>
    <xf numFmtId="1" fontId="32" fillId="0" borderId="51" xfId="0" applyNumberFormat="1" applyFont="1" applyBorder="1" applyAlignment="1" applyProtection="1">
      <alignment/>
      <protection/>
    </xf>
    <xf numFmtId="1" fontId="32" fillId="0" borderId="26" xfId="0" applyNumberFormat="1" applyFont="1" applyBorder="1" applyAlignment="1" applyProtection="1">
      <alignment/>
      <protection/>
    </xf>
    <xf numFmtId="0" fontId="35" fillId="0" borderId="29" xfId="0" applyFont="1" applyBorder="1" applyAlignment="1" applyProtection="1">
      <alignment/>
      <protection/>
    </xf>
    <xf numFmtId="1" fontId="32" fillId="0" borderId="27" xfId="0" applyNumberFormat="1" applyFont="1" applyBorder="1" applyAlignment="1" applyProtection="1">
      <alignment/>
      <protection/>
    </xf>
    <xf numFmtId="1" fontId="32" fillId="0" borderId="28" xfId="0" applyNumberFormat="1" applyFont="1" applyBorder="1" applyAlignment="1" applyProtection="1">
      <alignment/>
      <protection/>
    </xf>
    <xf numFmtId="1" fontId="32" fillId="0" borderId="0" xfId="0" applyNumberFormat="1" applyFont="1" applyBorder="1" applyAlignment="1" applyProtection="1">
      <alignment/>
      <protection/>
    </xf>
    <xf numFmtId="1" fontId="32" fillId="0" borderId="54" xfId="0" applyNumberFormat="1" applyFont="1" applyBorder="1" applyAlignment="1" applyProtection="1">
      <alignment/>
      <protection/>
    </xf>
    <xf numFmtId="3" fontId="10" fillId="0" borderId="0" xfId="46" applyNumberFormat="1" applyFont="1" applyBorder="1" applyAlignment="1" applyProtection="1">
      <alignment/>
      <protection/>
    </xf>
    <xf numFmtId="0" fontId="37" fillId="0" borderId="49" xfId="0" applyFont="1" applyBorder="1" applyAlignment="1" applyProtection="1">
      <alignment/>
      <protection/>
    </xf>
    <xf numFmtId="0" fontId="37" fillId="0" borderId="50" xfId="0" applyFont="1" applyBorder="1" applyAlignment="1" applyProtection="1">
      <alignment/>
      <protection/>
    </xf>
    <xf numFmtId="3" fontId="37" fillId="0" borderId="27" xfId="46" applyNumberFormat="1" applyFont="1" applyBorder="1" applyAlignment="1" applyProtection="1">
      <alignment/>
      <protection/>
    </xf>
    <xf numFmtId="3" fontId="37" fillId="0" borderId="28" xfId="46" applyNumberFormat="1" applyFont="1" applyBorder="1" applyAlignment="1" applyProtection="1">
      <alignment/>
      <protection/>
    </xf>
    <xf numFmtId="3" fontId="37" fillId="0" borderId="51" xfId="46" applyNumberFormat="1" applyFont="1" applyBorder="1" applyAlignment="1" applyProtection="1">
      <alignment/>
      <protection/>
    </xf>
    <xf numFmtId="3" fontId="37" fillId="0" borderId="0" xfId="46" applyNumberFormat="1" applyFont="1" applyBorder="1" applyAlignment="1" applyProtection="1">
      <alignment/>
      <protection/>
    </xf>
    <xf numFmtId="3" fontId="37" fillId="0" borderId="54" xfId="46" applyNumberFormat="1" applyFont="1" applyBorder="1" applyAlignment="1" applyProtection="1">
      <alignment/>
      <protection/>
    </xf>
    <xf numFmtId="0" fontId="37" fillId="0" borderId="48" xfId="0" applyFont="1" applyBorder="1" applyAlignment="1" applyProtection="1">
      <alignment/>
      <protection/>
    </xf>
    <xf numFmtId="0" fontId="37" fillId="0" borderId="19" xfId="0" applyFont="1" applyBorder="1" applyAlignment="1" applyProtection="1">
      <alignment/>
      <protection/>
    </xf>
    <xf numFmtId="2" fontId="38" fillId="0" borderId="21" xfId="0" applyNumberFormat="1" applyFont="1" applyBorder="1" applyAlignment="1" applyProtection="1">
      <alignment/>
      <protection/>
    </xf>
    <xf numFmtId="2" fontId="38" fillId="0" borderId="22" xfId="0" applyNumberFormat="1" applyFont="1" applyBorder="1" applyAlignment="1" applyProtection="1">
      <alignment/>
      <protection/>
    </xf>
    <xf numFmtId="2" fontId="38" fillId="0" borderId="23" xfId="0" applyNumberFormat="1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2" fontId="38" fillId="0" borderId="20" xfId="0" applyNumberFormat="1" applyFont="1" applyBorder="1" applyAlignment="1" applyProtection="1">
      <alignment/>
      <protection/>
    </xf>
    <xf numFmtId="3" fontId="37" fillId="0" borderId="49" xfId="46" applyNumberFormat="1" applyFont="1" applyBorder="1" applyAlignment="1" applyProtection="1">
      <alignment/>
      <protection/>
    </xf>
    <xf numFmtId="3" fontId="37" fillId="0" borderId="26" xfId="46" applyNumberFormat="1" applyFont="1" applyBorder="1" applyAlignment="1" applyProtection="1">
      <alignment/>
      <protection/>
    </xf>
    <xf numFmtId="2" fontId="38" fillId="0" borderId="27" xfId="0" applyNumberFormat="1" applyFont="1" applyBorder="1" applyAlignment="1" applyProtection="1">
      <alignment/>
      <protection/>
    </xf>
    <xf numFmtId="2" fontId="38" fillId="0" borderId="28" xfId="0" applyNumberFormat="1" applyFont="1" applyBorder="1" applyAlignment="1" applyProtection="1">
      <alignment/>
      <protection/>
    </xf>
    <xf numFmtId="2" fontId="38" fillId="0" borderId="48" xfId="0" applyNumberFormat="1" applyFont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1" fillId="0" borderId="0" xfId="0" applyFont="1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15" fillId="0" borderId="43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/>
      <protection/>
    </xf>
    <xf numFmtId="0" fontId="1" fillId="0" borderId="43" xfId="0" applyFont="1" applyBorder="1" applyAlignment="1" applyProtection="1">
      <alignment/>
      <protection/>
    </xf>
    <xf numFmtId="0" fontId="42" fillId="0" borderId="17" xfId="0" applyFont="1" applyBorder="1" applyAlignment="1" applyProtection="1">
      <alignment/>
      <protection/>
    </xf>
    <xf numFmtId="188" fontId="2" fillId="35" borderId="65" xfId="0" applyNumberFormat="1" applyFont="1" applyFill="1" applyBorder="1" applyAlignment="1">
      <alignment horizontal="center" vertical="center"/>
    </xf>
    <xf numFmtId="3" fontId="23" fillId="0" borderId="27" xfId="46" applyNumberFormat="1" applyFont="1" applyFill="1" applyBorder="1" applyAlignment="1" applyProtection="1">
      <alignment/>
      <protection/>
    </xf>
    <xf numFmtId="3" fontId="23" fillId="0" borderId="21" xfId="46" applyNumberFormat="1" applyFont="1" applyFill="1" applyBorder="1" applyAlignment="1" applyProtection="1">
      <alignment/>
      <protection/>
    </xf>
    <xf numFmtId="0" fontId="0" fillId="0" borderId="59" xfId="0" applyBorder="1" applyAlignment="1" applyProtection="1">
      <alignment/>
      <protection locked="0"/>
    </xf>
    <xf numFmtId="0" fontId="31" fillId="0" borderId="0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33" fillId="0" borderId="66" xfId="0" applyFont="1" applyBorder="1" applyAlignment="1" applyProtection="1">
      <alignment/>
      <protection/>
    </xf>
    <xf numFmtId="0" fontId="38" fillId="0" borderId="66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0" fontId="6" fillId="36" borderId="0" xfId="0" applyNumberFormat="1" applyFont="1" applyFill="1" applyAlignment="1" applyProtection="1">
      <alignment horizontal="center"/>
      <protection locked="0"/>
    </xf>
    <xf numFmtId="9" fontId="27" fillId="0" borderId="0" xfId="49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177" fontId="15" fillId="0" borderId="33" xfId="0" applyNumberFormat="1" applyFont="1" applyFill="1" applyBorder="1" applyAlignment="1" applyProtection="1">
      <alignment horizontal="right"/>
      <protection/>
    </xf>
    <xf numFmtId="177" fontId="15" fillId="0" borderId="27" xfId="0" applyNumberFormat="1" applyFont="1" applyFill="1" applyBorder="1" applyAlignment="1" applyProtection="1">
      <alignment horizontal="right"/>
      <protection/>
    </xf>
    <xf numFmtId="177" fontId="15" fillId="0" borderId="28" xfId="0" applyNumberFormat="1" applyFont="1" applyFill="1" applyBorder="1" applyAlignment="1" applyProtection="1">
      <alignment horizontal="right"/>
      <protection/>
    </xf>
    <xf numFmtId="177" fontId="15" fillId="0" borderId="29" xfId="0" applyNumberFormat="1" applyFont="1" applyFill="1" applyBorder="1" applyAlignment="1" applyProtection="1">
      <alignment horizontal="right"/>
      <protection/>
    </xf>
    <xf numFmtId="177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177" fontId="10" fillId="0" borderId="67" xfId="0" applyNumberFormat="1" applyFont="1" applyFill="1" applyBorder="1" applyAlignment="1" applyProtection="1">
      <alignment horizontal="right"/>
      <protection/>
    </xf>
    <xf numFmtId="0" fontId="3" fillId="0" borderId="68" xfId="0" applyFont="1" applyBorder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186" fontId="15" fillId="0" borderId="0" xfId="0" applyNumberFormat="1" applyFont="1" applyFill="1" applyBorder="1" applyAlignment="1" applyProtection="1">
      <alignment horizontal="right"/>
      <protection/>
    </xf>
    <xf numFmtId="2" fontId="34" fillId="0" borderId="64" xfId="57" applyNumberFormat="1" applyFont="1" applyBorder="1" applyAlignment="1" applyProtection="1">
      <alignment horizontal="center"/>
      <protection/>
    </xf>
    <xf numFmtId="2" fontId="34" fillId="0" borderId="69" xfId="57" applyNumberFormat="1" applyFont="1" applyBorder="1" applyAlignment="1" applyProtection="1">
      <alignment horizontal="center"/>
      <protection/>
    </xf>
    <xf numFmtId="184" fontId="7" fillId="36" borderId="69" xfId="57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4" fontId="34" fillId="0" borderId="70" xfId="57" applyNumberFormat="1" applyFont="1" applyBorder="1" applyAlignment="1" applyProtection="1">
      <alignment horizontal="center"/>
      <protection/>
    </xf>
    <xf numFmtId="177" fontId="10" fillId="35" borderId="71" xfId="0" applyNumberFormat="1" applyFont="1" applyFill="1" applyBorder="1" applyAlignment="1" applyProtection="1">
      <alignment horizontal="right"/>
      <protection locked="0"/>
    </xf>
    <xf numFmtId="177" fontId="10" fillId="35" borderId="72" xfId="0" applyNumberFormat="1" applyFont="1" applyFill="1" applyBorder="1" applyAlignment="1" applyProtection="1">
      <alignment horizontal="right"/>
      <protection locked="0"/>
    </xf>
    <xf numFmtId="177" fontId="10" fillId="35" borderId="73" xfId="0" applyNumberFormat="1" applyFont="1" applyFill="1" applyBorder="1" applyAlignment="1" applyProtection="1">
      <alignment horizontal="right"/>
      <protection locked="0"/>
    </xf>
    <xf numFmtId="177" fontId="10" fillId="35" borderId="27" xfId="0" applyNumberFormat="1" applyFont="1" applyFill="1" applyBorder="1" applyAlignment="1" applyProtection="1">
      <alignment horizontal="right"/>
      <protection locked="0"/>
    </xf>
    <xf numFmtId="177" fontId="10" fillId="35" borderId="28" xfId="0" applyNumberFormat="1" applyFont="1" applyFill="1" applyBorder="1" applyAlignment="1" applyProtection="1">
      <alignment horizontal="right"/>
      <protection locked="0"/>
    </xf>
    <xf numFmtId="177" fontId="10" fillId="35" borderId="29" xfId="0" applyNumberFormat="1" applyFont="1" applyFill="1" applyBorder="1" applyAlignment="1" applyProtection="1">
      <alignment horizontal="right"/>
      <protection locked="0"/>
    </xf>
    <xf numFmtId="186" fontId="10" fillId="35" borderId="33" xfId="0" applyNumberFormat="1" applyFont="1" applyFill="1" applyBorder="1" applyAlignment="1" applyProtection="1">
      <alignment horizontal="right"/>
      <protection locked="0"/>
    </xf>
    <xf numFmtId="177" fontId="10" fillId="35" borderId="33" xfId="0" applyNumberFormat="1" applyFont="1" applyFill="1" applyBorder="1" applyAlignment="1" applyProtection="1">
      <alignment horizontal="right"/>
      <protection locked="0"/>
    </xf>
    <xf numFmtId="186" fontId="10" fillId="35" borderId="39" xfId="0" applyNumberFormat="1" applyFont="1" applyFill="1" applyBorder="1" applyAlignment="1" applyProtection="1">
      <alignment horizontal="right"/>
      <protection locked="0"/>
    </xf>
    <xf numFmtId="177" fontId="15" fillId="35" borderId="71" xfId="0" applyNumberFormat="1" applyFont="1" applyFill="1" applyBorder="1" applyAlignment="1" applyProtection="1">
      <alignment horizontal="right"/>
      <protection locked="0"/>
    </xf>
    <xf numFmtId="177" fontId="15" fillId="35" borderId="72" xfId="0" applyNumberFormat="1" applyFont="1" applyFill="1" applyBorder="1" applyAlignment="1" applyProtection="1">
      <alignment horizontal="right"/>
      <protection locked="0"/>
    </xf>
    <xf numFmtId="177" fontId="15" fillId="35" borderId="73" xfId="0" applyNumberFormat="1" applyFont="1" applyFill="1" applyBorder="1" applyAlignment="1" applyProtection="1">
      <alignment horizontal="right"/>
      <protection locked="0"/>
    </xf>
    <xf numFmtId="177" fontId="15" fillId="35" borderId="27" xfId="0" applyNumberFormat="1" applyFont="1" applyFill="1" applyBorder="1" applyAlignment="1" applyProtection="1">
      <alignment horizontal="right"/>
      <protection locked="0"/>
    </xf>
    <xf numFmtId="177" fontId="15" fillId="35" borderId="28" xfId="0" applyNumberFormat="1" applyFont="1" applyFill="1" applyBorder="1" applyAlignment="1" applyProtection="1">
      <alignment horizontal="right"/>
      <protection locked="0"/>
    </xf>
    <xf numFmtId="177" fontId="15" fillId="35" borderId="29" xfId="0" applyNumberFormat="1" applyFont="1" applyFill="1" applyBorder="1" applyAlignment="1" applyProtection="1">
      <alignment horizontal="right"/>
      <protection locked="0"/>
    </xf>
    <xf numFmtId="186" fontId="15" fillId="35" borderId="33" xfId="0" applyNumberFormat="1" applyFont="1" applyFill="1" applyBorder="1" applyAlignment="1" applyProtection="1">
      <alignment horizontal="right"/>
      <protection locked="0"/>
    </xf>
    <xf numFmtId="186" fontId="10" fillId="35" borderId="74" xfId="0" applyNumberFormat="1" applyFont="1" applyFill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right" vertical="center"/>
      <protection/>
    </xf>
    <xf numFmtId="1" fontId="34" fillId="0" borderId="0" xfId="0" applyNumberFormat="1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right"/>
      <protection/>
    </xf>
    <xf numFmtId="1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20" xfId="0" applyFont="1" applyBorder="1" applyAlignment="1" applyProtection="1">
      <alignment vertical="top"/>
      <protection/>
    </xf>
    <xf numFmtId="4" fontId="34" fillId="0" borderId="64" xfId="57" applyNumberFormat="1" applyFont="1" applyBorder="1" applyAlignment="1" applyProtection="1">
      <alignment horizontal="center"/>
      <protection/>
    </xf>
    <xf numFmtId="192" fontId="6" fillId="0" borderId="69" xfId="57" applyNumberFormat="1" applyFont="1" applyFill="1" applyBorder="1" applyAlignment="1" applyProtection="1">
      <alignment horizontal="center" vertical="center"/>
      <protection/>
    </xf>
    <xf numFmtId="9" fontId="0" fillId="0" borderId="0" xfId="49" applyFon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93" fontId="0" fillId="0" borderId="0" xfId="49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77" fontId="25" fillId="0" borderId="0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87" fillId="0" borderId="0" xfId="0" applyFont="1" applyAlignment="1" applyProtection="1">
      <alignment/>
      <protection/>
    </xf>
    <xf numFmtId="0" fontId="51" fillId="0" borderId="0" xfId="0" applyFont="1" applyAlignment="1" applyProtection="1">
      <alignment vertical="center"/>
      <protection/>
    </xf>
    <xf numFmtId="3" fontId="32" fillId="0" borderId="52" xfId="0" applyNumberFormat="1" applyFont="1" applyBorder="1" applyAlignment="1" applyProtection="1">
      <alignment/>
      <protection/>
    </xf>
    <xf numFmtId="3" fontId="32" fillId="0" borderId="53" xfId="0" applyNumberFormat="1" applyFont="1" applyBorder="1" applyAlignment="1" applyProtection="1">
      <alignment/>
      <protection/>
    </xf>
    <xf numFmtId="3" fontId="32" fillId="0" borderId="49" xfId="0" applyNumberFormat="1" applyFont="1" applyBorder="1" applyAlignment="1" applyProtection="1">
      <alignment/>
      <protection/>
    </xf>
    <xf numFmtId="3" fontId="32" fillId="0" borderId="51" xfId="0" applyNumberFormat="1" applyFont="1" applyBorder="1" applyAlignment="1" applyProtection="1">
      <alignment/>
      <protection/>
    </xf>
    <xf numFmtId="3" fontId="32" fillId="0" borderId="26" xfId="0" applyNumberFormat="1" applyFont="1" applyBorder="1" applyAlignment="1" applyProtection="1">
      <alignment/>
      <protection/>
    </xf>
    <xf numFmtId="3" fontId="32" fillId="0" borderId="54" xfId="0" applyNumberFormat="1" applyFont="1" applyBorder="1" applyAlignment="1" applyProtection="1">
      <alignment/>
      <protection/>
    </xf>
    <xf numFmtId="3" fontId="32" fillId="0" borderId="27" xfId="0" applyNumberFormat="1" applyFont="1" applyBorder="1" applyAlignment="1" applyProtection="1">
      <alignment/>
      <protection/>
    </xf>
    <xf numFmtId="3" fontId="32" fillId="0" borderId="28" xfId="0" applyNumberFormat="1" applyFont="1" applyBorder="1" applyAlignment="1" applyProtection="1">
      <alignment/>
      <protection/>
    </xf>
    <xf numFmtId="3" fontId="32" fillId="0" borderId="0" xfId="0" applyNumberFormat="1" applyFont="1" applyBorder="1" applyAlignment="1" applyProtection="1">
      <alignment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27" fillId="0" borderId="67" xfId="0" applyFont="1" applyBorder="1" applyAlignment="1" applyProtection="1">
      <alignment horizontal="center"/>
      <protection/>
    </xf>
    <xf numFmtId="0" fontId="27" fillId="0" borderId="68" xfId="0" applyFont="1" applyBorder="1" applyAlignment="1" applyProtection="1">
      <alignment horizontal="center"/>
      <protection/>
    </xf>
    <xf numFmtId="0" fontId="27" fillId="0" borderId="59" xfId="0" applyFont="1" applyBorder="1" applyAlignment="1" applyProtection="1">
      <alignment horizontal="center"/>
      <protection/>
    </xf>
    <xf numFmtId="0" fontId="27" fillId="0" borderId="75" xfId="0" applyFont="1" applyBorder="1" applyAlignment="1" applyProtection="1">
      <alignment horizontal="center"/>
      <protection/>
    </xf>
    <xf numFmtId="0" fontId="27" fillId="0" borderId="76" xfId="0" applyFont="1" applyBorder="1" applyAlignment="1" applyProtection="1">
      <alignment horizontal="center"/>
      <protection/>
    </xf>
    <xf numFmtId="0" fontId="27" fillId="0" borderId="55" xfId="0" applyFont="1" applyBorder="1" applyAlignment="1" applyProtection="1">
      <alignment horizontal="center"/>
      <protection/>
    </xf>
    <xf numFmtId="0" fontId="8" fillId="0" borderId="34" xfId="0" applyFont="1" applyFill="1" applyBorder="1" applyAlignment="1" applyProtection="1">
      <alignment horizontal="left" vertical="top" wrapText="1"/>
      <protection/>
    </xf>
    <xf numFmtId="0" fontId="8" fillId="0" borderId="18" xfId="0" applyFont="1" applyFill="1" applyBorder="1" applyAlignment="1" applyProtection="1">
      <alignment horizontal="left" vertical="top" wrapText="1"/>
      <protection/>
    </xf>
    <xf numFmtId="0" fontId="23" fillId="0" borderId="77" xfId="0" applyFont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Maximale Preise für Fleckvieh - Bullenkälber    
 </a:t>
            </a:r>
          </a:p>
        </c:rich>
      </c:tx>
      <c:layout>
        <c:manualLayout>
          <c:xMode val="factor"/>
          <c:yMode val="factor"/>
          <c:x val="0.053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4275"/>
          <c:w val="0.962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Ergebnisse!$B$18</c:f>
              <c:strCache>
                <c:ptCount val="1"/>
                <c:pt idx="0">
                  <c:v>kurzfristig ( nur variable Kosten abgedeckt 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Ergebnisse!$E$8:$M$8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Ergebnisse!$E$18:$M$18</c:f>
              <c:numCache>
                <c:ptCount val="9"/>
                <c:pt idx="0">
                  <c:v>1.3949906542056056</c:v>
                </c:pt>
                <c:pt idx="1">
                  <c:v>2.443364485981307</c:v>
                </c:pt>
                <c:pt idx="2">
                  <c:v>3.491738317757009</c:v>
                </c:pt>
                <c:pt idx="3">
                  <c:v>4.540112149532711</c:v>
                </c:pt>
                <c:pt idx="4">
                  <c:v>5.588485981308413</c:v>
                </c:pt>
                <c:pt idx="5">
                  <c:v>6.636859813084113</c:v>
                </c:pt>
                <c:pt idx="6">
                  <c:v>7.685233644859816</c:v>
                </c:pt>
                <c:pt idx="7">
                  <c:v>8.733607476635518</c:v>
                </c:pt>
                <c:pt idx="8">
                  <c:v>9.781981308411218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Ergebnisse!$B$16</c:f>
              <c:strCache>
                <c:ptCount val="1"/>
                <c:pt idx="0">
                  <c:v>mittelfristig ( var. Kosten und Arbeit abgedeckt 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Ergebnisse!$E$8:$M$8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(Ergebnisse!$E$16:$J$16,Ergebnisse!$K$16:$M$16)</c:f>
              <c:numCache>
                <c:ptCount val="9"/>
                <c:pt idx="0">
                  <c:v>-0.623700934579441</c:v>
                </c:pt>
                <c:pt idx="1">
                  <c:v>0.4246728971962607</c:v>
                </c:pt>
                <c:pt idx="2">
                  <c:v>1.4730467289719624</c:v>
                </c:pt>
                <c:pt idx="3">
                  <c:v>2.5214205607476643</c:v>
                </c:pt>
                <c:pt idx="4">
                  <c:v>3.5697943925233653</c:v>
                </c:pt>
                <c:pt idx="5">
                  <c:v>4.618168224299068</c:v>
                </c:pt>
                <c:pt idx="6">
                  <c:v>5.666542056074769</c:v>
                </c:pt>
                <c:pt idx="7">
                  <c:v>6.71491588785047</c:v>
                </c:pt>
                <c:pt idx="8">
                  <c:v>7.763289719626173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Ergebnisse!$B$14</c:f>
              <c:strCache>
                <c:ptCount val="1"/>
                <c:pt idx="0">
                  <c:v>langfristig ( alle Kosten einschl. Stall abgedeckt 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Ergebnisse!$E$8:$M$8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Ergebnisse!$E$14:$M$14</c:f>
              <c:numCache>
                <c:ptCount val="9"/>
                <c:pt idx="0">
                  <c:v>-5.059838006230531</c:v>
                </c:pt>
                <c:pt idx="1">
                  <c:v>-4.011464174454829</c:v>
                </c:pt>
                <c:pt idx="2">
                  <c:v>-2.9630903426791275</c:v>
                </c:pt>
                <c:pt idx="3">
                  <c:v>-1.9147165109034259</c:v>
                </c:pt>
                <c:pt idx="4">
                  <c:v>-0.8663426791277244</c:v>
                </c:pt>
                <c:pt idx="5">
                  <c:v>0.18203115264797723</c:v>
                </c:pt>
                <c:pt idx="6">
                  <c:v>1.2304049844236788</c:v>
                </c:pt>
                <c:pt idx="7">
                  <c:v>2.2787788161993805</c:v>
                </c:pt>
                <c:pt idx="8">
                  <c:v>3.3271526479750824</c:v>
                </c:pt>
              </c:numCache>
            </c:numRef>
          </c:val>
          <c:smooth val="0"/>
        </c:ser>
        <c:marker val="1"/>
        <c:axId val="13750892"/>
        <c:axId val="56649165"/>
      </c:lineChart>
      <c:catAx>
        <c:axId val="13750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Bullenpreis  (€/kg SG, o. Mwst.)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49165"/>
        <c:crossesAt val="0"/>
        <c:auto val="1"/>
        <c:lblOffset val="100"/>
        <c:tickLblSkip val="1"/>
        <c:noMultiLvlLbl val="0"/>
      </c:catAx>
      <c:valAx>
        <c:axId val="56649165"/>
        <c:scaling>
          <c:orientation val="minMax"/>
          <c:max val="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75-kg Kalb 
(€/kg o. Mwst.)</a:t>
                </a:r>
              </a:p>
            </c:rich>
          </c:tx>
          <c:layout>
            <c:manualLayout>
              <c:xMode val="factor"/>
              <c:yMode val="factor"/>
              <c:x val="0.05175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50892"/>
        <c:crossesAt val="1"/>
        <c:crossBetween val="midCat"/>
        <c:dispUnits/>
        <c:majorUnit val="0.5"/>
        <c:min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375"/>
          <c:y val="0.17975"/>
          <c:w val="0.43025"/>
          <c:h val="0.1617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Maximale  Fresserpreise (200 kg, Fleckvieh)  
</a:t>
            </a:r>
          </a:p>
        </c:rich>
      </c:tx>
      <c:layout>
        <c:manualLayout>
          <c:xMode val="factor"/>
          <c:yMode val="factor"/>
          <c:x val="0.013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29"/>
          <c:w val="0.964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Ergebnisse!$B$33</c:f>
              <c:strCache>
                <c:ptCount val="1"/>
                <c:pt idx="0">
                  <c:v>kurzfristig ( nur variable Kosten abgedeckt 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Ergebnisse!$E$23:$M$23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Ergebnisse!$E$33:$M$33</c:f>
              <c:numCache>
                <c:ptCount val="9"/>
                <c:pt idx="0">
                  <c:v>1.588542056074766</c:v>
                </c:pt>
                <c:pt idx="1">
                  <c:v>1.9816822429906542</c:v>
                </c:pt>
                <c:pt idx="2">
                  <c:v>2.3748224299065424</c:v>
                </c:pt>
                <c:pt idx="3">
                  <c:v>2.7679626168224307</c:v>
                </c:pt>
                <c:pt idx="4">
                  <c:v>3.1611028037383186</c:v>
                </c:pt>
                <c:pt idx="5">
                  <c:v>3.554242990654207</c:v>
                </c:pt>
                <c:pt idx="6">
                  <c:v>3.947383177570095</c:v>
                </c:pt>
                <c:pt idx="7">
                  <c:v>4.340523364485984</c:v>
                </c:pt>
                <c:pt idx="8">
                  <c:v>4.733663551401871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Ergebnisse!$B$31</c:f>
              <c:strCache>
                <c:ptCount val="1"/>
                <c:pt idx="0">
                  <c:v>mittelfristig ( var. Kosten und Arbeit abgedeckt 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Ergebnisse!$E$23:$M$23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Ergebnisse!$E$31:$M$31</c:f>
              <c:numCache>
                <c:ptCount val="9"/>
                <c:pt idx="0">
                  <c:v>1.149289719626168</c:v>
                </c:pt>
                <c:pt idx="1">
                  <c:v>1.5424299065420564</c:v>
                </c:pt>
                <c:pt idx="2">
                  <c:v>1.9355700934579443</c:v>
                </c:pt>
                <c:pt idx="3">
                  <c:v>2.328710280373832</c:v>
                </c:pt>
                <c:pt idx="4">
                  <c:v>2.7218504672897206</c:v>
                </c:pt>
                <c:pt idx="5">
                  <c:v>3.1149906542056085</c:v>
                </c:pt>
                <c:pt idx="6">
                  <c:v>3.5081308411214964</c:v>
                </c:pt>
                <c:pt idx="7">
                  <c:v>3.901271028037385</c:v>
                </c:pt>
                <c:pt idx="8">
                  <c:v>4.294411214953273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Ergebnisse!$B$29</c:f>
              <c:strCache>
                <c:ptCount val="1"/>
                <c:pt idx="0">
                  <c:v>langfristig ( alle Kosten einschl. Stall abgedeckt 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Ergebnisse!$E$23:$M$23</c:f>
              <c:strCache>
                <c:ptCount val="9"/>
                <c:pt idx="0">
                  <c:v>280</c:v>
                </c:pt>
                <c:pt idx="1">
                  <c:v>300</c:v>
                </c:pt>
                <c:pt idx="2">
                  <c:v>320</c:v>
                </c:pt>
                <c:pt idx="3">
                  <c:v>340</c:v>
                </c:pt>
                <c:pt idx="4">
                  <c:v>360</c:v>
                </c:pt>
                <c:pt idx="5">
                  <c:v>380</c:v>
                </c:pt>
                <c:pt idx="6">
                  <c:v>400</c:v>
                </c:pt>
                <c:pt idx="7">
                  <c:v>420</c:v>
                </c:pt>
                <c:pt idx="8">
                  <c:v>440</c:v>
                </c:pt>
              </c:strCache>
            </c:strRef>
          </c:cat>
          <c:val>
            <c:numRef>
              <c:f>Ergebnisse!$E$29:$M$29</c:f>
              <c:numCache>
                <c:ptCount val="9"/>
                <c:pt idx="0">
                  <c:v>-0.15444859813084122</c:v>
                </c:pt>
                <c:pt idx="1">
                  <c:v>0.2386915887850469</c:v>
                </c:pt>
                <c:pt idx="2">
                  <c:v>0.6318317757009351</c:v>
                </c:pt>
                <c:pt idx="3">
                  <c:v>1.0249719626168232</c:v>
                </c:pt>
                <c:pt idx="4">
                  <c:v>1.4181121495327111</c:v>
                </c:pt>
                <c:pt idx="5">
                  <c:v>1.8112523364485995</c:v>
                </c:pt>
                <c:pt idx="6">
                  <c:v>2.204392523364487</c:v>
                </c:pt>
                <c:pt idx="7">
                  <c:v>2.597532710280376</c:v>
                </c:pt>
                <c:pt idx="8">
                  <c:v>2.990672897196264</c:v>
                </c:pt>
              </c:numCache>
            </c:numRef>
          </c:val>
          <c:smooth val="0"/>
        </c:ser>
        <c:marker val="1"/>
        <c:axId val="40080438"/>
        <c:axId val="25179623"/>
      </c:lineChart>
      <c:catAx>
        <c:axId val="40080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Bullenpreis  (€/kg SG, o. Mwst.)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At val="0"/>
        <c:auto val="1"/>
        <c:lblOffset val="100"/>
        <c:tickLblSkip val="1"/>
        <c:noMultiLvlLbl val="0"/>
      </c:catAx>
      <c:valAx>
        <c:axId val="25179623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 Fresser 
(€/kg o. Mwst. )</a:t>
                </a:r>
              </a:p>
            </c:rich>
          </c:tx>
          <c:layout>
            <c:manualLayout>
              <c:xMode val="factor"/>
              <c:yMode val="factor"/>
              <c:x val="0.043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5"/>
          <c:y val="0.68475"/>
          <c:w val="0.429"/>
          <c:h val="0.1617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Notwendige Rindfleischpreise 
</a:t>
            </a: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bei unterschiedlichen Kälberpreisen</a:t>
            </a:r>
          </a:p>
        </c:rich>
      </c:tx>
      <c:layout>
        <c:manualLayout>
          <c:xMode val="factor"/>
          <c:yMode val="factor"/>
          <c:x val="0.00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14125"/>
          <c:w val="0.962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Ergebnisse_Fleischpreis!$B$18</c:f>
              <c:strCache>
                <c:ptCount val="1"/>
                <c:pt idx="0">
                  <c:v>kurzfristig ( nur variable Kosten abgedeckt 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Ergebnisse_Fleischpreis!$E$8:$M$8</c:f>
              <c:numCache>
                <c:ptCount val="9"/>
                <c:pt idx="0">
                  <c:v>4.5</c:v>
                </c:pt>
                <c:pt idx="1">
                  <c:v>4.75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6</c:v>
                </c:pt>
                <c:pt idx="7">
                  <c:v>6.25</c:v>
                </c:pt>
                <c:pt idx="8">
                  <c:v>6.5</c:v>
                </c:pt>
              </c:numCache>
            </c:numRef>
          </c:cat>
          <c:val>
            <c:numRef>
              <c:f>Ergebnisse_Fleischpreis!$E$18:$M$18</c:f>
              <c:numCache>
                <c:ptCount val="9"/>
                <c:pt idx="0">
                  <c:v>3.392347739266867</c:v>
                </c:pt>
                <c:pt idx="1">
                  <c:v>3.4400406504065044</c:v>
                </c:pt>
                <c:pt idx="2">
                  <c:v>3.487733561546142</c:v>
                </c:pt>
                <c:pt idx="3">
                  <c:v>3.53542647268578</c:v>
                </c:pt>
                <c:pt idx="4">
                  <c:v>3.5831193838254176</c:v>
                </c:pt>
                <c:pt idx="5">
                  <c:v>3.630812294965055</c:v>
                </c:pt>
                <c:pt idx="6">
                  <c:v>3.6785052061046932</c:v>
                </c:pt>
                <c:pt idx="7">
                  <c:v>3.726198117244331</c:v>
                </c:pt>
                <c:pt idx="8">
                  <c:v>3.7738910283839684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Ergebnisse_Fleischpreis!$B$16</c:f>
              <c:strCache>
                <c:ptCount val="1"/>
                <c:pt idx="0">
                  <c:v>mittelfristig ( var. Kosten und Arbeit abgedeckt 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Ergebnisse_Fleischpreis!$E$8:$M$8</c:f>
              <c:numCache>
                <c:ptCount val="9"/>
                <c:pt idx="0">
                  <c:v>4.5</c:v>
                </c:pt>
                <c:pt idx="1">
                  <c:v>4.75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6</c:v>
                </c:pt>
                <c:pt idx="7">
                  <c:v>6.25</c:v>
                </c:pt>
                <c:pt idx="8">
                  <c:v>6.5</c:v>
                </c:pt>
              </c:numCache>
            </c:numRef>
          </c:cat>
          <c:val>
            <c:numRef>
              <c:f>(Ergebnisse_Fleischpreis!$E$16:$J$16,Ergebnisse_Fleischpreis!$K$16:$M$16)</c:f>
              <c:numCache>
                <c:ptCount val="9"/>
                <c:pt idx="0">
                  <c:v>3.777456853515904</c:v>
                </c:pt>
                <c:pt idx="1">
                  <c:v>3.825149764655542</c:v>
                </c:pt>
                <c:pt idx="2">
                  <c:v>3.8728426757951797</c:v>
                </c:pt>
                <c:pt idx="3">
                  <c:v>3.9205355869348173</c:v>
                </c:pt>
                <c:pt idx="4">
                  <c:v>3.968228498074455</c:v>
                </c:pt>
                <c:pt idx="5">
                  <c:v>4.0159214092140925</c:v>
                </c:pt>
                <c:pt idx="6">
                  <c:v>4.0636143203537305</c:v>
                </c:pt>
                <c:pt idx="7">
                  <c:v>4.1113072314933685</c:v>
                </c:pt>
                <c:pt idx="8">
                  <c:v>4.159000142633006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Ergebnisse_Fleischpreis!$B$14</c:f>
              <c:strCache>
                <c:ptCount val="1"/>
                <c:pt idx="0">
                  <c:v>langfristig ( alle Kosten einschl. Stall abgedeckt 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Ergebnisse_Fleischpreis!$E$8:$M$8</c:f>
              <c:numCache>
                <c:ptCount val="9"/>
                <c:pt idx="0">
                  <c:v>4.5</c:v>
                </c:pt>
                <c:pt idx="1">
                  <c:v>4.75</c:v>
                </c:pt>
                <c:pt idx="2">
                  <c:v>5</c:v>
                </c:pt>
                <c:pt idx="3">
                  <c:v>5.25</c:v>
                </c:pt>
                <c:pt idx="4">
                  <c:v>5.5</c:v>
                </c:pt>
                <c:pt idx="5">
                  <c:v>5.75</c:v>
                </c:pt>
                <c:pt idx="6">
                  <c:v>6</c:v>
                </c:pt>
                <c:pt idx="7">
                  <c:v>6.25</c:v>
                </c:pt>
                <c:pt idx="8">
                  <c:v>6.5</c:v>
                </c:pt>
              </c:numCache>
            </c:numRef>
          </c:cat>
          <c:val>
            <c:numRef>
              <c:f>Ergebnisse_Fleischpreis!$E$14:$M$14</c:f>
              <c:numCache>
                <c:ptCount val="9"/>
                <c:pt idx="0">
                  <c:v>4.6237460181619365</c:v>
                </c:pt>
                <c:pt idx="1">
                  <c:v>4.671438929301575</c:v>
                </c:pt>
                <c:pt idx="2">
                  <c:v>4.719131840441212</c:v>
                </c:pt>
                <c:pt idx="3">
                  <c:v>4.76682475158085</c:v>
                </c:pt>
                <c:pt idx="4">
                  <c:v>4.814517662720487</c:v>
                </c:pt>
                <c:pt idx="5">
                  <c:v>4.862210573860125</c:v>
                </c:pt>
                <c:pt idx="6">
                  <c:v>4.909903484999763</c:v>
                </c:pt>
                <c:pt idx="7">
                  <c:v>4.9575963961394</c:v>
                </c:pt>
                <c:pt idx="8">
                  <c:v>5.005289307279038</c:v>
                </c:pt>
              </c:numCache>
            </c:numRef>
          </c:val>
          <c:smooth val="0"/>
        </c:ser>
        <c:marker val="1"/>
        <c:axId val="25290016"/>
        <c:axId val="26283553"/>
      </c:lineChart>
      <c:catAx>
        <c:axId val="25290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75-kg Kalb (€/kg o. Mwst.)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At val="0"/>
        <c:auto val="1"/>
        <c:lblOffset val="100"/>
        <c:tickLblSkip val="1"/>
        <c:noMultiLvlLbl val="0"/>
      </c:catAx>
      <c:valAx>
        <c:axId val="26283553"/>
        <c:scaling>
          <c:orientation val="minMax"/>
          <c:max val="5.5"/>
          <c:min val="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kg SG 
(€/kg o. Mwst.)</a:t>
                </a:r>
              </a:p>
            </c:rich>
          </c:tx>
          <c:layout>
            <c:manualLayout>
              <c:xMode val="factor"/>
              <c:yMode val="factor"/>
              <c:x val="0.044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At val="1"/>
        <c:crossBetween val="midCat"/>
        <c:dispUnits/>
        <c:majorUnit val="0.5"/>
        <c:min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975"/>
          <c:y val="0.16975"/>
          <c:w val="0.43025"/>
          <c:h val="0.1617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Notwendige Rindfleischpreise bei unterschiedlichen Fresserpreisen</a:t>
            </a:r>
          </a:p>
        </c:rich>
      </c:tx>
      <c:layout>
        <c:manualLayout>
          <c:xMode val="factor"/>
          <c:yMode val="factor"/>
          <c:x val="0.064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775"/>
          <c:w val="0.964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Ergebnisse_Fleischpreis!$B$33</c:f>
              <c:strCache>
                <c:ptCount val="1"/>
                <c:pt idx="0">
                  <c:v>kurzfristig ( nur variable Kosten abgedeckt 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Ergebnisse_Fleischpreis!$E$23:$M$23</c:f>
              <c:numCache>
                <c:ptCount val="9"/>
                <c:pt idx="0">
                  <c:v>3</c:v>
                </c:pt>
                <c:pt idx="1">
                  <c:v>3.15</c:v>
                </c:pt>
                <c:pt idx="2">
                  <c:v>3.3000000000000003</c:v>
                </c:pt>
                <c:pt idx="3">
                  <c:v>3.45</c:v>
                </c:pt>
                <c:pt idx="4">
                  <c:v>3.6</c:v>
                </c:pt>
                <c:pt idx="5">
                  <c:v>3.75</c:v>
                </c:pt>
                <c:pt idx="6">
                  <c:v>3.9</c:v>
                </c:pt>
                <c:pt idx="7">
                  <c:v>4.05</c:v>
                </c:pt>
                <c:pt idx="8">
                  <c:v>4.2</c:v>
                </c:pt>
              </c:numCache>
            </c:numRef>
          </c:cat>
          <c:val>
            <c:numRef>
              <c:f>Ergebnisse_Fleischpreis!$E$33:$M$33</c:f>
              <c:numCache>
                <c:ptCount val="9"/>
                <c:pt idx="0">
                  <c:v>3.518043075167594</c:v>
                </c:pt>
                <c:pt idx="1">
                  <c:v>3.594351732991014</c:v>
                </c:pt>
                <c:pt idx="2">
                  <c:v>3.6706603908144344</c:v>
                </c:pt>
                <c:pt idx="3">
                  <c:v>3.746969048637855</c:v>
                </c:pt>
                <c:pt idx="4">
                  <c:v>3.8232777064612757</c:v>
                </c:pt>
                <c:pt idx="5">
                  <c:v>3.899586364284696</c:v>
                </c:pt>
                <c:pt idx="6">
                  <c:v>3.9758950221081157</c:v>
                </c:pt>
                <c:pt idx="7">
                  <c:v>4.052203679931536</c:v>
                </c:pt>
                <c:pt idx="8">
                  <c:v>4.128512337754957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Ergebnisse_Fleischpreis!$B$31</c:f>
              <c:strCache>
                <c:ptCount val="1"/>
                <c:pt idx="0">
                  <c:v>mittelfristig ( var. Kosten und Arbeit abgedeckt )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Ergebnisse_Fleischpreis!$E$23:$M$23</c:f>
              <c:numCache>
                <c:ptCount val="9"/>
                <c:pt idx="0">
                  <c:v>3</c:v>
                </c:pt>
                <c:pt idx="1">
                  <c:v>3.15</c:v>
                </c:pt>
                <c:pt idx="2">
                  <c:v>3.3000000000000003</c:v>
                </c:pt>
                <c:pt idx="3">
                  <c:v>3.45</c:v>
                </c:pt>
                <c:pt idx="4">
                  <c:v>3.6</c:v>
                </c:pt>
                <c:pt idx="5">
                  <c:v>3.75</c:v>
                </c:pt>
                <c:pt idx="6">
                  <c:v>3.9</c:v>
                </c:pt>
                <c:pt idx="7">
                  <c:v>4.05</c:v>
                </c:pt>
                <c:pt idx="8">
                  <c:v>4.2</c:v>
                </c:pt>
              </c:numCache>
            </c:numRef>
          </c:cat>
          <c:val>
            <c:numRef>
              <c:f>Ergebnisse_Fleischpreis!$E$31:$M$31</c:f>
              <c:numCache>
                <c:ptCount val="9"/>
                <c:pt idx="0">
                  <c:v>3.7415014501022203</c:v>
                </c:pt>
                <c:pt idx="1">
                  <c:v>3.8178101079256406</c:v>
                </c:pt>
                <c:pt idx="2">
                  <c:v>3.8941187657490612</c:v>
                </c:pt>
                <c:pt idx="3">
                  <c:v>3.970427423572482</c:v>
                </c:pt>
                <c:pt idx="4">
                  <c:v>4.046736081395903</c:v>
                </c:pt>
                <c:pt idx="5">
                  <c:v>4.1230447392193215</c:v>
                </c:pt>
                <c:pt idx="6">
                  <c:v>4.199353397042742</c:v>
                </c:pt>
                <c:pt idx="7">
                  <c:v>4.275662054866163</c:v>
                </c:pt>
                <c:pt idx="8">
                  <c:v>4.351970712689583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Ergebnisse_Fleischpreis!$B$29</c:f>
              <c:strCache>
                <c:ptCount val="1"/>
                <c:pt idx="0">
                  <c:v>langfristig ( alle Kosten einschl. Stall abgedeckt 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Ergebnisse_Fleischpreis!$E$23:$M$23</c:f>
              <c:numCache>
                <c:ptCount val="9"/>
                <c:pt idx="0">
                  <c:v>3</c:v>
                </c:pt>
                <c:pt idx="1">
                  <c:v>3.15</c:v>
                </c:pt>
                <c:pt idx="2">
                  <c:v>3.3000000000000003</c:v>
                </c:pt>
                <c:pt idx="3">
                  <c:v>3.45</c:v>
                </c:pt>
                <c:pt idx="4">
                  <c:v>3.6</c:v>
                </c:pt>
                <c:pt idx="5">
                  <c:v>3.75</c:v>
                </c:pt>
                <c:pt idx="6">
                  <c:v>3.9</c:v>
                </c:pt>
                <c:pt idx="7">
                  <c:v>4.05</c:v>
                </c:pt>
                <c:pt idx="8">
                  <c:v>4.2</c:v>
                </c:pt>
              </c:numCache>
            </c:numRef>
          </c:cat>
          <c:val>
            <c:numRef>
              <c:f>Ergebnisse_Fleischpreis!$E$29:$M$29</c:f>
              <c:numCache>
                <c:ptCount val="9"/>
                <c:pt idx="0">
                  <c:v>4.404744924642229</c:v>
                </c:pt>
                <c:pt idx="1">
                  <c:v>4.481053582465649</c:v>
                </c:pt>
                <c:pt idx="2">
                  <c:v>4.55736224028907</c:v>
                </c:pt>
                <c:pt idx="3">
                  <c:v>4.63367089811249</c:v>
                </c:pt>
                <c:pt idx="4">
                  <c:v>4.70997955593591</c:v>
                </c:pt>
                <c:pt idx="5">
                  <c:v>4.786288213759331</c:v>
                </c:pt>
                <c:pt idx="6">
                  <c:v>4.862596871582751</c:v>
                </c:pt>
                <c:pt idx="7">
                  <c:v>4.9389055294061714</c:v>
                </c:pt>
                <c:pt idx="8">
                  <c:v>5.015214187229591</c:v>
                </c:pt>
              </c:numCache>
            </c:numRef>
          </c:val>
          <c:smooth val="0"/>
        </c:ser>
        <c:marker val="1"/>
        <c:axId val="35225386"/>
        <c:axId val="48593019"/>
      </c:lineChart>
      <c:catAx>
        <c:axId val="3522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Fresserpreis  (€/kg , o. Mwst.)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3019"/>
        <c:crossesAt val="0"/>
        <c:auto val="1"/>
        <c:lblOffset val="100"/>
        <c:tickLblSkip val="1"/>
        <c:noMultiLvlLbl val="0"/>
      </c:catAx>
      <c:valAx>
        <c:axId val="48593019"/>
        <c:scaling>
          <c:orientation val="minMax"/>
          <c:max val="5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Preis  kg SG 
(€/kg o. Mwst. )</a:t>
                </a:r>
              </a:p>
            </c:rich>
          </c:tx>
          <c:layout>
            <c:manualLayout>
              <c:xMode val="factor"/>
              <c:yMode val="factor"/>
              <c:x val="0.046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At val="1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45"/>
          <c:y val="0.68475"/>
          <c:w val="0.429"/>
          <c:h val="0.16175"/>
        </c:manualLayout>
      </c:layout>
      <c:overlay val="0"/>
      <c:spPr>
        <a:solidFill>
          <a:srgbClr val="FFFF9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>
    <tabColor indexed="40"/>
  </sheetPr>
  <sheetViews>
    <sheetView workbookViewId="0" zoomScale="75"/>
  </sheetViews>
  <pageMargins left="0.49" right="0.5" top="0.69" bottom="0.49" header="0.4921259845" footer="0.33"/>
  <pageSetup horizontalDpi="600" verticalDpi="600" orientation="landscape" paperSize="9"/>
  <headerFooter>
    <oddFooter>&amp;LLEL, Abt. II (Se)&amp;C&amp;F&amp;A&amp;R&amp;D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5">
    <tabColor indexed="40"/>
  </sheetPr>
  <sheetViews>
    <sheetView workbookViewId="0" zoomScale="75"/>
  </sheetViews>
  <pageMargins left="0.49" right="0.5" top="0.69" bottom="0.49" header="0.4921259845" footer="0.33"/>
  <pageSetup horizontalDpi="600" verticalDpi="600" orientation="landscape" paperSize="9"/>
  <headerFooter>
    <oddFooter>&amp;LLEL, Abt. II (Se)&amp;C&amp;F&amp;A&amp;R&amp;D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1">
    <tabColor indexed="55"/>
  </sheetPr>
  <sheetViews>
    <sheetView workbookViewId="0" zoomScale="75"/>
  </sheetViews>
  <pageMargins left="0.49" right="0.5" top="0.69" bottom="0.49" header="0.4921259845" footer="0.33"/>
  <pageSetup horizontalDpi="600" verticalDpi="600" orientation="landscape" paperSize="9"/>
  <headerFooter>
    <oddFooter>&amp;LLEL, Abt. II (Se)&amp;C&amp;F&amp;A&amp;R&amp;D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2">
    <tabColor indexed="22"/>
  </sheetPr>
  <sheetViews>
    <sheetView workbookViewId="0" zoomScale="75"/>
  </sheetViews>
  <pageMargins left="0.49" right="0.5" top="0.69" bottom="0.49" header="0.4921259845" footer="0.33"/>
  <pageSetup horizontalDpi="600" verticalDpi="600" orientation="landscape" paperSize="9"/>
  <headerFooter>
    <oddFooter>&amp;LLEL, Abt. II (Se)&amp;C&amp;F&amp;A&amp;R&amp;D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2457450</xdr:colOff>
      <xdr:row>2</xdr:row>
      <xdr:rowOff>76200</xdr:rowOff>
    </xdr:from>
    <xdr:to>
      <xdr:col>2</xdr:col>
      <xdr:colOff>533400</xdr:colOff>
      <xdr:row>3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42925"/>
          <a:ext cx="600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10</xdr:row>
      <xdr:rowOff>104775</xdr:rowOff>
    </xdr:from>
    <xdr:to>
      <xdr:col>2</xdr:col>
      <xdr:colOff>533400</xdr:colOff>
      <xdr:row>10</xdr:row>
      <xdr:rowOff>228600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733675"/>
          <a:ext cx="590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457950"/>
    <xdr:graphicFrame>
      <xdr:nvGraphicFramePr>
        <xdr:cNvPr id="1" name="Shape 1025"/>
        <xdr:cNvGraphicFramePr/>
      </xdr:nvGraphicFramePr>
      <xdr:xfrm>
        <a:off x="0" y="0"/>
        <a:ext cx="97536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0.42225</cdr:y>
    </cdr:from>
    <cdr:to>
      <cdr:x>0.82775</cdr:x>
      <cdr:y>0.4955</cdr:y>
    </cdr:to>
    <cdr:sp>
      <cdr:nvSpPr>
        <cdr:cNvPr id="1" name="AutoShape 2"/>
        <cdr:cNvSpPr>
          <a:spLocks/>
        </cdr:cNvSpPr>
      </cdr:nvSpPr>
      <cdr:spPr>
        <a:xfrm>
          <a:off x="6753225" y="2724150"/>
          <a:ext cx="1314450" cy="476250"/>
        </a:xfrm>
        <a:prstGeom prst="wedgeRectCallout">
          <a:avLst>
            <a:gd name="adj1" fmla="val -129611"/>
            <a:gd name="adj2" fmla="val -77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Preise Oktober 2013</a:t>
          </a:r>
        </a:p>
      </cdr:txBody>
    </cdr:sp>
  </cdr:relSizeAnchor>
  <cdr:relSizeAnchor xmlns:cdr="http://schemas.openxmlformats.org/drawingml/2006/chartDrawing">
    <cdr:from>
      <cdr:x>0.558</cdr:x>
      <cdr:y>0.375</cdr:y>
    </cdr:from>
    <cdr:to>
      <cdr:x>0.585</cdr:x>
      <cdr:y>0.407</cdr:y>
    </cdr:to>
    <cdr:sp>
      <cdr:nvSpPr>
        <cdr:cNvPr id="2" name="AutoShape 3"/>
        <cdr:cNvSpPr>
          <a:spLocks/>
        </cdr:cNvSpPr>
      </cdr:nvSpPr>
      <cdr:spPr>
        <a:xfrm>
          <a:off x="5438775" y="2419350"/>
          <a:ext cx="266700" cy="209550"/>
        </a:xfrm>
        <a:prstGeom prst="irregularSeal1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457950"/>
    <xdr:graphicFrame>
      <xdr:nvGraphicFramePr>
        <xdr:cNvPr id="1" name="Shape 1025"/>
        <xdr:cNvGraphicFramePr/>
      </xdr:nvGraphicFramePr>
      <xdr:xfrm>
        <a:off x="0" y="0"/>
        <a:ext cx="97536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</cdr:x>
      <cdr:y>0.22825</cdr:y>
    </cdr:from>
    <cdr:to>
      <cdr:x>0.621</cdr:x>
      <cdr:y>0.258</cdr:y>
    </cdr:to>
    <cdr:sp>
      <cdr:nvSpPr>
        <cdr:cNvPr id="1" name="AutoShape 4"/>
        <cdr:cNvSpPr>
          <a:spLocks/>
        </cdr:cNvSpPr>
      </cdr:nvSpPr>
      <cdr:spPr>
        <a:xfrm>
          <a:off x="5791200" y="1466850"/>
          <a:ext cx="266700" cy="190500"/>
        </a:xfrm>
        <a:prstGeom prst="irregularSeal1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0.41875</cdr:x>
      <cdr:y>0.0925</cdr:y>
    </cdr:from>
    <cdr:to>
      <cdr:x>0.50575</cdr:x>
      <cdr:y>0.1985</cdr:y>
    </cdr:to>
    <cdr:sp>
      <cdr:nvSpPr>
        <cdr:cNvPr id="2" name="AutoShape 6"/>
        <cdr:cNvSpPr>
          <a:spLocks/>
        </cdr:cNvSpPr>
      </cdr:nvSpPr>
      <cdr:spPr>
        <a:xfrm>
          <a:off x="4076700" y="590550"/>
          <a:ext cx="847725" cy="685800"/>
        </a:xfrm>
        <a:prstGeom prst="wedgeRectCallout">
          <a:avLst>
            <a:gd name="adj1" fmla="val 146055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Preise Oktober 2013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457950"/>
    <xdr:graphicFrame>
      <xdr:nvGraphicFramePr>
        <xdr:cNvPr id="1" name="Shape 1025"/>
        <xdr:cNvGraphicFramePr/>
      </xdr:nvGraphicFramePr>
      <xdr:xfrm>
        <a:off x="0" y="0"/>
        <a:ext cx="97536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2</xdr:row>
      <xdr:rowOff>85725</xdr:rowOff>
    </xdr:from>
    <xdr:to>
      <xdr:col>2</xdr:col>
      <xdr:colOff>514350</xdr:colOff>
      <xdr:row>3</xdr:row>
      <xdr:rowOff>76200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552450"/>
          <a:ext cx="6000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2466975</xdr:colOff>
      <xdr:row>10</xdr:row>
      <xdr:rowOff>104775</xdr:rowOff>
    </xdr:from>
    <xdr:to>
      <xdr:col>2</xdr:col>
      <xdr:colOff>533400</xdr:colOff>
      <xdr:row>10</xdr:row>
      <xdr:rowOff>228600</xdr:rowOff>
    </xdr:to>
    <xdr:pic>
      <xdr:nvPicPr>
        <xdr:cNvPr id="2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2733675"/>
          <a:ext cx="5905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0.37125</cdr:x>
      <cdr:y>0.3345</cdr:y>
    </cdr:from>
    <cdr:to>
      <cdr:x>0.486</cdr:x>
      <cdr:y>0.4195</cdr:y>
    </cdr:to>
    <cdr:sp>
      <cdr:nvSpPr>
        <cdr:cNvPr id="1" name="AutoShape 2"/>
        <cdr:cNvSpPr>
          <a:spLocks/>
        </cdr:cNvSpPr>
      </cdr:nvSpPr>
      <cdr:spPr>
        <a:xfrm flipV="1">
          <a:off x="3619500" y="2152650"/>
          <a:ext cx="1123950" cy="552450"/>
        </a:xfrm>
        <a:prstGeom prst="wedgeRectCallout">
          <a:avLst>
            <a:gd name="adj1" fmla="val -123935"/>
            <a:gd name="adj2" fmla="val -229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 Mitte Oktober 2013</a:t>
          </a:r>
        </a:p>
      </cdr:txBody>
    </cdr:sp>
  </cdr:relSizeAnchor>
  <cdr:relSizeAnchor xmlns:cdr="http://schemas.openxmlformats.org/drawingml/2006/chartDrawing">
    <cdr:from>
      <cdr:x>0.26825</cdr:x>
      <cdr:y>0.5525</cdr:y>
    </cdr:from>
    <cdr:to>
      <cdr:x>0.29525</cdr:x>
      <cdr:y>0.5845</cdr:y>
    </cdr:to>
    <cdr:sp>
      <cdr:nvSpPr>
        <cdr:cNvPr id="2" name="AutoShape 3"/>
        <cdr:cNvSpPr>
          <a:spLocks/>
        </cdr:cNvSpPr>
      </cdr:nvSpPr>
      <cdr:spPr>
        <a:xfrm>
          <a:off x="2609850" y="3562350"/>
          <a:ext cx="266700" cy="209550"/>
        </a:xfrm>
        <a:prstGeom prst="irregularSeal1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53600" cy="6457950"/>
    <xdr:graphicFrame>
      <xdr:nvGraphicFramePr>
        <xdr:cNvPr id="1" name="Shape 1025"/>
        <xdr:cNvGraphicFramePr/>
      </xdr:nvGraphicFramePr>
      <xdr:xfrm>
        <a:off x="0" y="0"/>
        <a:ext cx="975360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0.41975</cdr:y>
    </cdr:from>
    <cdr:to>
      <cdr:x>0.503</cdr:x>
      <cdr:y>0.44925</cdr:y>
    </cdr:to>
    <cdr:sp>
      <cdr:nvSpPr>
        <cdr:cNvPr id="1" name="AutoShape 4"/>
        <cdr:cNvSpPr>
          <a:spLocks/>
        </cdr:cNvSpPr>
      </cdr:nvSpPr>
      <cdr:spPr>
        <a:xfrm>
          <a:off x="4638675" y="2705100"/>
          <a:ext cx="257175" cy="190500"/>
        </a:xfrm>
        <a:prstGeom prst="irregularSeal1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0.292</cdr:x>
      <cdr:y>0.165</cdr:y>
    </cdr:from>
    <cdr:to>
      <cdr:x>0.4455</cdr:x>
      <cdr:y>0.27575</cdr:y>
    </cdr:to>
    <cdr:sp>
      <cdr:nvSpPr>
        <cdr:cNvPr id="2" name="AutoShape 6"/>
        <cdr:cNvSpPr>
          <a:spLocks/>
        </cdr:cNvSpPr>
      </cdr:nvSpPr>
      <cdr:spPr>
        <a:xfrm>
          <a:off x="2847975" y="1057275"/>
          <a:ext cx="1495425" cy="714375"/>
        </a:xfrm>
        <a:prstGeom prst="wedgeRectCallout">
          <a:avLst>
            <a:gd name="adj1" fmla="val 70717"/>
            <a:gd name="adj2" fmla="val 179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Preis  Oktoberi 2013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">
    <pageSetUpPr fitToPage="1"/>
  </sheetPr>
  <dimension ref="B2:I29"/>
  <sheetViews>
    <sheetView tabSelected="1" zoomScale="75" zoomScaleNormal="75" zoomScalePageLayoutView="0" workbookViewId="0" topLeftCell="A1">
      <selection activeCell="B3" sqref="B3:I3"/>
    </sheetView>
  </sheetViews>
  <sheetFormatPr defaultColWidth="11.421875" defaultRowHeight="12.75"/>
  <cols>
    <col min="1" max="1" width="2.00390625" style="0" customWidth="1"/>
    <col min="2" max="2" width="3.8515625" style="0" customWidth="1"/>
    <col min="3" max="3" width="13.140625" style="0" customWidth="1"/>
    <col min="8" max="8" width="12.00390625" style="0" customWidth="1"/>
    <col min="9" max="9" width="23.7109375" style="0" customWidth="1"/>
  </cols>
  <sheetData>
    <row r="1" ht="6" customHeight="1"/>
    <row r="2" spans="2:9" s="1" customFormat="1" ht="20.25" customHeight="1">
      <c r="B2" s="4" t="s">
        <v>3</v>
      </c>
      <c r="I2" s="177">
        <v>41584</v>
      </c>
    </row>
    <row r="3" spans="2:9" s="1" customFormat="1" ht="54.75" customHeight="1">
      <c r="B3" s="336" t="s">
        <v>126</v>
      </c>
      <c r="C3" s="335"/>
      <c r="D3" s="335"/>
      <c r="E3" s="335"/>
      <c r="F3" s="335"/>
      <c r="G3" s="335"/>
      <c r="H3" s="335"/>
      <c r="I3" s="335"/>
    </row>
    <row r="4" s="1" customFormat="1" ht="7.5" customHeight="1"/>
    <row r="5" spans="2:9" s="1" customFormat="1" ht="90.75" customHeight="1">
      <c r="B5" s="334" t="s">
        <v>115</v>
      </c>
      <c r="C5" s="335"/>
      <c r="D5" s="335"/>
      <c r="E5" s="335"/>
      <c r="F5" s="335"/>
      <c r="G5" s="335"/>
      <c r="H5" s="335"/>
      <c r="I5" s="335"/>
    </row>
    <row r="6" s="1" customFormat="1" ht="33" customHeight="1">
      <c r="B6" s="3" t="s">
        <v>26</v>
      </c>
    </row>
    <row r="7" s="1" customFormat="1" ht="19.5" customHeight="1">
      <c r="B7" s="3" t="s">
        <v>116</v>
      </c>
    </row>
    <row r="8" spans="2:3" s="1" customFormat="1" ht="19.5" customHeight="1">
      <c r="B8" s="3"/>
      <c r="C8" s="3" t="s">
        <v>81</v>
      </c>
    </row>
    <row r="9" spans="2:3" s="1" customFormat="1" ht="19.5" customHeight="1">
      <c r="B9" s="3"/>
      <c r="C9" s="3" t="s">
        <v>82</v>
      </c>
    </row>
    <row r="10" spans="2:3" s="1" customFormat="1" ht="24.75" customHeight="1">
      <c r="B10" s="3" t="s">
        <v>27</v>
      </c>
      <c r="C10" s="3"/>
    </row>
    <row r="11" spans="2:3" s="1" customFormat="1" ht="19.5" customHeight="1">
      <c r="B11" s="3" t="s">
        <v>83</v>
      </c>
      <c r="C11" s="3"/>
    </row>
    <row r="12" spans="2:9" s="1" customFormat="1" ht="39" customHeight="1">
      <c r="B12" s="334" t="s">
        <v>84</v>
      </c>
      <c r="C12" s="335"/>
      <c r="D12" s="335"/>
      <c r="E12" s="335"/>
      <c r="F12" s="335"/>
      <c r="G12" s="335"/>
      <c r="H12" s="335"/>
      <c r="I12" s="335"/>
    </row>
    <row r="13" spans="2:9" s="1" customFormat="1" ht="39" customHeight="1">
      <c r="B13" s="334" t="s">
        <v>85</v>
      </c>
      <c r="C13" s="335"/>
      <c r="D13" s="335"/>
      <c r="E13" s="335"/>
      <c r="F13" s="335"/>
      <c r="G13" s="335"/>
      <c r="H13" s="335"/>
      <c r="I13" s="335"/>
    </row>
    <row r="14" spans="2:3" s="1" customFormat="1" ht="29.25" customHeight="1">
      <c r="B14" s="3" t="s">
        <v>58</v>
      </c>
      <c r="C14" s="3"/>
    </row>
    <row r="15" spans="2:3" s="1" customFormat="1" ht="19.5" customHeight="1">
      <c r="B15" s="3" t="s">
        <v>57</v>
      </c>
      <c r="C15" s="3"/>
    </row>
    <row r="16" spans="2:3" s="1" customFormat="1" ht="19.5" customHeight="1">
      <c r="B16" s="3" t="s">
        <v>28</v>
      </c>
      <c r="C16" s="3"/>
    </row>
    <row r="17" spans="2:4" s="1" customFormat="1" ht="19.5" customHeight="1">
      <c r="B17" s="3"/>
      <c r="C17" s="3" t="s">
        <v>29</v>
      </c>
      <c r="D17" s="3" t="s">
        <v>37</v>
      </c>
    </row>
    <row r="18" spans="2:4" s="1" customFormat="1" ht="19.5" customHeight="1">
      <c r="B18" s="3"/>
      <c r="C18" s="3" t="s">
        <v>30</v>
      </c>
      <c r="D18" s="3" t="s">
        <v>33</v>
      </c>
    </row>
    <row r="19" spans="2:4" s="1" customFormat="1" ht="19.5" customHeight="1">
      <c r="B19" s="3"/>
      <c r="C19" s="3" t="s">
        <v>31</v>
      </c>
      <c r="D19" s="3" t="s">
        <v>32</v>
      </c>
    </row>
    <row r="20" spans="2:3" s="1" customFormat="1" ht="25.5" customHeight="1">
      <c r="B20" s="3" t="s">
        <v>59</v>
      </c>
      <c r="C20" s="3"/>
    </row>
    <row r="21" spans="2:3" s="1" customFormat="1" ht="19.5" customHeight="1">
      <c r="B21" s="6" t="s">
        <v>60</v>
      </c>
      <c r="C21" s="3"/>
    </row>
    <row r="22" s="1" customFormat="1" ht="19.5" customHeight="1">
      <c r="B22" s="5" t="s">
        <v>1</v>
      </c>
    </row>
    <row r="23" s="1" customFormat="1" ht="19.5" customHeight="1">
      <c r="B23" s="5" t="s">
        <v>2</v>
      </c>
    </row>
    <row r="24" s="1" customFormat="1" ht="19.5" customHeight="1"/>
    <row r="25" s="1" customFormat="1" ht="15">
      <c r="B25" s="2"/>
    </row>
    <row r="26" spans="2:9" s="1" customFormat="1" ht="55.5" customHeight="1">
      <c r="B26" s="336" t="s">
        <v>117</v>
      </c>
      <c r="C26" s="335"/>
      <c r="D26" s="335"/>
      <c r="E26" s="335"/>
      <c r="F26" s="335"/>
      <c r="G26" s="335"/>
      <c r="H26" s="335"/>
      <c r="I26" s="335"/>
    </row>
    <row r="27" s="1" customFormat="1" ht="14.25"/>
    <row r="28" s="1" customFormat="1" ht="15">
      <c r="B28" s="3" t="s">
        <v>114</v>
      </c>
    </row>
    <row r="29" s="1" customFormat="1" ht="15">
      <c r="B29" s="3" t="s">
        <v>118</v>
      </c>
    </row>
    <row r="30" s="1" customFormat="1" ht="14.25"/>
    <row r="31" s="1" customFormat="1" ht="14.25"/>
    <row r="32" s="1" customFormat="1" ht="14.25"/>
    <row r="33" s="1" customFormat="1" ht="14.25"/>
    <row r="34" s="1" customFormat="1" ht="14.25"/>
  </sheetData>
  <sheetProtection sheet="1" objects="1" scenarios="1"/>
  <mergeCells count="5">
    <mergeCell ref="B5:I5"/>
    <mergeCell ref="B3:I3"/>
    <mergeCell ref="B12:I12"/>
    <mergeCell ref="B13:I13"/>
    <mergeCell ref="B26:I26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portrait" paperSize="9" scale="95" r:id="rId1"/>
  <headerFooter alignWithMargins="0">
    <oddFooter>&amp;LLEL, Abt. II ( Segger )&amp;C&amp;F&amp;A&amp;R&amp;D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tabColor rgb="FFFFFF00"/>
    <pageSetUpPr fitToPage="1"/>
  </sheetPr>
  <dimension ref="A2:V60"/>
  <sheetViews>
    <sheetView zoomScale="75" zoomScaleNormal="75" zoomScalePageLayoutView="0" workbookViewId="0" topLeftCell="A1">
      <selection activeCell="C60" sqref="C60"/>
    </sheetView>
  </sheetViews>
  <sheetFormatPr defaultColWidth="11.421875" defaultRowHeight="12.75"/>
  <cols>
    <col min="1" max="1" width="1.1484375" style="7" customWidth="1"/>
    <col min="2" max="2" width="4.00390625" style="7" customWidth="1"/>
    <col min="3" max="3" width="8.421875" style="7" customWidth="1"/>
    <col min="4" max="4" width="51.28125" style="7" customWidth="1"/>
    <col min="5" max="5" width="13.00390625" style="8" customWidth="1"/>
    <col min="6" max="6" width="5.8515625" style="9" customWidth="1"/>
    <col min="7" max="9" width="12.7109375" style="7" customWidth="1"/>
    <col min="10" max="10" width="8.28125" style="7" customWidth="1"/>
    <col min="11" max="11" width="9.421875" style="7" customWidth="1"/>
    <col min="12" max="12" width="7.57421875" style="7" customWidth="1"/>
    <col min="13" max="13" width="2.7109375" style="7" customWidth="1"/>
    <col min="14" max="14" width="8.140625" style="7" customWidth="1"/>
    <col min="15" max="15" width="7.57421875" style="7" customWidth="1"/>
    <col min="16" max="16" width="11.421875" style="7" customWidth="1"/>
    <col min="17" max="17" width="14.7109375" style="7" customWidth="1"/>
    <col min="18" max="18" width="11.7109375" style="7" customWidth="1"/>
    <col min="19" max="19" width="9.8515625" style="7" customWidth="1"/>
    <col min="20" max="20" width="9.7109375" style="7" customWidth="1"/>
    <col min="21" max="21" width="8.421875" style="7" customWidth="1"/>
    <col min="22" max="16384" width="11.421875" style="7" customWidth="1"/>
  </cols>
  <sheetData>
    <row r="1" ht="8.25" customHeight="1"/>
    <row r="2" ht="27.75">
      <c r="C2" s="10" t="s">
        <v>20</v>
      </c>
    </row>
    <row r="3" ht="18.75" customHeight="1">
      <c r="C3" s="251" t="s">
        <v>108</v>
      </c>
    </row>
    <row r="4" spans="3:9" ht="18.75" customHeight="1">
      <c r="C4" s="175" t="s">
        <v>75</v>
      </c>
      <c r="H4" s="11" t="s">
        <v>25</v>
      </c>
      <c r="I4" s="12">
        <f>Info!I2</f>
        <v>41584</v>
      </c>
    </row>
    <row r="5" spans="3:10" ht="30" customHeight="1">
      <c r="C5" s="13" t="s">
        <v>78</v>
      </c>
      <c r="D5" s="14"/>
      <c r="E5" s="15"/>
      <c r="F5" s="279" t="s">
        <v>76</v>
      </c>
      <c r="H5" s="14"/>
      <c r="I5" s="16"/>
      <c r="J5" s="14"/>
    </row>
    <row r="6" spans="3:12" ht="6" customHeight="1" thickBot="1">
      <c r="C6" s="14"/>
      <c r="D6" s="14"/>
      <c r="E6" s="15"/>
      <c r="F6" s="15"/>
      <c r="G6" s="14"/>
      <c r="H6" s="14"/>
      <c r="I6" s="14"/>
      <c r="J6" s="14"/>
      <c r="K6" s="14"/>
      <c r="L6" s="14"/>
    </row>
    <row r="7" spans="2:12" ht="19.5" customHeight="1">
      <c r="B7" s="17">
        <v>1</v>
      </c>
      <c r="C7" s="18" t="s">
        <v>22</v>
      </c>
      <c r="D7" s="19"/>
      <c r="E7" s="20"/>
      <c r="F7" s="21"/>
      <c r="G7" s="22" t="s">
        <v>8</v>
      </c>
      <c r="H7" s="23" t="s">
        <v>9</v>
      </c>
      <c r="I7" s="24" t="s">
        <v>10</v>
      </c>
      <c r="J7" s="14"/>
      <c r="K7" s="14"/>
      <c r="L7" s="14"/>
    </row>
    <row r="8" spans="2:20" ht="19.5" customHeight="1" thickBot="1">
      <c r="B8" s="25">
        <v>2</v>
      </c>
      <c r="C8" s="26" t="s">
        <v>12</v>
      </c>
      <c r="D8" s="27"/>
      <c r="E8" s="28"/>
      <c r="F8" s="29" t="s">
        <v>40</v>
      </c>
      <c r="G8" s="30">
        <v>1100</v>
      </c>
      <c r="H8" s="31">
        <v>1200</v>
      </c>
      <c r="I8" s="32">
        <v>1300</v>
      </c>
      <c r="S8" s="313">
        <f>(H8-G8)/G8</f>
        <v>0.09090909090909091</v>
      </c>
      <c r="T8" s="313">
        <f>(I8-H8)/H8</f>
        <v>0.08333333333333333</v>
      </c>
    </row>
    <row r="9" spans="2:9" ht="19.5" customHeight="1">
      <c r="B9" s="33">
        <v>3</v>
      </c>
      <c r="C9" s="34" t="s">
        <v>4</v>
      </c>
      <c r="D9" s="35"/>
      <c r="E9" s="36"/>
      <c r="F9" s="37"/>
      <c r="G9" s="38"/>
      <c r="H9" s="39"/>
      <c r="I9" s="40"/>
    </row>
    <row r="10" spans="2:11" ht="19.5" customHeight="1" hidden="1">
      <c r="B10" s="33">
        <v>4</v>
      </c>
      <c r="C10" s="41"/>
      <c r="D10" s="35" t="s">
        <v>0</v>
      </c>
      <c r="E10" s="36"/>
      <c r="F10" s="42" t="s">
        <v>41</v>
      </c>
      <c r="G10" s="43"/>
      <c r="H10" s="44"/>
      <c r="I10" s="45"/>
      <c r="K10" s="323" t="s">
        <v>113</v>
      </c>
    </row>
    <row r="11" spans="2:11" ht="19.5" customHeight="1" hidden="1">
      <c r="B11" s="33">
        <v>5</v>
      </c>
      <c r="C11" s="41"/>
      <c r="D11" s="35" t="s">
        <v>5</v>
      </c>
      <c r="E11" s="36"/>
      <c r="F11" s="42" t="s">
        <v>41</v>
      </c>
      <c r="G11" s="43"/>
      <c r="H11" s="44"/>
      <c r="I11" s="45"/>
      <c r="J11" s="250"/>
      <c r="K11" s="323" t="s">
        <v>113</v>
      </c>
    </row>
    <row r="12" spans="2:11" ht="19.5" customHeight="1" hidden="1">
      <c r="B12" s="33">
        <v>6</v>
      </c>
      <c r="C12" s="41"/>
      <c r="D12" s="35" t="s">
        <v>11</v>
      </c>
      <c r="E12" s="36"/>
      <c r="F12" s="42" t="s">
        <v>41</v>
      </c>
      <c r="G12" s="43"/>
      <c r="H12" s="44"/>
      <c r="I12" s="45"/>
      <c r="J12" s="66"/>
      <c r="K12" s="323" t="s">
        <v>113</v>
      </c>
    </row>
    <row r="13" spans="1:9" ht="19.5" customHeight="1">
      <c r="A13" s="316"/>
      <c r="B13" s="49">
        <v>4</v>
      </c>
      <c r="C13" s="50"/>
      <c r="D13" s="51" t="s">
        <v>6</v>
      </c>
      <c r="E13" s="52"/>
      <c r="F13" s="53" t="s">
        <v>41</v>
      </c>
      <c r="G13" s="287">
        <v>106</v>
      </c>
      <c r="H13" s="288">
        <v>96</v>
      </c>
      <c r="I13" s="289">
        <v>87</v>
      </c>
    </row>
    <row r="14" spans="2:18" ht="19.5" customHeight="1" thickBot="1">
      <c r="B14" s="25">
        <f>B13+1</f>
        <v>5</v>
      </c>
      <c r="C14" s="54" t="s">
        <v>48</v>
      </c>
      <c r="D14" s="55"/>
      <c r="E14" s="56" t="s">
        <v>127</v>
      </c>
      <c r="F14" s="57" t="s">
        <v>41</v>
      </c>
      <c r="G14" s="58">
        <f>SUM(G10:G13)</f>
        <v>106</v>
      </c>
      <c r="H14" s="59">
        <f>SUM(H10:H13)</f>
        <v>96</v>
      </c>
      <c r="I14" s="60">
        <f>SUM(I10:I13)</f>
        <v>87</v>
      </c>
      <c r="R14" s="316" t="s">
        <v>103</v>
      </c>
    </row>
    <row r="15" spans="2:9" ht="19.5" customHeight="1">
      <c r="B15" s="33">
        <f aca="true" t="shared" si="0" ref="B15:B29">B14+1</f>
        <v>6</v>
      </c>
      <c r="C15" s="34" t="s">
        <v>67</v>
      </c>
      <c r="D15" s="61"/>
      <c r="E15" s="36"/>
      <c r="F15" s="37"/>
      <c r="G15" s="38"/>
      <c r="H15" s="39"/>
      <c r="I15" s="40"/>
    </row>
    <row r="16" spans="1:22" ht="19.5" customHeight="1">
      <c r="A16" s="316"/>
      <c r="B16" s="33">
        <f t="shared" si="0"/>
        <v>7</v>
      </c>
      <c r="C16" s="41"/>
      <c r="D16" s="35" t="s">
        <v>38</v>
      </c>
      <c r="E16" s="36"/>
      <c r="F16" s="42" t="s">
        <v>41</v>
      </c>
      <c r="G16" s="290">
        <f>27+76</f>
        <v>103</v>
      </c>
      <c r="H16" s="291">
        <f>27+76</f>
        <v>103</v>
      </c>
      <c r="I16" s="292">
        <f>27+76</f>
        <v>103</v>
      </c>
      <c r="J16" s="340" t="s">
        <v>42</v>
      </c>
      <c r="K16" s="340"/>
      <c r="L16" s="341"/>
      <c r="R16" s="316" t="s">
        <v>98</v>
      </c>
      <c r="S16" s="316" t="s">
        <v>98</v>
      </c>
      <c r="T16" s="316" t="s">
        <v>98</v>
      </c>
      <c r="V16" s="317" t="s">
        <v>99</v>
      </c>
    </row>
    <row r="17" spans="1:20" ht="19.5" customHeight="1">
      <c r="A17" s="316"/>
      <c r="B17" s="33">
        <f t="shared" si="0"/>
        <v>8</v>
      </c>
      <c r="C17" s="41"/>
      <c r="D17" s="35" t="s">
        <v>36</v>
      </c>
      <c r="E17" s="36"/>
      <c r="F17" s="42" t="s">
        <v>41</v>
      </c>
      <c r="G17" s="290">
        <f>277+111+18</f>
        <v>406</v>
      </c>
      <c r="H17" s="291">
        <f>253+101+16</f>
        <v>370</v>
      </c>
      <c r="I17" s="292">
        <f>229+91+15</f>
        <v>335</v>
      </c>
      <c r="J17" s="62" t="s">
        <v>39</v>
      </c>
      <c r="K17" s="62" t="s">
        <v>61</v>
      </c>
      <c r="L17" s="63" t="s">
        <v>49</v>
      </c>
      <c r="R17" s="316" t="s">
        <v>100</v>
      </c>
      <c r="S17" s="316" t="s">
        <v>101</v>
      </c>
      <c r="T17" s="316" t="s">
        <v>102</v>
      </c>
    </row>
    <row r="18" spans="2:20" ht="19.5" customHeight="1">
      <c r="B18" s="33">
        <f t="shared" si="0"/>
        <v>9</v>
      </c>
      <c r="C18" s="41"/>
      <c r="D18" s="35" t="s">
        <v>104</v>
      </c>
      <c r="E18" s="36"/>
      <c r="F18" s="42" t="s">
        <v>41</v>
      </c>
      <c r="G18" s="46">
        <f>$L18+$L21</f>
        <v>429.9</v>
      </c>
      <c r="H18" s="47">
        <f>$L18+$L21</f>
        <v>429.9</v>
      </c>
      <c r="I18" s="48">
        <f>$L18+$L21</f>
        <v>429.9</v>
      </c>
      <c r="J18" s="293">
        <v>0.18</v>
      </c>
      <c r="K18" s="294">
        <v>2250</v>
      </c>
      <c r="L18" s="64">
        <f>J18*K18</f>
        <v>405</v>
      </c>
      <c r="R18" s="314">
        <v>448</v>
      </c>
      <c r="S18" s="314">
        <v>432</v>
      </c>
      <c r="T18" s="314">
        <v>421</v>
      </c>
    </row>
    <row r="19" spans="1:20" ht="19.5" customHeight="1">
      <c r="A19" s="316"/>
      <c r="B19" s="33">
        <f t="shared" si="0"/>
        <v>10</v>
      </c>
      <c r="C19" s="41"/>
      <c r="D19" s="35" t="s">
        <v>44</v>
      </c>
      <c r="E19" s="36"/>
      <c r="F19" s="42" t="s">
        <v>41</v>
      </c>
      <c r="G19" s="290">
        <v>22</v>
      </c>
      <c r="H19" s="291">
        <v>22</v>
      </c>
      <c r="I19" s="292">
        <v>22</v>
      </c>
      <c r="J19" s="342" t="s">
        <v>43</v>
      </c>
      <c r="K19" s="340"/>
      <c r="L19" s="341"/>
      <c r="M19" s="65"/>
      <c r="N19" s="66"/>
      <c r="O19" s="67"/>
      <c r="S19" s="315"/>
      <c r="T19" s="315"/>
    </row>
    <row r="20" spans="1:12" ht="19.5" customHeight="1">
      <c r="A20" s="316"/>
      <c r="B20" s="33">
        <f t="shared" si="0"/>
        <v>11</v>
      </c>
      <c r="C20" s="41"/>
      <c r="D20" s="35" t="s">
        <v>45</v>
      </c>
      <c r="E20" s="36"/>
      <c r="F20" s="42" t="s">
        <v>41</v>
      </c>
      <c r="G20" s="290">
        <v>30</v>
      </c>
      <c r="H20" s="291">
        <v>29</v>
      </c>
      <c r="I20" s="292">
        <v>28</v>
      </c>
      <c r="J20" s="68" t="s">
        <v>39</v>
      </c>
      <c r="K20" s="62" t="s">
        <v>111</v>
      </c>
      <c r="L20" s="63" t="s">
        <v>49</v>
      </c>
    </row>
    <row r="21" spans="1:12" ht="19.5" customHeight="1">
      <c r="A21" s="316"/>
      <c r="B21" s="33">
        <f t="shared" si="0"/>
        <v>12</v>
      </c>
      <c r="C21" s="41"/>
      <c r="D21" s="35" t="s">
        <v>46</v>
      </c>
      <c r="E21" s="36"/>
      <c r="F21" s="42" t="s">
        <v>41</v>
      </c>
      <c r="G21" s="290">
        <v>30</v>
      </c>
      <c r="H21" s="291">
        <v>28</v>
      </c>
      <c r="I21" s="292">
        <v>26</v>
      </c>
      <c r="J21" s="295">
        <v>0.03</v>
      </c>
      <c r="K21" s="294">
        <v>830</v>
      </c>
      <c r="L21" s="64">
        <f>J21*K21</f>
        <v>24.9</v>
      </c>
    </row>
    <row r="22" spans="1:9" ht="19.5" customHeight="1">
      <c r="A22" s="316"/>
      <c r="B22" s="33">
        <f t="shared" si="0"/>
        <v>13</v>
      </c>
      <c r="C22" s="41"/>
      <c r="D22" s="35" t="s">
        <v>62</v>
      </c>
      <c r="E22" s="36"/>
      <c r="F22" s="42" t="s">
        <v>41</v>
      </c>
      <c r="G22" s="290">
        <v>83</v>
      </c>
      <c r="H22" s="291">
        <v>77</v>
      </c>
      <c r="I22" s="292">
        <v>72</v>
      </c>
    </row>
    <row r="23" spans="1:9" ht="19.5" customHeight="1">
      <c r="A23" s="316"/>
      <c r="B23" s="33">
        <f t="shared" si="0"/>
        <v>14</v>
      </c>
      <c r="C23" s="41"/>
      <c r="D23" s="35" t="s">
        <v>74</v>
      </c>
      <c r="E23" s="36"/>
      <c r="F23" s="42" t="s">
        <v>41</v>
      </c>
      <c r="G23" s="290">
        <v>67</v>
      </c>
      <c r="H23" s="291">
        <v>67</v>
      </c>
      <c r="I23" s="292">
        <v>67</v>
      </c>
    </row>
    <row r="24" spans="1:12" ht="19.5" customHeight="1">
      <c r="A24" s="316"/>
      <c r="B24" s="49">
        <f t="shared" si="0"/>
        <v>15</v>
      </c>
      <c r="C24" s="41"/>
      <c r="D24" s="35" t="s">
        <v>80</v>
      </c>
      <c r="E24" s="36"/>
      <c r="F24" s="53" t="s">
        <v>41</v>
      </c>
      <c r="G24" s="290">
        <v>40</v>
      </c>
      <c r="H24" s="291">
        <v>36</v>
      </c>
      <c r="I24" s="292">
        <v>32</v>
      </c>
      <c r="L24" s="69"/>
    </row>
    <row r="25" spans="2:12" ht="19.5" customHeight="1" thickBot="1">
      <c r="B25" s="25">
        <f t="shared" si="0"/>
        <v>16</v>
      </c>
      <c r="C25" s="70" t="s">
        <v>47</v>
      </c>
      <c r="D25" s="71"/>
      <c r="E25" s="72" t="s">
        <v>128</v>
      </c>
      <c r="F25" s="57" t="s">
        <v>41</v>
      </c>
      <c r="G25" s="73">
        <f>SUM(G16:G24)</f>
        <v>1210.9</v>
      </c>
      <c r="H25" s="74">
        <f>SUM(H16:H24)</f>
        <v>1161.9</v>
      </c>
      <c r="I25" s="75">
        <f>SUM(I16:I24)</f>
        <v>1114.9</v>
      </c>
      <c r="L25" s="69"/>
    </row>
    <row r="26" spans="2:12" ht="19.5" customHeight="1" thickBot="1">
      <c r="B26" s="255">
        <f t="shared" si="0"/>
        <v>17</v>
      </c>
      <c r="C26" s="76" t="s">
        <v>50</v>
      </c>
      <c r="D26" s="77"/>
      <c r="E26" s="78" t="s">
        <v>129</v>
      </c>
      <c r="F26" s="79" t="s">
        <v>41</v>
      </c>
      <c r="G26" s="80">
        <f>G25-G14</f>
        <v>1104.9</v>
      </c>
      <c r="H26" s="81">
        <f>H25-H14</f>
        <v>1065.9</v>
      </c>
      <c r="I26" s="82">
        <f>I25-I14</f>
        <v>1027.9</v>
      </c>
      <c r="L26" s="69"/>
    </row>
    <row r="27" spans="1:20" ht="19.5" customHeight="1" thickTop="1">
      <c r="A27" s="316"/>
      <c r="B27" s="33">
        <f t="shared" si="0"/>
        <v>18</v>
      </c>
      <c r="C27" s="41" t="s">
        <v>14</v>
      </c>
      <c r="D27" s="83"/>
      <c r="E27" s="84"/>
      <c r="F27" s="42" t="s">
        <v>41</v>
      </c>
      <c r="G27" s="290">
        <v>385</v>
      </c>
      <c r="H27" s="291">
        <v>356</v>
      </c>
      <c r="I27" s="292">
        <v>329</v>
      </c>
      <c r="S27" s="313">
        <f>(H27-G27)/G27</f>
        <v>-0.07532467532467532</v>
      </c>
      <c r="T27" s="313">
        <f>(I27-H27)/H27</f>
        <v>-0.07584269662921349</v>
      </c>
    </row>
    <row r="28" spans="1:20" ht="19.5" customHeight="1">
      <c r="A28" s="316"/>
      <c r="B28" s="49">
        <f t="shared" si="0"/>
        <v>19</v>
      </c>
      <c r="C28" s="50" t="s">
        <v>13</v>
      </c>
      <c r="D28" s="85"/>
      <c r="E28" s="86"/>
      <c r="F28" s="53" t="s">
        <v>41</v>
      </c>
      <c r="G28" s="287">
        <v>173</v>
      </c>
      <c r="H28" s="288">
        <v>162</v>
      </c>
      <c r="I28" s="289">
        <v>154</v>
      </c>
      <c r="S28" s="313">
        <f>(H28-G28)/G28</f>
        <v>-0.06358381502890173</v>
      </c>
      <c r="T28" s="313">
        <f>(I28-H28)/H28</f>
        <v>-0.04938271604938271</v>
      </c>
    </row>
    <row r="29" spans="2:9" ht="39.75" customHeight="1" thickBot="1">
      <c r="B29" s="310">
        <f t="shared" si="0"/>
        <v>20</v>
      </c>
      <c r="C29" s="343" t="s">
        <v>88</v>
      </c>
      <c r="D29" s="344"/>
      <c r="E29" s="87" t="s">
        <v>130</v>
      </c>
      <c r="F29" s="57" t="s">
        <v>41</v>
      </c>
      <c r="G29" s="88">
        <f>G26+G27+G28</f>
        <v>1662.9</v>
      </c>
      <c r="H29" s="89">
        <f>H26+H27+H28</f>
        <v>1583.9</v>
      </c>
      <c r="I29" s="90">
        <f>I26+I27+I28</f>
        <v>1510.9</v>
      </c>
    </row>
    <row r="30" ht="53.25" customHeight="1"/>
    <row r="31" spans="3:6" ht="19.5" customHeight="1">
      <c r="C31" s="91" t="s">
        <v>79</v>
      </c>
      <c r="D31" s="92"/>
      <c r="E31" s="93"/>
      <c r="F31" s="280" t="str">
        <f>F5</f>
        <v>(bei entkoppelten Prämien)</v>
      </c>
    </row>
    <row r="32" spans="3:9" ht="9.75" customHeight="1" thickBot="1">
      <c r="C32" s="94"/>
      <c r="D32" s="92"/>
      <c r="E32" s="93"/>
      <c r="F32" s="93"/>
      <c r="G32" s="92"/>
      <c r="H32" s="92"/>
      <c r="I32" s="92"/>
    </row>
    <row r="33" spans="2:9" ht="19.5" customHeight="1">
      <c r="B33" s="95">
        <v>21</v>
      </c>
      <c r="C33" s="96" t="s">
        <v>22</v>
      </c>
      <c r="D33" s="97"/>
      <c r="E33" s="98"/>
      <c r="F33" s="99"/>
      <c r="G33" s="100" t="s">
        <v>8</v>
      </c>
      <c r="H33" s="101" t="s">
        <v>9</v>
      </c>
      <c r="I33" s="102" t="s">
        <v>10</v>
      </c>
    </row>
    <row r="34" spans="2:20" ht="19.5" customHeight="1" thickBot="1">
      <c r="B34" s="103">
        <v>22</v>
      </c>
      <c r="C34" s="104" t="s">
        <v>12</v>
      </c>
      <c r="D34" s="105"/>
      <c r="E34" s="106"/>
      <c r="F34" s="107" t="s">
        <v>40</v>
      </c>
      <c r="G34" s="108">
        <v>1134</v>
      </c>
      <c r="H34" s="109">
        <v>1244</v>
      </c>
      <c r="I34" s="110">
        <v>1352</v>
      </c>
      <c r="L34" s="69"/>
      <c r="S34" s="313">
        <f>(H34-G34)/G34</f>
        <v>0.09700176366843033</v>
      </c>
      <c r="T34" s="313">
        <f>(I34-H34)/H34</f>
        <v>0.08681672025723473</v>
      </c>
    </row>
    <row r="35" spans="2:9" ht="19.5" customHeight="1">
      <c r="B35" s="111">
        <v>23</v>
      </c>
      <c r="C35" s="112" t="s">
        <v>4</v>
      </c>
      <c r="D35" s="113"/>
      <c r="E35" s="114" t="s">
        <v>131</v>
      </c>
      <c r="F35" s="115" t="s">
        <v>41</v>
      </c>
      <c r="G35" s="116">
        <f>SUM(G36:G39)</f>
        <v>92</v>
      </c>
      <c r="H35" s="117">
        <f>SUM(H36:H39)</f>
        <v>84</v>
      </c>
      <c r="I35" s="118">
        <f>SUM(I36:I39)</f>
        <v>77</v>
      </c>
    </row>
    <row r="36" spans="2:9" ht="19.5" customHeight="1" hidden="1">
      <c r="B36" s="111">
        <v>27</v>
      </c>
      <c r="C36" s="119" t="s">
        <v>7</v>
      </c>
      <c r="D36" s="113" t="s">
        <v>0</v>
      </c>
      <c r="E36" s="114"/>
      <c r="F36" s="115" t="s">
        <v>41</v>
      </c>
      <c r="G36" s="120"/>
      <c r="H36" s="121"/>
      <c r="I36" s="122"/>
    </row>
    <row r="37" spans="2:9" ht="19.5" customHeight="1" hidden="1">
      <c r="B37" s="111">
        <v>28</v>
      </c>
      <c r="C37" s="119"/>
      <c r="D37" s="113" t="s">
        <v>5</v>
      </c>
      <c r="E37" s="114"/>
      <c r="F37" s="115" t="s">
        <v>41</v>
      </c>
      <c r="G37" s="120"/>
      <c r="H37" s="121"/>
      <c r="I37" s="122"/>
    </row>
    <row r="38" spans="2:9" ht="19.5" customHeight="1" hidden="1">
      <c r="B38" s="111">
        <v>29</v>
      </c>
      <c r="C38" s="119"/>
      <c r="D38" s="113" t="s">
        <v>11</v>
      </c>
      <c r="E38" s="114"/>
      <c r="F38" s="115" t="s">
        <v>41</v>
      </c>
      <c r="G38" s="120"/>
      <c r="H38" s="121"/>
      <c r="I38" s="122"/>
    </row>
    <row r="39" spans="1:9" ht="19.5" customHeight="1">
      <c r="A39" s="316"/>
      <c r="B39" s="123">
        <v>24</v>
      </c>
      <c r="C39" s="124"/>
      <c r="D39" s="125" t="s">
        <v>6</v>
      </c>
      <c r="E39" s="126"/>
      <c r="F39" s="127" t="s">
        <v>41</v>
      </c>
      <c r="G39" s="296">
        <v>92</v>
      </c>
      <c r="H39" s="297">
        <v>84</v>
      </c>
      <c r="I39" s="298">
        <v>77</v>
      </c>
    </row>
    <row r="40" spans="2:12" ht="19.5" customHeight="1">
      <c r="B40" s="111">
        <f>B39+1</f>
        <v>25</v>
      </c>
      <c r="C40" s="112" t="s">
        <v>68</v>
      </c>
      <c r="D40" s="113"/>
      <c r="E40" s="114"/>
      <c r="F40" s="115" t="s">
        <v>41</v>
      </c>
      <c r="G40" s="120"/>
      <c r="H40" s="128"/>
      <c r="I40" s="122"/>
      <c r="J40" s="337" t="s">
        <v>42</v>
      </c>
      <c r="K40" s="337"/>
      <c r="L40" s="338"/>
    </row>
    <row r="41" spans="1:12" ht="19.5" customHeight="1">
      <c r="A41" s="316"/>
      <c r="B41" s="111">
        <f aca="true" t="shared" si="1" ref="B41:B53">B40+1</f>
        <v>26</v>
      </c>
      <c r="C41" s="119"/>
      <c r="D41" s="113" t="s">
        <v>36</v>
      </c>
      <c r="E41" s="114"/>
      <c r="F41" s="115" t="s">
        <v>41</v>
      </c>
      <c r="G41" s="299">
        <v>341</v>
      </c>
      <c r="H41" s="300">
        <v>309</v>
      </c>
      <c r="I41" s="301">
        <v>284</v>
      </c>
      <c r="J41" s="62" t="s">
        <v>39</v>
      </c>
      <c r="K41" s="62" t="s">
        <v>61</v>
      </c>
      <c r="L41" s="63" t="s">
        <v>49</v>
      </c>
    </row>
    <row r="42" spans="1:12" ht="19.5" customHeight="1">
      <c r="A42" s="316"/>
      <c r="B42" s="111">
        <f t="shared" si="1"/>
        <v>27</v>
      </c>
      <c r="C42" s="119"/>
      <c r="D42" s="113" t="s">
        <v>112</v>
      </c>
      <c r="E42" s="114"/>
      <c r="F42" s="115" t="s">
        <v>41</v>
      </c>
      <c r="G42" s="272">
        <f>$L42+$L45</f>
        <v>384.9</v>
      </c>
      <c r="H42" s="273">
        <f>$L42+$L45</f>
        <v>384.9</v>
      </c>
      <c r="I42" s="274">
        <f>$L42+$L45</f>
        <v>384.9</v>
      </c>
      <c r="J42" s="302">
        <v>0.16</v>
      </c>
      <c r="K42" s="271">
        <f>K18</f>
        <v>2250</v>
      </c>
      <c r="L42" s="64">
        <f>J42*K42</f>
        <v>360</v>
      </c>
    </row>
    <row r="43" spans="1:12" ht="19.5" customHeight="1">
      <c r="A43" s="316"/>
      <c r="B43" s="111">
        <f t="shared" si="1"/>
        <v>28</v>
      </c>
      <c r="C43" s="119"/>
      <c r="D43" s="113" t="s">
        <v>44</v>
      </c>
      <c r="E43" s="270"/>
      <c r="F43" s="115" t="s">
        <v>41</v>
      </c>
      <c r="G43" s="299">
        <v>15</v>
      </c>
      <c r="H43" s="300">
        <v>15</v>
      </c>
      <c r="I43" s="301">
        <v>15</v>
      </c>
      <c r="J43" s="339" t="s">
        <v>43</v>
      </c>
      <c r="K43" s="337"/>
      <c r="L43" s="338"/>
    </row>
    <row r="44" spans="1:12" ht="19.5" customHeight="1">
      <c r="A44" s="316"/>
      <c r="B44" s="111">
        <f t="shared" si="1"/>
        <v>29</v>
      </c>
      <c r="C44" s="119"/>
      <c r="D44" s="113" t="s">
        <v>45</v>
      </c>
      <c r="E44" s="270"/>
      <c r="F44" s="115" t="s">
        <v>41</v>
      </c>
      <c r="G44" s="299">
        <v>27</v>
      </c>
      <c r="H44" s="300">
        <v>25</v>
      </c>
      <c r="I44" s="301">
        <v>24</v>
      </c>
      <c r="J44" s="68" t="s">
        <v>39</v>
      </c>
      <c r="K44" s="62" t="s">
        <v>111</v>
      </c>
      <c r="L44" s="63" t="s">
        <v>49</v>
      </c>
    </row>
    <row r="45" spans="1:12" ht="19.5" customHeight="1">
      <c r="A45" s="316"/>
      <c r="B45" s="111">
        <f t="shared" si="1"/>
        <v>30</v>
      </c>
      <c r="C45" s="119"/>
      <c r="D45" s="113" t="s">
        <v>46</v>
      </c>
      <c r="E45" s="270"/>
      <c r="F45" s="115" t="s">
        <v>41</v>
      </c>
      <c r="G45" s="299">
        <v>24</v>
      </c>
      <c r="H45" s="300">
        <v>21</v>
      </c>
      <c r="I45" s="301">
        <v>20</v>
      </c>
      <c r="J45" s="303">
        <v>0.03</v>
      </c>
      <c r="K45" s="277">
        <f>K21</f>
        <v>830</v>
      </c>
      <c r="L45" s="278">
        <f>J45*K45</f>
        <v>24.9</v>
      </c>
    </row>
    <row r="46" spans="1:12" ht="19.5" customHeight="1">
      <c r="A46" s="316"/>
      <c r="B46" s="111">
        <f t="shared" si="1"/>
        <v>31</v>
      </c>
      <c r="C46" s="119"/>
      <c r="D46" s="113" t="s">
        <v>62</v>
      </c>
      <c r="E46" s="270"/>
      <c r="F46" s="115" t="s">
        <v>41</v>
      </c>
      <c r="G46" s="299">
        <v>73</v>
      </c>
      <c r="H46" s="300">
        <v>68</v>
      </c>
      <c r="I46" s="301">
        <v>64</v>
      </c>
      <c r="J46" s="281"/>
      <c r="K46" s="275"/>
      <c r="L46" s="276"/>
    </row>
    <row r="47" spans="1:12" ht="19.5" customHeight="1">
      <c r="A47" s="316"/>
      <c r="B47" s="111">
        <f t="shared" si="1"/>
        <v>32</v>
      </c>
      <c r="C47" s="119"/>
      <c r="D47" s="113" t="s">
        <v>74</v>
      </c>
      <c r="E47" s="270"/>
      <c r="F47" s="115" t="s">
        <v>41</v>
      </c>
      <c r="G47" s="299">
        <v>67</v>
      </c>
      <c r="H47" s="300">
        <v>67</v>
      </c>
      <c r="I47" s="301">
        <v>67</v>
      </c>
      <c r="J47" s="281"/>
      <c r="K47" s="275"/>
      <c r="L47" s="276"/>
    </row>
    <row r="48" spans="1:9" ht="19.5" customHeight="1">
      <c r="A48" s="316"/>
      <c r="B48" s="111">
        <f t="shared" si="1"/>
        <v>33</v>
      </c>
      <c r="C48" s="119"/>
      <c r="D48" s="113" t="s">
        <v>80</v>
      </c>
      <c r="E48" s="114"/>
      <c r="F48" s="115" t="s">
        <v>41</v>
      </c>
      <c r="G48" s="299">
        <v>36</v>
      </c>
      <c r="H48" s="300">
        <v>32</v>
      </c>
      <c r="I48" s="301">
        <v>29</v>
      </c>
    </row>
    <row r="49" spans="2:9" ht="19.5" customHeight="1" thickBot="1">
      <c r="B49" s="254">
        <f t="shared" si="1"/>
        <v>34</v>
      </c>
      <c r="C49" s="129" t="s">
        <v>47</v>
      </c>
      <c r="D49" s="130"/>
      <c r="E49" s="131" t="s">
        <v>132</v>
      </c>
      <c r="F49" s="107" t="s">
        <v>41</v>
      </c>
      <c r="G49" s="132">
        <f>SUM(G41:G48)</f>
        <v>967.9</v>
      </c>
      <c r="H49" s="133">
        <f>SUM(H41:H48)</f>
        <v>921.9</v>
      </c>
      <c r="I49" s="134">
        <f>SUM(I41:I48)</f>
        <v>887.9</v>
      </c>
    </row>
    <row r="50" spans="2:9" ht="19.5" customHeight="1" thickBot="1">
      <c r="B50" s="253">
        <f t="shared" si="1"/>
        <v>35</v>
      </c>
      <c r="C50" s="135" t="s">
        <v>50</v>
      </c>
      <c r="D50" s="136"/>
      <c r="E50" s="137" t="s">
        <v>133</v>
      </c>
      <c r="F50" s="138" t="s">
        <v>41</v>
      </c>
      <c r="G50" s="139">
        <f>G49-G35</f>
        <v>875.9</v>
      </c>
      <c r="H50" s="140">
        <f>H49-H35</f>
        <v>837.9</v>
      </c>
      <c r="I50" s="141">
        <f>I49-I35</f>
        <v>810.9</v>
      </c>
    </row>
    <row r="51" spans="1:9" ht="19.5" customHeight="1" thickTop="1">
      <c r="A51" s="316"/>
      <c r="B51" s="111">
        <f t="shared" si="1"/>
        <v>36</v>
      </c>
      <c r="C51" s="119" t="s">
        <v>14</v>
      </c>
      <c r="D51" s="142"/>
      <c r="E51" s="114"/>
      <c r="F51" s="115" t="s">
        <v>41</v>
      </c>
      <c r="G51" s="299">
        <v>304</v>
      </c>
      <c r="H51" s="300">
        <v>279</v>
      </c>
      <c r="I51" s="301">
        <v>259</v>
      </c>
    </row>
    <row r="52" spans="1:9" ht="19.5" customHeight="1">
      <c r="A52" s="316"/>
      <c r="B52" s="123">
        <f t="shared" si="1"/>
        <v>37</v>
      </c>
      <c r="C52" s="124" t="s">
        <v>13</v>
      </c>
      <c r="D52" s="143"/>
      <c r="E52" s="126"/>
      <c r="F52" s="127" t="s">
        <v>41</v>
      </c>
      <c r="G52" s="296">
        <v>103</v>
      </c>
      <c r="H52" s="297">
        <v>94</v>
      </c>
      <c r="I52" s="298">
        <v>87</v>
      </c>
    </row>
    <row r="53" spans="2:9" ht="19.5" customHeight="1" thickBot="1">
      <c r="B53" s="103">
        <f t="shared" si="1"/>
        <v>38</v>
      </c>
      <c r="C53" s="144" t="s">
        <v>21</v>
      </c>
      <c r="D53" s="145"/>
      <c r="E53" s="146" t="s">
        <v>134</v>
      </c>
      <c r="F53" s="107" t="s">
        <v>41</v>
      </c>
      <c r="G53" s="147">
        <f>G50+G51+G52</f>
        <v>1282.9</v>
      </c>
      <c r="H53" s="148">
        <f>H50+H51+H52</f>
        <v>1210.9</v>
      </c>
      <c r="I53" s="149">
        <f>I50+I51+I52</f>
        <v>1156.9</v>
      </c>
    </row>
    <row r="54" spans="2:9" ht="19.5" customHeight="1">
      <c r="B54" s="174"/>
      <c r="C54" s="318"/>
      <c r="D54" s="319"/>
      <c r="E54" s="114"/>
      <c r="F54" s="270"/>
      <c r="G54" s="320"/>
      <c r="H54" s="321"/>
      <c r="I54" s="320"/>
    </row>
    <row r="55" spans="2:9" ht="21" customHeight="1">
      <c r="B55" s="252" t="s">
        <v>105</v>
      </c>
      <c r="C55" s="252" t="s">
        <v>135</v>
      </c>
      <c r="D55" s="319"/>
      <c r="E55" s="114"/>
      <c r="F55" s="270"/>
      <c r="G55" s="320"/>
      <c r="H55" s="321"/>
      <c r="I55" s="320"/>
    </row>
    <row r="56" spans="2:9" ht="21" customHeight="1">
      <c r="B56" s="174"/>
      <c r="C56" s="252" t="s">
        <v>136</v>
      </c>
      <c r="D56" s="319"/>
      <c r="E56" s="114"/>
      <c r="F56" s="270"/>
      <c r="G56" s="320"/>
      <c r="H56" s="321"/>
      <c r="I56" s="320"/>
    </row>
    <row r="57" ht="21" customHeight="1">
      <c r="C57" s="252" t="s">
        <v>109</v>
      </c>
    </row>
    <row r="58" spans="2:4" ht="21" customHeight="1">
      <c r="B58" s="252" t="s">
        <v>106</v>
      </c>
      <c r="C58" s="252" t="s">
        <v>138</v>
      </c>
      <c r="D58" s="69"/>
    </row>
    <row r="59" spans="2:4" ht="21" customHeight="1">
      <c r="B59" s="252" t="s">
        <v>107</v>
      </c>
      <c r="C59" s="252" t="s">
        <v>137</v>
      </c>
      <c r="D59" s="69"/>
    </row>
    <row r="60" ht="30" customHeight="1">
      <c r="B60" s="322" t="s">
        <v>110</v>
      </c>
    </row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18" customHeight="1"/>
    <row r="72" ht="9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 sheet="1" objects="1" scenarios="1"/>
  <mergeCells count="5">
    <mergeCell ref="J40:L40"/>
    <mergeCell ref="J43:L43"/>
    <mergeCell ref="J16:L16"/>
    <mergeCell ref="J19:L19"/>
    <mergeCell ref="C29:D29"/>
  </mergeCells>
  <printOptions horizontalCentered="1" verticalCentered="1"/>
  <pageMargins left="0.35433070866141736" right="0.4330708661417323" top="0.3937007874015748" bottom="0.5118110236220472" header="0.2362204724409449" footer="0.1968503937007874"/>
  <pageSetup fitToHeight="1" fitToWidth="1" horizontalDpi="600" verticalDpi="600" orientation="portrait" paperSize="9" scale="65" r:id="rId3"/>
  <headerFooter alignWithMargins="0">
    <oddFooter>&amp;LLEL, Abt. II ( Segger )&amp;C&amp;F&amp;A&amp;R&amp;D</oddFooter>
  </headerFooter>
  <rowBreaks count="2" manualBreakCount="2">
    <brk id="29" max="255" man="1"/>
    <brk id="5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tabColor theme="3" tint="0.39998000860214233"/>
    <pageSetUpPr fitToPage="1"/>
  </sheetPr>
  <dimension ref="B2:U34"/>
  <sheetViews>
    <sheetView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1.1484375" style="7" customWidth="1"/>
    <col min="2" max="2" width="37.8515625" style="7" customWidth="1"/>
    <col min="3" max="3" width="15.00390625" style="7" customWidth="1"/>
    <col min="4" max="4" width="22.28125" style="7" customWidth="1"/>
    <col min="5" max="12" width="11.7109375" style="69" customWidth="1"/>
    <col min="13" max="13" width="11.7109375" style="7" customWidth="1"/>
    <col min="14" max="14" width="3.7109375" style="7" customWidth="1"/>
    <col min="15" max="15" width="11.57421875" style="7" customWidth="1"/>
    <col min="16" max="16" width="9.140625" style="7" customWidth="1"/>
    <col min="17" max="21" width="11.421875" style="7" customWidth="1"/>
    <col min="22" max="16384" width="11.421875" style="7" customWidth="1"/>
  </cols>
  <sheetData>
    <row r="1" ht="8.25" customHeight="1"/>
    <row r="2" ht="28.5" customHeight="1">
      <c r="B2" s="150" t="s">
        <v>119</v>
      </c>
    </row>
    <row r="3" ht="12.75"/>
    <row r="4" spans="2:9" ht="18" customHeight="1">
      <c r="B4" s="266" t="s">
        <v>69</v>
      </c>
      <c r="C4" s="267">
        <v>0.107</v>
      </c>
      <c r="D4" s="268"/>
      <c r="E4" s="269"/>
      <c r="F4" s="266" t="s">
        <v>70</v>
      </c>
      <c r="G4" s="267">
        <v>0.07</v>
      </c>
      <c r="H4" s="7"/>
      <c r="I4" s="7"/>
    </row>
    <row r="5" ht="15.75" thickBot="1">
      <c r="S5" s="155">
        <f>1+C4</f>
        <v>1.107</v>
      </c>
    </row>
    <row r="6" spans="2:19" ht="32.25" customHeight="1" thickBot="1" thickTop="1">
      <c r="B6" s="262" t="s">
        <v>23</v>
      </c>
      <c r="C6" s="185"/>
      <c r="D6" s="201" t="s">
        <v>19</v>
      </c>
      <c r="E6" s="199"/>
      <c r="F6" s="200"/>
      <c r="G6" s="257">
        <f>VLOOKUP(T12,T8:U10,2,FALSE)</f>
        <v>1200</v>
      </c>
      <c r="H6" s="186"/>
      <c r="I6" s="304" t="s">
        <v>18</v>
      </c>
      <c r="J6" s="305">
        <v>380</v>
      </c>
      <c r="K6" s="261"/>
      <c r="L6" s="304" t="s">
        <v>86</v>
      </c>
      <c r="M6" s="308">
        <v>75</v>
      </c>
      <c r="N6" s="187"/>
      <c r="O6" s="285" t="s">
        <v>77</v>
      </c>
      <c r="P6" s="152"/>
      <c r="Q6" s="152"/>
      <c r="S6" s="155">
        <f>1+G4</f>
        <v>1.07</v>
      </c>
    </row>
    <row r="7" spans="2:19" ht="17.25" thickBot="1" thickTop="1">
      <c r="B7" s="153"/>
      <c r="C7" s="11"/>
      <c r="D7" s="345" t="s">
        <v>53</v>
      </c>
      <c r="E7" s="345"/>
      <c r="F7" s="345"/>
      <c r="G7" s="345"/>
      <c r="H7" s="154"/>
      <c r="I7" s="154"/>
      <c r="J7" s="154"/>
      <c r="K7" s="154"/>
      <c r="L7" s="154"/>
      <c r="M7" s="11"/>
      <c r="N7" s="151"/>
      <c r="O7" s="151"/>
      <c r="P7" s="152"/>
      <c r="Q7" s="152"/>
      <c r="S7" s="7" t="s">
        <v>52</v>
      </c>
    </row>
    <row r="8" spans="2:21" ht="24.75" customHeight="1" thickBot="1">
      <c r="B8" s="210" t="s">
        <v>34</v>
      </c>
      <c r="C8" s="211"/>
      <c r="D8" s="211"/>
      <c r="E8" s="212" t="s">
        <v>97</v>
      </c>
      <c r="F8" s="286">
        <f>E8+0.2</f>
        <v>3</v>
      </c>
      <c r="G8" s="286">
        <f aca="true" t="shared" si="0" ref="G8:M8">F8+0.2</f>
        <v>3.2</v>
      </c>
      <c r="H8" s="286">
        <f t="shared" si="0"/>
        <v>3.4000000000000004</v>
      </c>
      <c r="I8" s="286">
        <f t="shared" si="0"/>
        <v>3.6000000000000005</v>
      </c>
      <c r="J8" s="286">
        <f t="shared" si="0"/>
        <v>3.8000000000000007</v>
      </c>
      <c r="K8" s="286">
        <f t="shared" si="0"/>
        <v>4.000000000000001</v>
      </c>
      <c r="L8" s="286">
        <f t="shared" si="0"/>
        <v>4.200000000000001</v>
      </c>
      <c r="M8" s="286">
        <f t="shared" si="0"/>
        <v>4.400000000000001</v>
      </c>
      <c r="O8" s="284">
        <v>3.7</v>
      </c>
      <c r="S8" s="178"/>
      <c r="T8" s="178" t="str">
        <f>'Datenbasis '!G33</f>
        <v>niedrig</v>
      </c>
      <c r="U8" s="180">
        <f>'Datenbasis '!G8</f>
        <v>1100</v>
      </c>
    </row>
    <row r="9" spans="2:21" ht="24.75" customHeight="1">
      <c r="B9" s="188" t="s">
        <v>121</v>
      </c>
      <c r="C9" s="189"/>
      <c r="D9" s="189"/>
      <c r="E9" s="213">
        <f aca="true" t="shared" si="1" ref="E9:M9">E8*$J$6*$S$5</f>
        <v>1177.848</v>
      </c>
      <c r="F9" s="184">
        <f t="shared" si="1"/>
        <v>1261.98</v>
      </c>
      <c r="G9" s="184">
        <f t="shared" si="1"/>
        <v>1346.112</v>
      </c>
      <c r="H9" s="184">
        <f t="shared" si="1"/>
        <v>1430.2440000000001</v>
      </c>
      <c r="I9" s="184">
        <f t="shared" si="1"/>
        <v>1514.3760000000002</v>
      </c>
      <c r="J9" s="184">
        <f t="shared" si="1"/>
        <v>1598.5080000000003</v>
      </c>
      <c r="K9" s="184">
        <f t="shared" si="1"/>
        <v>1682.6400000000003</v>
      </c>
      <c r="L9" s="190">
        <f t="shared" si="1"/>
        <v>1766.7720000000004</v>
      </c>
      <c r="M9" s="191">
        <f t="shared" si="1"/>
        <v>1850.9040000000005</v>
      </c>
      <c r="O9" s="193">
        <f>O8*$J$6*$S$5</f>
        <v>1556.442</v>
      </c>
      <c r="S9" s="179"/>
      <c r="T9" s="179" t="str">
        <f>'Datenbasis '!H33</f>
        <v>mittel</v>
      </c>
      <c r="U9" s="181">
        <f>'Datenbasis '!H8</f>
        <v>1200</v>
      </c>
    </row>
    <row r="10" spans="2:21" ht="24.75" customHeight="1">
      <c r="B10" s="188" t="s">
        <v>16</v>
      </c>
      <c r="C10" s="189"/>
      <c r="D10" s="189"/>
      <c r="E10" s="213">
        <f>HLOOKUP($G$6,'Datenbasis '!$G$8:$I$29,ROWS('Datenbasis '!$G$8:$I$26))</f>
        <v>1065.9</v>
      </c>
      <c r="F10" s="184">
        <f aca="true" t="shared" si="2" ref="F10:M10">$E$10</f>
        <v>1065.9</v>
      </c>
      <c r="G10" s="184">
        <f t="shared" si="2"/>
        <v>1065.9</v>
      </c>
      <c r="H10" s="184">
        <f t="shared" si="2"/>
        <v>1065.9</v>
      </c>
      <c r="I10" s="184">
        <f t="shared" si="2"/>
        <v>1065.9</v>
      </c>
      <c r="J10" s="184">
        <f t="shared" si="2"/>
        <v>1065.9</v>
      </c>
      <c r="K10" s="184">
        <f t="shared" si="2"/>
        <v>1065.9</v>
      </c>
      <c r="L10" s="190">
        <f t="shared" si="2"/>
        <v>1065.9</v>
      </c>
      <c r="M10" s="191">
        <f t="shared" si="2"/>
        <v>1065.9</v>
      </c>
      <c r="N10" s="192"/>
      <c r="O10" s="193">
        <f>$E$10</f>
        <v>1065.9</v>
      </c>
      <c r="Q10" s="158"/>
      <c r="S10" s="179"/>
      <c r="T10" s="179" t="str">
        <f>'Datenbasis '!I33</f>
        <v>hoch</v>
      </c>
      <c r="U10" s="181">
        <f>'Datenbasis '!I8</f>
        <v>1300</v>
      </c>
    </row>
    <row r="11" spans="2:21" ht="24.75" customHeight="1">
      <c r="B11" s="188" t="s">
        <v>14</v>
      </c>
      <c r="C11" s="189"/>
      <c r="D11" s="189"/>
      <c r="E11" s="213">
        <f>HLOOKUP($G$6,'Datenbasis '!$G$8:$I$29,ROWS('Datenbasis '!$G$8:$I$27))</f>
        <v>356</v>
      </c>
      <c r="F11" s="184">
        <f aca="true" t="shared" si="3" ref="F11:M11">$E$11</f>
        <v>356</v>
      </c>
      <c r="G11" s="184">
        <f t="shared" si="3"/>
        <v>356</v>
      </c>
      <c r="H11" s="184">
        <f t="shared" si="3"/>
        <v>356</v>
      </c>
      <c r="I11" s="184">
        <f t="shared" si="3"/>
        <v>356</v>
      </c>
      <c r="J11" s="184">
        <f t="shared" si="3"/>
        <v>356</v>
      </c>
      <c r="K11" s="184">
        <f t="shared" si="3"/>
        <v>356</v>
      </c>
      <c r="L11" s="190">
        <f t="shared" si="3"/>
        <v>356</v>
      </c>
      <c r="M11" s="191">
        <f t="shared" si="3"/>
        <v>356</v>
      </c>
      <c r="N11" s="192"/>
      <c r="O11" s="193">
        <f>$E$11</f>
        <v>356</v>
      </c>
      <c r="Q11" s="158"/>
      <c r="S11" s="179"/>
      <c r="T11" s="179"/>
      <c r="U11" s="181"/>
    </row>
    <row r="12" spans="2:21" ht="24.75" customHeight="1" thickBot="1">
      <c r="B12" s="194" t="s">
        <v>13</v>
      </c>
      <c r="C12" s="189"/>
      <c r="D12" s="189"/>
      <c r="E12" s="213">
        <f>HLOOKUP($G$6,'Datenbasis '!$G$8:$I$29,ROWS('Datenbasis '!$G$8:$I$28))</f>
        <v>162</v>
      </c>
      <c r="F12" s="184">
        <f aca="true" t="shared" si="4" ref="F12:M12">$E$12</f>
        <v>162</v>
      </c>
      <c r="G12" s="184">
        <f t="shared" si="4"/>
        <v>162</v>
      </c>
      <c r="H12" s="184">
        <f t="shared" si="4"/>
        <v>162</v>
      </c>
      <c r="I12" s="184">
        <f t="shared" si="4"/>
        <v>162</v>
      </c>
      <c r="J12" s="184">
        <f t="shared" si="4"/>
        <v>162</v>
      </c>
      <c r="K12" s="184">
        <f t="shared" si="4"/>
        <v>162</v>
      </c>
      <c r="L12" s="190">
        <f t="shared" si="4"/>
        <v>162</v>
      </c>
      <c r="M12" s="191">
        <f t="shared" si="4"/>
        <v>162</v>
      </c>
      <c r="N12" s="195"/>
      <c r="O12" s="193">
        <f>$E$12</f>
        <v>162</v>
      </c>
      <c r="Q12" s="158"/>
      <c r="S12" s="183" t="s">
        <v>51</v>
      </c>
      <c r="T12" s="260" t="s">
        <v>9</v>
      </c>
      <c r="U12" s="182"/>
    </row>
    <row r="13" spans="2:17" ht="24.75" customHeight="1">
      <c r="B13" s="263" t="s">
        <v>54</v>
      </c>
      <c r="C13" s="202"/>
      <c r="D13" s="203" t="s">
        <v>17</v>
      </c>
      <c r="E13" s="218">
        <f aca="true" t="shared" si="5" ref="E13:M13">E9-E10-E11-E12</f>
        <v>-406.05200000000013</v>
      </c>
      <c r="F13" s="219">
        <f t="shared" si="5"/>
        <v>-321.9200000000001</v>
      </c>
      <c r="G13" s="219">
        <f t="shared" si="5"/>
        <v>-237.788</v>
      </c>
      <c r="H13" s="219">
        <f t="shared" si="5"/>
        <v>-153.65599999999995</v>
      </c>
      <c r="I13" s="219">
        <f t="shared" si="5"/>
        <v>-69.52399999999989</v>
      </c>
      <c r="J13" s="219">
        <f t="shared" si="5"/>
        <v>14.608000000000175</v>
      </c>
      <c r="K13" s="219">
        <f t="shared" si="5"/>
        <v>98.74000000000024</v>
      </c>
      <c r="L13" s="220">
        <f t="shared" si="5"/>
        <v>182.8720000000003</v>
      </c>
      <c r="M13" s="221">
        <f t="shared" si="5"/>
        <v>267.00400000000036</v>
      </c>
      <c r="N13" s="222"/>
      <c r="O13" s="227">
        <f>O9-O10-O11-O12</f>
        <v>-27.458000000000084</v>
      </c>
      <c r="Q13" s="158"/>
    </row>
    <row r="14" spans="2:17" ht="24.75" customHeight="1" thickBot="1">
      <c r="B14" s="256" t="s">
        <v>63</v>
      </c>
      <c r="C14" s="204"/>
      <c r="D14" s="205" t="s">
        <v>15</v>
      </c>
      <c r="E14" s="206">
        <f aca="true" t="shared" si="6" ref="E14:M14">E13/$M$6/$S$6</f>
        <v>-5.059838006230531</v>
      </c>
      <c r="F14" s="207">
        <f t="shared" si="6"/>
        <v>-4.011464174454829</v>
      </c>
      <c r="G14" s="207">
        <f t="shared" si="6"/>
        <v>-2.9630903426791275</v>
      </c>
      <c r="H14" s="207">
        <f t="shared" si="6"/>
        <v>-1.9147165109034259</v>
      </c>
      <c r="I14" s="207">
        <f t="shared" si="6"/>
        <v>-0.8663426791277244</v>
      </c>
      <c r="J14" s="207">
        <f t="shared" si="6"/>
        <v>0.18203115264797723</v>
      </c>
      <c r="K14" s="207">
        <f t="shared" si="6"/>
        <v>1.2304049844236788</v>
      </c>
      <c r="L14" s="208">
        <f t="shared" si="6"/>
        <v>2.2787788161993805</v>
      </c>
      <c r="M14" s="209">
        <f t="shared" si="6"/>
        <v>3.3271526479750824</v>
      </c>
      <c r="N14" s="223"/>
      <c r="O14" s="215">
        <f>O13/$M$6/$S$6</f>
        <v>-0.34215576323987645</v>
      </c>
      <c r="Q14" s="158"/>
    </row>
    <row r="15" spans="2:17" ht="24.75" customHeight="1">
      <c r="B15" s="264" t="s">
        <v>55</v>
      </c>
      <c r="C15" s="229"/>
      <c r="D15" s="230" t="s">
        <v>17</v>
      </c>
      <c r="E15" s="231">
        <f aca="true" t="shared" si="7" ref="E15:M15">E13+E11</f>
        <v>-50.052000000000135</v>
      </c>
      <c r="F15" s="232">
        <f t="shared" si="7"/>
        <v>34.07999999999993</v>
      </c>
      <c r="G15" s="232">
        <f t="shared" si="7"/>
        <v>118.21199999999999</v>
      </c>
      <c r="H15" s="232">
        <f t="shared" si="7"/>
        <v>202.34400000000005</v>
      </c>
      <c r="I15" s="232">
        <f t="shared" si="7"/>
        <v>286.4760000000001</v>
      </c>
      <c r="J15" s="232">
        <f t="shared" si="7"/>
        <v>370.6080000000002</v>
      </c>
      <c r="K15" s="232">
        <f t="shared" si="7"/>
        <v>454.74000000000024</v>
      </c>
      <c r="L15" s="243">
        <f t="shared" si="7"/>
        <v>538.8720000000003</v>
      </c>
      <c r="M15" s="233">
        <f t="shared" si="7"/>
        <v>623.0040000000004</v>
      </c>
      <c r="N15" s="244"/>
      <c r="O15" s="235">
        <f>O13+O11</f>
        <v>328.5419999999999</v>
      </c>
      <c r="Q15" s="158"/>
    </row>
    <row r="16" spans="2:17" ht="24.75" customHeight="1" thickBot="1">
      <c r="B16" s="256" t="s">
        <v>64</v>
      </c>
      <c r="C16" s="236"/>
      <c r="D16" s="237" t="s">
        <v>15</v>
      </c>
      <c r="E16" s="245">
        <f aca="true" t="shared" si="8" ref="E16:M16">E15/$M$6/$S$6</f>
        <v>-0.623700934579441</v>
      </c>
      <c r="F16" s="246">
        <f t="shared" si="8"/>
        <v>0.4246728971962607</v>
      </c>
      <c r="G16" s="246">
        <f t="shared" si="8"/>
        <v>1.4730467289719624</v>
      </c>
      <c r="H16" s="246">
        <f t="shared" si="8"/>
        <v>2.5214205607476643</v>
      </c>
      <c r="I16" s="246">
        <f t="shared" si="8"/>
        <v>3.5697943925233653</v>
      </c>
      <c r="J16" s="246">
        <f t="shared" si="8"/>
        <v>4.618168224299068</v>
      </c>
      <c r="K16" s="246">
        <f t="shared" si="8"/>
        <v>5.666542056074769</v>
      </c>
      <c r="L16" s="247">
        <f t="shared" si="8"/>
        <v>6.71491588785047</v>
      </c>
      <c r="M16" s="240">
        <f t="shared" si="8"/>
        <v>7.763289719626173</v>
      </c>
      <c r="N16" s="248"/>
      <c r="O16" s="242">
        <f>O15/$M$6/$S$6</f>
        <v>4.093981308411214</v>
      </c>
      <c r="Q16" s="158"/>
    </row>
    <row r="17" spans="2:17" ht="24.75" customHeight="1">
      <c r="B17" s="265" t="s">
        <v>56</v>
      </c>
      <c r="C17" s="159"/>
      <c r="D17" s="160" t="s">
        <v>17</v>
      </c>
      <c r="E17" s="170">
        <f aca="true" t="shared" si="9" ref="E17:M17">E9-E10</f>
        <v>111.94799999999987</v>
      </c>
      <c r="F17" s="171">
        <f t="shared" si="9"/>
        <v>196.07999999999993</v>
      </c>
      <c r="G17" s="171">
        <f t="shared" si="9"/>
        <v>280.212</v>
      </c>
      <c r="H17" s="171">
        <f t="shared" si="9"/>
        <v>364.34400000000005</v>
      </c>
      <c r="I17" s="171">
        <f t="shared" si="9"/>
        <v>448.4760000000001</v>
      </c>
      <c r="J17" s="171">
        <f t="shared" si="9"/>
        <v>532.6080000000002</v>
      </c>
      <c r="K17" s="171">
        <f t="shared" si="9"/>
        <v>616.7400000000002</v>
      </c>
      <c r="L17" s="168">
        <f t="shared" si="9"/>
        <v>700.8720000000003</v>
      </c>
      <c r="M17" s="169">
        <f t="shared" si="9"/>
        <v>785.0040000000004</v>
      </c>
      <c r="N17" s="14"/>
      <c r="O17" s="172">
        <f>O9-O10</f>
        <v>490.5419999999999</v>
      </c>
      <c r="P17" s="151"/>
      <c r="Q17" s="151"/>
    </row>
    <row r="18" spans="2:17" ht="24.75" customHeight="1" thickBot="1">
      <c r="B18" s="256" t="s">
        <v>65</v>
      </c>
      <c r="C18" s="161"/>
      <c r="D18" s="162" t="s">
        <v>15</v>
      </c>
      <c r="E18" s="163">
        <f aca="true" t="shared" si="10" ref="E18:M18">E17/$M$6/$S$6</f>
        <v>1.3949906542056056</v>
      </c>
      <c r="F18" s="164">
        <f t="shared" si="10"/>
        <v>2.443364485981307</v>
      </c>
      <c r="G18" s="164">
        <f t="shared" si="10"/>
        <v>3.491738317757009</v>
      </c>
      <c r="H18" s="164">
        <f t="shared" si="10"/>
        <v>4.540112149532711</v>
      </c>
      <c r="I18" s="164">
        <f t="shared" si="10"/>
        <v>5.588485981308413</v>
      </c>
      <c r="J18" s="164">
        <f t="shared" si="10"/>
        <v>6.636859813084113</v>
      </c>
      <c r="K18" s="164">
        <f t="shared" si="10"/>
        <v>7.685233644859816</v>
      </c>
      <c r="L18" s="165">
        <f t="shared" si="10"/>
        <v>8.733607476635518</v>
      </c>
      <c r="M18" s="166">
        <f t="shared" si="10"/>
        <v>9.781981308411218</v>
      </c>
      <c r="N18" s="14"/>
      <c r="O18" s="167">
        <f>O17/$M$6/$S$6</f>
        <v>6.11267289719626</v>
      </c>
      <c r="P18" s="151"/>
      <c r="Q18" s="151"/>
    </row>
    <row r="19" spans="2:17" ht="9.75" customHeight="1">
      <c r="B19" s="151"/>
      <c r="P19" s="151"/>
      <c r="Q19" s="151"/>
    </row>
    <row r="20" spans="2:17" ht="14.25" customHeight="1" thickBot="1">
      <c r="B20" s="151"/>
      <c r="C20" s="151"/>
      <c r="D20" s="151"/>
      <c r="E20" s="173"/>
      <c r="F20" s="173"/>
      <c r="G20" s="174"/>
      <c r="H20" s="174"/>
      <c r="I20" s="174"/>
      <c r="J20" s="174"/>
      <c r="K20" s="174"/>
      <c r="L20" s="174"/>
      <c r="M20" s="151"/>
      <c r="O20" s="151"/>
      <c r="P20" s="151"/>
      <c r="Q20" s="151"/>
    </row>
    <row r="21" spans="2:19" ht="33" customHeight="1" thickBot="1" thickTop="1">
      <c r="B21" s="217" t="s">
        <v>24</v>
      </c>
      <c r="C21" s="175"/>
      <c r="D21" s="201" t="s">
        <v>19</v>
      </c>
      <c r="E21" s="199"/>
      <c r="F21" s="200"/>
      <c r="G21" s="257">
        <f>VLOOKUP(T26,T22:U24,2,FALSE)</f>
        <v>1244</v>
      </c>
      <c r="H21" s="249"/>
      <c r="I21" s="306" t="s">
        <v>18</v>
      </c>
      <c r="J21" s="307">
        <f>J6</f>
        <v>380</v>
      </c>
      <c r="K21" s="198"/>
      <c r="L21" s="306" t="s">
        <v>87</v>
      </c>
      <c r="M21" s="309">
        <v>200</v>
      </c>
      <c r="O21" s="285" t="s">
        <v>77</v>
      </c>
      <c r="P21" s="151"/>
      <c r="Q21" s="151"/>
      <c r="S21" s="7" t="s">
        <v>52</v>
      </c>
    </row>
    <row r="22" spans="2:21" ht="21" customHeight="1" thickBot="1" thickTop="1">
      <c r="B22" s="176"/>
      <c r="C22" s="175"/>
      <c r="D22" s="345" t="s">
        <v>53</v>
      </c>
      <c r="E22" s="345"/>
      <c r="F22" s="345"/>
      <c r="G22" s="345"/>
      <c r="H22" s="174"/>
      <c r="I22" s="174"/>
      <c r="J22" s="174"/>
      <c r="K22" s="174"/>
      <c r="L22" s="174"/>
      <c r="M22" s="175"/>
      <c r="O22" s="151"/>
      <c r="P22" s="151"/>
      <c r="Q22" s="151"/>
      <c r="S22" s="178"/>
      <c r="T22" s="178" t="str">
        <f>'Datenbasis '!G33</f>
        <v>niedrig</v>
      </c>
      <c r="U22" s="180">
        <f>'Datenbasis '!G34</f>
        <v>1134</v>
      </c>
    </row>
    <row r="23" spans="2:21" ht="24.75" customHeight="1" thickBot="1">
      <c r="B23" s="210" t="s">
        <v>35</v>
      </c>
      <c r="C23" s="211"/>
      <c r="D23" s="211"/>
      <c r="E23" s="282" t="str">
        <f>E8</f>
        <v>2,80</v>
      </c>
      <c r="F23" s="282">
        <f aca="true" t="shared" si="11" ref="F23:M23">F8</f>
        <v>3</v>
      </c>
      <c r="G23" s="282">
        <f t="shared" si="11"/>
        <v>3.2</v>
      </c>
      <c r="H23" s="282">
        <f t="shared" si="11"/>
        <v>3.4000000000000004</v>
      </c>
      <c r="I23" s="282">
        <f t="shared" si="11"/>
        <v>3.6000000000000005</v>
      </c>
      <c r="J23" s="282">
        <f t="shared" si="11"/>
        <v>3.8000000000000007</v>
      </c>
      <c r="K23" s="282">
        <f t="shared" si="11"/>
        <v>4.000000000000001</v>
      </c>
      <c r="L23" s="282">
        <f t="shared" si="11"/>
        <v>4.200000000000001</v>
      </c>
      <c r="M23" s="283">
        <f t="shared" si="11"/>
        <v>4.400000000000001</v>
      </c>
      <c r="O23" s="284">
        <v>3.7</v>
      </c>
      <c r="P23" s="151"/>
      <c r="Q23" s="151"/>
      <c r="S23" s="179"/>
      <c r="T23" s="179" t="str">
        <f>'Datenbasis '!H33</f>
        <v>mittel</v>
      </c>
      <c r="U23" s="181">
        <f>'Datenbasis '!H34</f>
        <v>1244</v>
      </c>
    </row>
    <row r="24" spans="2:21" ht="24.75" customHeight="1">
      <c r="B24" s="188" t="s">
        <v>120</v>
      </c>
      <c r="C24" s="189"/>
      <c r="D24" s="189"/>
      <c r="E24" s="213">
        <f aca="true" t="shared" si="12" ref="E24:M24">E23*$J$6*$S$5</f>
        <v>1177.848</v>
      </c>
      <c r="F24" s="184">
        <f t="shared" si="12"/>
        <v>1261.98</v>
      </c>
      <c r="G24" s="184">
        <f t="shared" si="12"/>
        <v>1346.112</v>
      </c>
      <c r="H24" s="184">
        <f t="shared" si="12"/>
        <v>1430.2440000000001</v>
      </c>
      <c r="I24" s="184">
        <f t="shared" si="12"/>
        <v>1514.3760000000002</v>
      </c>
      <c r="J24" s="184">
        <f t="shared" si="12"/>
        <v>1598.5080000000003</v>
      </c>
      <c r="K24" s="184">
        <f t="shared" si="12"/>
        <v>1682.6400000000003</v>
      </c>
      <c r="L24" s="184">
        <f t="shared" si="12"/>
        <v>1766.7720000000004</v>
      </c>
      <c r="M24" s="191">
        <f t="shared" si="12"/>
        <v>1850.9040000000005</v>
      </c>
      <c r="O24" s="193">
        <f>O23*$J$6*$S$5</f>
        <v>1556.442</v>
      </c>
      <c r="P24" s="151"/>
      <c r="Q24" s="151"/>
      <c r="S24" s="179"/>
      <c r="T24" s="179" t="str">
        <f>'Datenbasis '!I33</f>
        <v>hoch</v>
      </c>
      <c r="U24" s="181">
        <f>'Datenbasis '!I34</f>
        <v>1352</v>
      </c>
    </row>
    <row r="25" spans="2:21" ht="24.75" customHeight="1">
      <c r="B25" s="188" t="s">
        <v>16</v>
      </c>
      <c r="C25" s="189"/>
      <c r="D25" s="189"/>
      <c r="E25" s="258">
        <f>HLOOKUP($G$21,'Datenbasis '!$G$34:$I$53,ROWS('Datenbasis '!$G$34:$I$50))</f>
        <v>837.9</v>
      </c>
      <c r="F25" s="184">
        <f aca="true" t="shared" si="13" ref="F25:M25">$E$25</f>
        <v>837.9</v>
      </c>
      <c r="G25" s="184">
        <f t="shared" si="13"/>
        <v>837.9</v>
      </c>
      <c r="H25" s="184">
        <f t="shared" si="13"/>
        <v>837.9</v>
      </c>
      <c r="I25" s="184">
        <f t="shared" si="13"/>
        <v>837.9</v>
      </c>
      <c r="J25" s="184">
        <f t="shared" si="13"/>
        <v>837.9</v>
      </c>
      <c r="K25" s="184">
        <f t="shared" si="13"/>
        <v>837.9</v>
      </c>
      <c r="L25" s="184">
        <f t="shared" si="13"/>
        <v>837.9</v>
      </c>
      <c r="M25" s="191">
        <f t="shared" si="13"/>
        <v>837.9</v>
      </c>
      <c r="N25" s="192"/>
      <c r="O25" s="193">
        <f>$E$25</f>
        <v>837.9</v>
      </c>
      <c r="P25" s="151"/>
      <c r="Q25" s="151"/>
      <c r="S25" s="179"/>
      <c r="T25" s="179"/>
      <c r="U25" s="181"/>
    </row>
    <row r="26" spans="2:21" ht="24.75" customHeight="1">
      <c r="B26" s="188" t="s">
        <v>14</v>
      </c>
      <c r="C26" s="189"/>
      <c r="D26" s="189"/>
      <c r="E26" s="258">
        <f>HLOOKUP($G$21,'Datenbasis '!$G$34:$I$53,ROWS('Datenbasis '!$G$34:$I$51))</f>
        <v>279</v>
      </c>
      <c r="F26" s="184">
        <f aca="true" t="shared" si="14" ref="F26:M26">$E$26</f>
        <v>279</v>
      </c>
      <c r="G26" s="184">
        <f t="shared" si="14"/>
        <v>279</v>
      </c>
      <c r="H26" s="184">
        <f t="shared" si="14"/>
        <v>279</v>
      </c>
      <c r="I26" s="184">
        <f t="shared" si="14"/>
        <v>279</v>
      </c>
      <c r="J26" s="184">
        <f t="shared" si="14"/>
        <v>279</v>
      </c>
      <c r="K26" s="184">
        <f t="shared" si="14"/>
        <v>279</v>
      </c>
      <c r="L26" s="184">
        <f t="shared" si="14"/>
        <v>279</v>
      </c>
      <c r="M26" s="191">
        <f t="shared" si="14"/>
        <v>279</v>
      </c>
      <c r="N26" s="192"/>
      <c r="O26" s="193">
        <f>$E$26</f>
        <v>279</v>
      </c>
      <c r="P26" s="151"/>
      <c r="Q26" s="151"/>
      <c r="S26" s="183" t="s">
        <v>51</v>
      </c>
      <c r="T26" s="260" t="s">
        <v>9</v>
      </c>
      <c r="U26" s="182"/>
    </row>
    <row r="27" spans="2:17" ht="24.75" customHeight="1" thickBot="1">
      <c r="B27" s="194" t="s">
        <v>13</v>
      </c>
      <c r="C27" s="189"/>
      <c r="D27" s="189"/>
      <c r="E27" s="259">
        <f>HLOOKUP($G$21,'Datenbasis '!$G$34:$I$53,ROWS('Datenbasis '!$G$34:$I$52))</f>
        <v>94</v>
      </c>
      <c r="F27" s="196">
        <f aca="true" t="shared" si="15" ref="F27:M27">$E$27</f>
        <v>94</v>
      </c>
      <c r="G27" s="196">
        <f t="shared" si="15"/>
        <v>94</v>
      </c>
      <c r="H27" s="196">
        <f t="shared" si="15"/>
        <v>94</v>
      </c>
      <c r="I27" s="196">
        <f t="shared" si="15"/>
        <v>94</v>
      </c>
      <c r="J27" s="196">
        <f t="shared" si="15"/>
        <v>94</v>
      </c>
      <c r="K27" s="196">
        <f t="shared" si="15"/>
        <v>94</v>
      </c>
      <c r="L27" s="196">
        <f t="shared" si="15"/>
        <v>94</v>
      </c>
      <c r="M27" s="197">
        <f t="shared" si="15"/>
        <v>94</v>
      </c>
      <c r="N27" s="198"/>
      <c r="O27" s="193">
        <f>$E$27</f>
        <v>94</v>
      </c>
      <c r="P27" s="151"/>
      <c r="Q27" s="151"/>
    </row>
    <row r="28" spans="2:17" ht="24.75" customHeight="1">
      <c r="B28" s="263" t="s">
        <v>71</v>
      </c>
      <c r="C28" s="202"/>
      <c r="D28" s="203" t="s">
        <v>17</v>
      </c>
      <c r="E28" s="224">
        <f aca="true" t="shared" si="16" ref="E28:M28">E24-E25-E26-E27</f>
        <v>-33.05200000000002</v>
      </c>
      <c r="F28" s="225">
        <f t="shared" si="16"/>
        <v>51.08000000000004</v>
      </c>
      <c r="G28" s="225">
        <f t="shared" si="16"/>
        <v>135.2120000000001</v>
      </c>
      <c r="H28" s="225">
        <f t="shared" si="16"/>
        <v>219.34400000000016</v>
      </c>
      <c r="I28" s="225">
        <f t="shared" si="16"/>
        <v>303.4760000000002</v>
      </c>
      <c r="J28" s="225">
        <f t="shared" si="16"/>
        <v>387.6080000000003</v>
      </c>
      <c r="K28" s="225">
        <f t="shared" si="16"/>
        <v>471.74000000000035</v>
      </c>
      <c r="L28" s="225">
        <f t="shared" si="16"/>
        <v>555.8720000000004</v>
      </c>
      <c r="M28" s="221">
        <f t="shared" si="16"/>
        <v>640.0040000000005</v>
      </c>
      <c r="N28" s="226"/>
      <c r="O28" s="227">
        <f>O24-O25-O26-O27</f>
        <v>345.54200000000003</v>
      </c>
      <c r="P28" s="151"/>
      <c r="Q28" s="151"/>
    </row>
    <row r="29" spans="2:17" ht="24.75" customHeight="1" thickBot="1">
      <c r="B29" s="256" t="s">
        <v>66</v>
      </c>
      <c r="C29" s="204"/>
      <c r="D29" s="205" t="s">
        <v>15</v>
      </c>
      <c r="E29" s="206">
        <f aca="true" t="shared" si="17" ref="E29:M29">E28/$M$21/$S$6</f>
        <v>-0.15444859813084122</v>
      </c>
      <c r="F29" s="207">
        <f t="shared" si="17"/>
        <v>0.2386915887850469</v>
      </c>
      <c r="G29" s="207">
        <f t="shared" si="17"/>
        <v>0.6318317757009351</v>
      </c>
      <c r="H29" s="207">
        <f t="shared" si="17"/>
        <v>1.0249719626168232</v>
      </c>
      <c r="I29" s="207">
        <f t="shared" si="17"/>
        <v>1.4181121495327111</v>
      </c>
      <c r="J29" s="207">
        <f t="shared" si="17"/>
        <v>1.8112523364485995</v>
      </c>
      <c r="K29" s="207">
        <f t="shared" si="17"/>
        <v>2.204392523364487</v>
      </c>
      <c r="L29" s="207">
        <f t="shared" si="17"/>
        <v>2.597532710280376</v>
      </c>
      <c r="M29" s="209">
        <f t="shared" si="17"/>
        <v>2.990672897196264</v>
      </c>
      <c r="N29" s="214"/>
      <c r="O29" s="215">
        <f>O28/$M$21/$S$6</f>
        <v>1.6146822429906542</v>
      </c>
      <c r="P29" s="151"/>
      <c r="Q29" s="151"/>
    </row>
    <row r="30" spans="2:17" ht="24.75" customHeight="1">
      <c r="B30" s="264" t="s">
        <v>72</v>
      </c>
      <c r="C30" s="229"/>
      <c r="D30" s="230" t="s">
        <v>17</v>
      </c>
      <c r="E30" s="231">
        <f aca="true" t="shared" si="18" ref="E30:M30">E28+E26</f>
        <v>245.94799999999998</v>
      </c>
      <c r="F30" s="232">
        <f t="shared" si="18"/>
        <v>330.08000000000004</v>
      </c>
      <c r="G30" s="232">
        <f t="shared" si="18"/>
        <v>414.2120000000001</v>
      </c>
      <c r="H30" s="232">
        <f t="shared" si="18"/>
        <v>498.34400000000016</v>
      </c>
      <c r="I30" s="232">
        <f t="shared" si="18"/>
        <v>582.4760000000002</v>
      </c>
      <c r="J30" s="232">
        <f t="shared" si="18"/>
        <v>666.6080000000003</v>
      </c>
      <c r="K30" s="232">
        <f t="shared" si="18"/>
        <v>750.7400000000004</v>
      </c>
      <c r="L30" s="232">
        <f t="shared" si="18"/>
        <v>834.8720000000004</v>
      </c>
      <c r="M30" s="233">
        <f t="shared" si="18"/>
        <v>919.0040000000005</v>
      </c>
      <c r="N30" s="234"/>
      <c r="O30" s="235">
        <f>O28+O26</f>
        <v>624.542</v>
      </c>
      <c r="P30" s="151"/>
      <c r="Q30" s="151"/>
    </row>
    <row r="31" spans="2:17" ht="24.75" customHeight="1" thickBot="1">
      <c r="B31" s="256" t="s">
        <v>64</v>
      </c>
      <c r="C31" s="236"/>
      <c r="D31" s="237" t="s">
        <v>15</v>
      </c>
      <c r="E31" s="238">
        <f aca="true" t="shared" si="19" ref="E31:M31">E30/$M$21/$S$6</f>
        <v>1.149289719626168</v>
      </c>
      <c r="F31" s="239">
        <f t="shared" si="19"/>
        <v>1.5424299065420564</v>
      </c>
      <c r="G31" s="239">
        <f t="shared" si="19"/>
        <v>1.9355700934579443</v>
      </c>
      <c r="H31" s="239">
        <f t="shared" si="19"/>
        <v>2.328710280373832</v>
      </c>
      <c r="I31" s="239">
        <f t="shared" si="19"/>
        <v>2.7218504672897206</v>
      </c>
      <c r="J31" s="239">
        <f t="shared" si="19"/>
        <v>3.1149906542056085</v>
      </c>
      <c r="K31" s="239">
        <f t="shared" si="19"/>
        <v>3.5081308411214964</v>
      </c>
      <c r="L31" s="239">
        <f t="shared" si="19"/>
        <v>3.901271028037385</v>
      </c>
      <c r="M31" s="240">
        <f t="shared" si="19"/>
        <v>4.294411214953273</v>
      </c>
      <c r="N31" s="241"/>
      <c r="O31" s="242">
        <f>O30/$M$21/$S$6</f>
        <v>2.9184205607476637</v>
      </c>
      <c r="P31" s="151"/>
      <c r="Q31" s="151"/>
    </row>
    <row r="32" spans="2:15" ht="24.75" customHeight="1">
      <c r="B32" s="265" t="s">
        <v>73</v>
      </c>
      <c r="C32" s="159"/>
      <c r="D32" s="160" t="s">
        <v>17</v>
      </c>
      <c r="E32" s="156">
        <f aca="true" t="shared" si="20" ref="E32:M32">E30+E27</f>
        <v>339.948</v>
      </c>
      <c r="F32" s="157">
        <f t="shared" si="20"/>
        <v>424.08000000000004</v>
      </c>
      <c r="G32" s="157">
        <f t="shared" si="20"/>
        <v>508.2120000000001</v>
      </c>
      <c r="H32" s="157">
        <f t="shared" si="20"/>
        <v>592.3440000000002</v>
      </c>
      <c r="I32" s="157">
        <f t="shared" si="20"/>
        <v>676.4760000000002</v>
      </c>
      <c r="J32" s="157">
        <f t="shared" si="20"/>
        <v>760.6080000000003</v>
      </c>
      <c r="K32" s="157">
        <f t="shared" si="20"/>
        <v>844.7400000000004</v>
      </c>
      <c r="L32" s="157">
        <f t="shared" si="20"/>
        <v>928.8720000000004</v>
      </c>
      <c r="M32" s="169">
        <f t="shared" si="20"/>
        <v>1013.0040000000005</v>
      </c>
      <c r="N32" s="228"/>
      <c r="O32" s="172">
        <f>O30+O27</f>
        <v>718.542</v>
      </c>
    </row>
    <row r="33" spans="2:15" ht="24.75" customHeight="1" thickBot="1">
      <c r="B33" s="256" t="s">
        <v>65</v>
      </c>
      <c r="C33" s="161"/>
      <c r="D33" s="162" t="s">
        <v>15</v>
      </c>
      <c r="E33" s="163">
        <f aca="true" t="shared" si="21" ref="E33:M33">E32/$M$21/$S$6</f>
        <v>1.588542056074766</v>
      </c>
      <c r="F33" s="164">
        <f t="shared" si="21"/>
        <v>1.9816822429906542</v>
      </c>
      <c r="G33" s="164">
        <f t="shared" si="21"/>
        <v>2.3748224299065424</v>
      </c>
      <c r="H33" s="164">
        <f t="shared" si="21"/>
        <v>2.7679626168224307</v>
      </c>
      <c r="I33" s="164">
        <f t="shared" si="21"/>
        <v>3.1611028037383186</v>
      </c>
      <c r="J33" s="164">
        <f t="shared" si="21"/>
        <v>3.554242990654207</v>
      </c>
      <c r="K33" s="164">
        <f t="shared" si="21"/>
        <v>3.947383177570095</v>
      </c>
      <c r="L33" s="164">
        <f t="shared" si="21"/>
        <v>4.340523364485984</v>
      </c>
      <c r="M33" s="166">
        <f t="shared" si="21"/>
        <v>4.733663551401871</v>
      </c>
      <c r="N33" s="216"/>
      <c r="O33" s="167">
        <f>O32/$M$21/$S$6</f>
        <v>3.3576728971962617</v>
      </c>
    </row>
    <row r="34" spans="2:9" ht="20.25" customHeight="1">
      <c r="B34" s="151"/>
      <c r="C34" s="151"/>
      <c r="D34" s="151"/>
      <c r="E34" s="173"/>
      <c r="F34" s="173"/>
      <c r="G34" s="173"/>
      <c r="H34" s="173"/>
      <c r="I34" s="173"/>
    </row>
  </sheetData>
  <sheetProtection sheet="1" objects="1" scenarios="1"/>
  <mergeCells count="2">
    <mergeCell ref="D7:G7"/>
    <mergeCell ref="D22:G22"/>
  </mergeCells>
  <printOptions/>
  <pageMargins left="0.4724409448818898" right="0.4724409448818898" top="0.5905511811023623" bottom="0.5118110236220472" header="0.35433070866141736" footer="0.2362204724409449"/>
  <pageSetup fitToHeight="1" fitToWidth="1" horizontalDpi="600" verticalDpi="600" orientation="landscape" paperSize="9" scale="70" r:id="rId2"/>
  <headerFooter alignWithMargins="0">
    <oddFooter>&amp;LLEL, Abt. II ( Segger )&amp;C&amp;F&amp;A&amp;R&amp;D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>
    <tabColor rgb="FFC00000"/>
    <pageSetUpPr fitToPage="1"/>
  </sheetPr>
  <dimension ref="B2:V34"/>
  <sheetViews>
    <sheetView zoomScale="70" zoomScaleNormal="70" zoomScalePageLayoutView="0" workbookViewId="0" topLeftCell="A1">
      <selection activeCell="C2" sqref="C2"/>
    </sheetView>
  </sheetViews>
  <sheetFormatPr defaultColWidth="11.421875" defaultRowHeight="12.75"/>
  <cols>
    <col min="1" max="1" width="1.1484375" style="7" customWidth="1"/>
    <col min="2" max="2" width="37.8515625" style="7" customWidth="1"/>
    <col min="3" max="3" width="15.00390625" style="7" customWidth="1"/>
    <col min="4" max="4" width="22.28125" style="7" customWidth="1"/>
    <col min="5" max="12" width="11.7109375" style="69" customWidth="1"/>
    <col min="13" max="13" width="11.7109375" style="7" customWidth="1"/>
    <col min="14" max="14" width="3.7109375" style="7" customWidth="1"/>
    <col min="15" max="15" width="11.57421875" style="7" customWidth="1"/>
    <col min="16" max="16" width="9.140625" style="7" customWidth="1"/>
    <col min="17" max="22" width="11.421875" style="7" customWidth="1"/>
    <col min="23" max="16384" width="11.421875" style="7" customWidth="1"/>
  </cols>
  <sheetData>
    <row r="1" ht="8.25" customHeight="1"/>
    <row r="2" ht="28.5" customHeight="1">
      <c r="B2" s="150" t="s">
        <v>89</v>
      </c>
    </row>
    <row r="3" ht="12.75"/>
    <row r="4" spans="2:9" ht="18" customHeight="1">
      <c r="B4" s="266" t="s">
        <v>69</v>
      </c>
      <c r="C4" s="267">
        <v>0.107</v>
      </c>
      <c r="D4" s="268"/>
      <c r="E4" s="269"/>
      <c r="F4" s="266" t="s">
        <v>70</v>
      </c>
      <c r="G4" s="267">
        <v>0.07</v>
      </c>
      <c r="H4" s="7"/>
      <c r="I4" s="7"/>
    </row>
    <row r="5" ht="15.75" thickBot="1">
      <c r="T5" s="155">
        <f>1+C4</f>
        <v>1.107</v>
      </c>
    </row>
    <row r="6" spans="2:20" ht="32.25" customHeight="1" thickBot="1" thickTop="1">
      <c r="B6" s="324" t="s">
        <v>91</v>
      </c>
      <c r="C6" s="185"/>
      <c r="D6" s="201" t="s">
        <v>19</v>
      </c>
      <c r="E6" s="199"/>
      <c r="F6" s="200"/>
      <c r="G6" s="257">
        <f>VLOOKUP(U12,U8:V10,2,FALSE)</f>
        <v>1200</v>
      </c>
      <c r="H6" s="186"/>
      <c r="I6" s="304" t="s">
        <v>18</v>
      </c>
      <c r="J6" s="305">
        <v>380</v>
      </c>
      <c r="K6" s="261"/>
      <c r="L6" s="304" t="s">
        <v>86</v>
      </c>
      <c r="M6" s="312">
        <v>75</v>
      </c>
      <c r="N6" s="187"/>
      <c r="O6" s="285" t="s">
        <v>77</v>
      </c>
      <c r="P6" s="152"/>
      <c r="Q6" s="152"/>
      <c r="R6" s="151"/>
      <c r="T6" s="155">
        <f>1+G4</f>
        <v>1.07</v>
      </c>
    </row>
    <row r="7" spans="2:20" ht="17.25" thickBot="1" thickTop="1">
      <c r="B7" s="153"/>
      <c r="C7" s="11"/>
      <c r="D7" s="345" t="s">
        <v>53</v>
      </c>
      <c r="E7" s="345"/>
      <c r="F7" s="345"/>
      <c r="G7" s="345"/>
      <c r="H7" s="154"/>
      <c r="I7" s="154"/>
      <c r="J7" s="154"/>
      <c r="K7" s="154"/>
      <c r="L7" s="154"/>
      <c r="M7" s="11"/>
      <c r="N7" s="151"/>
      <c r="O7" s="151"/>
      <c r="P7" s="152"/>
      <c r="Q7" s="152"/>
      <c r="R7" s="151"/>
      <c r="T7" s="7" t="s">
        <v>52</v>
      </c>
    </row>
    <row r="8" spans="2:22" ht="24.75" customHeight="1" thickBot="1">
      <c r="B8" s="210" t="s">
        <v>90</v>
      </c>
      <c r="C8" s="211"/>
      <c r="D8" s="211"/>
      <c r="E8" s="311">
        <v>4.5</v>
      </c>
      <c r="F8" s="286">
        <f>E8+0.25</f>
        <v>4.75</v>
      </c>
      <c r="G8" s="286">
        <f aca="true" t="shared" si="0" ref="G8:L8">F8+0.25</f>
        <v>5</v>
      </c>
      <c r="H8" s="286">
        <f t="shared" si="0"/>
        <v>5.25</v>
      </c>
      <c r="I8" s="286">
        <f t="shared" si="0"/>
        <v>5.5</v>
      </c>
      <c r="J8" s="286">
        <f t="shared" si="0"/>
        <v>5.75</v>
      </c>
      <c r="K8" s="286">
        <f t="shared" si="0"/>
        <v>6</v>
      </c>
      <c r="L8" s="286">
        <f t="shared" si="0"/>
        <v>6.25</v>
      </c>
      <c r="M8" s="286">
        <f>L8+0.25</f>
        <v>6.5</v>
      </c>
      <c r="O8" s="284">
        <v>5.5</v>
      </c>
      <c r="T8" s="178"/>
      <c r="U8" s="178" t="str">
        <f>'Datenbasis '!G33</f>
        <v>niedrig</v>
      </c>
      <c r="V8" s="180">
        <f>'Datenbasis '!G8</f>
        <v>1100</v>
      </c>
    </row>
    <row r="9" spans="2:22" ht="24.75" customHeight="1">
      <c r="B9" s="188" t="s">
        <v>92</v>
      </c>
      <c r="C9" s="189"/>
      <c r="D9" s="189"/>
      <c r="E9" s="213">
        <f aca="true" t="shared" si="1" ref="E9:M9">E8*$M$6*$T$6</f>
        <v>361.125</v>
      </c>
      <c r="F9" s="184">
        <f t="shared" si="1"/>
        <v>381.1875</v>
      </c>
      <c r="G9" s="184">
        <f t="shared" si="1"/>
        <v>401.25</v>
      </c>
      <c r="H9" s="184">
        <f t="shared" si="1"/>
        <v>421.3125</v>
      </c>
      <c r="I9" s="184">
        <f t="shared" si="1"/>
        <v>441.375</v>
      </c>
      <c r="J9" s="184">
        <f t="shared" si="1"/>
        <v>461.4375</v>
      </c>
      <c r="K9" s="184">
        <f t="shared" si="1"/>
        <v>481.5</v>
      </c>
      <c r="L9" s="190">
        <f t="shared" si="1"/>
        <v>501.56250000000006</v>
      </c>
      <c r="M9" s="191">
        <f t="shared" si="1"/>
        <v>521.625</v>
      </c>
      <c r="O9" s="193">
        <f>O8*$M$6*$T$6</f>
        <v>441.375</v>
      </c>
      <c r="T9" s="179"/>
      <c r="U9" s="179" t="str">
        <f>'Datenbasis '!H33</f>
        <v>mittel</v>
      </c>
      <c r="V9" s="181">
        <f>'Datenbasis '!H8</f>
        <v>1200</v>
      </c>
    </row>
    <row r="10" spans="2:22" ht="24.75" customHeight="1">
      <c r="B10" s="188" t="s">
        <v>125</v>
      </c>
      <c r="C10" s="189"/>
      <c r="D10" s="189"/>
      <c r="E10" s="213">
        <f>HLOOKUP($G$6,'Datenbasis '!$G$8:$I$29,ROWS('Datenbasis '!$G$8:$I$26))</f>
        <v>1065.9</v>
      </c>
      <c r="F10" s="184">
        <f aca="true" t="shared" si="2" ref="F10:M10">$E$10</f>
        <v>1065.9</v>
      </c>
      <c r="G10" s="184">
        <f t="shared" si="2"/>
        <v>1065.9</v>
      </c>
      <c r="H10" s="184">
        <f t="shared" si="2"/>
        <v>1065.9</v>
      </c>
      <c r="I10" s="184">
        <f t="shared" si="2"/>
        <v>1065.9</v>
      </c>
      <c r="J10" s="184">
        <f t="shared" si="2"/>
        <v>1065.9</v>
      </c>
      <c r="K10" s="184">
        <f t="shared" si="2"/>
        <v>1065.9</v>
      </c>
      <c r="L10" s="190">
        <f t="shared" si="2"/>
        <v>1065.9</v>
      </c>
      <c r="M10" s="191">
        <f t="shared" si="2"/>
        <v>1065.9</v>
      </c>
      <c r="N10" s="192"/>
      <c r="O10" s="193">
        <f>$E$10</f>
        <v>1065.9</v>
      </c>
      <c r="Q10" s="158"/>
      <c r="R10" s="151"/>
      <c r="T10" s="179"/>
      <c r="U10" s="179" t="str">
        <f>'Datenbasis '!I33</f>
        <v>hoch</v>
      </c>
      <c r="V10" s="181">
        <f>'Datenbasis '!I8</f>
        <v>1300</v>
      </c>
    </row>
    <row r="11" spans="2:22" ht="24.75" customHeight="1">
      <c r="B11" s="188" t="s">
        <v>14</v>
      </c>
      <c r="C11" s="189"/>
      <c r="D11" s="189"/>
      <c r="E11" s="213">
        <f>HLOOKUP($G$6,'Datenbasis '!$G$8:$I$29,ROWS('Datenbasis '!$G$8:$I$27))</f>
        <v>356</v>
      </c>
      <c r="F11" s="184">
        <f aca="true" t="shared" si="3" ref="F11:M11">$E$11</f>
        <v>356</v>
      </c>
      <c r="G11" s="184">
        <f t="shared" si="3"/>
        <v>356</v>
      </c>
      <c r="H11" s="184">
        <f t="shared" si="3"/>
        <v>356</v>
      </c>
      <c r="I11" s="184">
        <f t="shared" si="3"/>
        <v>356</v>
      </c>
      <c r="J11" s="184">
        <f t="shared" si="3"/>
        <v>356</v>
      </c>
      <c r="K11" s="184">
        <f t="shared" si="3"/>
        <v>356</v>
      </c>
      <c r="L11" s="190">
        <f t="shared" si="3"/>
        <v>356</v>
      </c>
      <c r="M11" s="191">
        <f t="shared" si="3"/>
        <v>356</v>
      </c>
      <c r="N11" s="192"/>
      <c r="O11" s="193">
        <f>$E$11</f>
        <v>356</v>
      </c>
      <c r="Q11" s="158"/>
      <c r="R11" s="151"/>
      <c r="T11" s="179"/>
      <c r="U11" s="179"/>
      <c r="V11" s="181"/>
    </row>
    <row r="12" spans="2:22" ht="24.75" customHeight="1" thickBot="1">
      <c r="B12" s="194" t="s">
        <v>13</v>
      </c>
      <c r="C12" s="189"/>
      <c r="D12" s="189"/>
      <c r="E12" s="213">
        <f>HLOOKUP($G$6,'Datenbasis '!$G$8:$I$29,ROWS('Datenbasis '!$G$8:$I$28))</f>
        <v>162</v>
      </c>
      <c r="F12" s="184">
        <f aca="true" t="shared" si="4" ref="F12:M12">$E$12</f>
        <v>162</v>
      </c>
      <c r="G12" s="184">
        <f t="shared" si="4"/>
        <v>162</v>
      </c>
      <c r="H12" s="184">
        <f t="shared" si="4"/>
        <v>162</v>
      </c>
      <c r="I12" s="184">
        <f t="shared" si="4"/>
        <v>162</v>
      </c>
      <c r="J12" s="184">
        <f t="shared" si="4"/>
        <v>162</v>
      </c>
      <c r="K12" s="184">
        <f t="shared" si="4"/>
        <v>162</v>
      </c>
      <c r="L12" s="190">
        <f t="shared" si="4"/>
        <v>162</v>
      </c>
      <c r="M12" s="191">
        <f t="shared" si="4"/>
        <v>162</v>
      </c>
      <c r="N12" s="195"/>
      <c r="O12" s="193">
        <f>$E$12</f>
        <v>162</v>
      </c>
      <c r="Q12" s="158"/>
      <c r="R12" s="151"/>
      <c r="T12" s="183" t="s">
        <v>51</v>
      </c>
      <c r="U12" s="260" t="s">
        <v>9</v>
      </c>
      <c r="V12" s="182"/>
    </row>
    <row r="13" spans="2:18" ht="24.75" customHeight="1">
      <c r="B13" s="263" t="s">
        <v>93</v>
      </c>
      <c r="C13" s="202"/>
      <c r="D13" s="203" t="s">
        <v>17</v>
      </c>
      <c r="E13" s="325">
        <f>E9+E10+E11+E12</f>
        <v>1945.025</v>
      </c>
      <c r="F13" s="326">
        <f aca="true" t="shared" si="5" ref="F13:M13">F9+F10+F11+F12</f>
        <v>1965.0875</v>
      </c>
      <c r="G13" s="326">
        <f t="shared" si="5"/>
        <v>1985.15</v>
      </c>
      <c r="H13" s="326">
        <f t="shared" si="5"/>
        <v>2005.2125</v>
      </c>
      <c r="I13" s="326">
        <f t="shared" si="5"/>
        <v>2025.275</v>
      </c>
      <c r="J13" s="326">
        <f t="shared" si="5"/>
        <v>2045.3375</v>
      </c>
      <c r="K13" s="326">
        <f t="shared" si="5"/>
        <v>2065.4</v>
      </c>
      <c r="L13" s="327">
        <f t="shared" si="5"/>
        <v>2085.4625</v>
      </c>
      <c r="M13" s="328">
        <f t="shared" si="5"/>
        <v>2105.525</v>
      </c>
      <c r="N13" s="329"/>
      <c r="O13" s="330">
        <f>O9+O10+O11+O12</f>
        <v>2025.275</v>
      </c>
      <c r="Q13" s="158"/>
      <c r="R13" s="151"/>
    </row>
    <row r="14" spans="2:18" ht="24.75" customHeight="1" thickBot="1">
      <c r="B14" s="256" t="s">
        <v>63</v>
      </c>
      <c r="C14" s="204"/>
      <c r="D14" s="205" t="s">
        <v>15</v>
      </c>
      <c r="E14" s="206">
        <f aca="true" t="shared" si="6" ref="E14:M14">E13/$J$6/$T$5</f>
        <v>4.6237460181619365</v>
      </c>
      <c r="F14" s="207">
        <f t="shared" si="6"/>
        <v>4.671438929301575</v>
      </c>
      <c r="G14" s="207">
        <f t="shared" si="6"/>
        <v>4.719131840441212</v>
      </c>
      <c r="H14" s="207">
        <f t="shared" si="6"/>
        <v>4.76682475158085</v>
      </c>
      <c r="I14" s="207">
        <f t="shared" si="6"/>
        <v>4.814517662720487</v>
      </c>
      <c r="J14" s="207">
        <f t="shared" si="6"/>
        <v>4.862210573860125</v>
      </c>
      <c r="K14" s="207">
        <f t="shared" si="6"/>
        <v>4.909903484999763</v>
      </c>
      <c r="L14" s="208">
        <f t="shared" si="6"/>
        <v>4.9575963961394</v>
      </c>
      <c r="M14" s="209">
        <f t="shared" si="6"/>
        <v>5.005289307279038</v>
      </c>
      <c r="N14" s="223"/>
      <c r="O14" s="215">
        <f>O13/$J$6/$T$5</f>
        <v>4.814517662720487</v>
      </c>
      <c r="Q14" s="158"/>
      <c r="R14" s="151"/>
    </row>
    <row r="15" spans="2:18" ht="24.75" customHeight="1">
      <c r="B15" s="264" t="s">
        <v>123</v>
      </c>
      <c r="C15" s="229"/>
      <c r="D15" s="230" t="s">
        <v>17</v>
      </c>
      <c r="E15" s="231">
        <f>E13-E11</f>
        <v>1589.025</v>
      </c>
      <c r="F15" s="232">
        <f aca="true" t="shared" si="7" ref="F15:O15">F13-F11</f>
        <v>1609.0875</v>
      </c>
      <c r="G15" s="232">
        <f t="shared" si="7"/>
        <v>1629.15</v>
      </c>
      <c r="H15" s="232">
        <f t="shared" si="7"/>
        <v>1649.2125</v>
      </c>
      <c r="I15" s="232">
        <f t="shared" si="7"/>
        <v>1669.275</v>
      </c>
      <c r="J15" s="232">
        <f t="shared" si="7"/>
        <v>1689.3375</v>
      </c>
      <c r="K15" s="232">
        <f t="shared" si="7"/>
        <v>1709.4</v>
      </c>
      <c r="L15" s="243">
        <f t="shared" si="7"/>
        <v>1729.4625</v>
      </c>
      <c r="M15" s="233">
        <f t="shared" si="7"/>
        <v>1749.525</v>
      </c>
      <c r="N15" s="244"/>
      <c r="O15" s="235">
        <f t="shared" si="7"/>
        <v>1669.275</v>
      </c>
      <c r="Q15" s="158"/>
      <c r="R15" s="151"/>
    </row>
    <row r="16" spans="2:18" ht="24.75" customHeight="1" thickBot="1">
      <c r="B16" s="256" t="s">
        <v>64</v>
      </c>
      <c r="C16" s="236"/>
      <c r="D16" s="237" t="s">
        <v>15</v>
      </c>
      <c r="E16" s="245">
        <f aca="true" t="shared" si="8" ref="E16:M16">E15/$J$6/$T$5</f>
        <v>3.777456853515904</v>
      </c>
      <c r="F16" s="246">
        <f t="shared" si="8"/>
        <v>3.825149764655542</v>
      </c>
      <c r="G16" s="246">
        <f t="shared" si="8"/>
        <v>3.8728426757951797</v>
      </c>
      <c r="H16" s="246">
        <f t="shared" si="8"/>
        <v>3.9205355869348173</v>
      </c>
      <c r="I16" s="246">
        <f t="shared" si="8"/>
        <v>3.968228498074455</v>
      </c>
      <c r="J16" s="246">
        <f t="shared" si="8"/>
        <v>4.0159214092140925</v>
      </c>
      <c r="K16" s="246">
        <f t="shared" si="8"/>
        <v>4.0636143203537305</v>
      </c>
      <c r="L16" s="247">
        <f t="shared" si="8"/>
        <v>4.1113072314933685</v>
      </c>
      <c r="M16" s="240">
        <f t="shared" si="8"/>
        <v>4.159000142633006</v>
      </c>
      <c r="N16" s="248"/>
      <c r="O16" s="242">
        <f>O15/$J$6/$T$5</f>
        <v>3.968228498074455</v>
      </c>
      <c r="Q16" s="158"/>
      <c r="R16" s="151"/>
    </row>
    <row r="17" spans="2:18" ht="24.75" customHeight="1">
      <c r="B17" s="265" t="s">
        <v>124</v>
      </c>
      <c r="C17" s="159"/>
      <c r="D17" s="160" t="s">
        <v>17</v>
      </c>
      <c r="E17" s="170">
        <f>E9+E10</f>
        <v>1427.025</v>
      </c>
      <c r="F17" s="171">
        <f aca="true" t="shared" si="9" ref="F17:O17">F9+F10</f>
        <v>1447.0875</v>
      </c>
      <c r="G17" s="171">
        <f t="shared" si="9"/>
        <v>1467.15</v>
      </c>
      <c r="H17" s="171">
        <f t="shared" si="9"/>
        <v>1487.2125</v>
      </c>
      <c r="I17" s="171">
        <f t="shared" si="9"/>
        <v>1507.275</v>
      </c>
      <c r="J17" s="171">
        <f t="shared" si="9"/>
        <v>1527.3375</v>
      </c>
      <c r="K17" s="171">
        <f t="shared" si="9"/>
        <v>1547.4</v>
      </c>
      <c r="L17" s="168">
        <f t="shared" si="9"/>
        <v>1567.4625</v>
      </c>
      <c r="M17" s="169">
        <f t="shared" si="9"/>
        <v>1587.525</v>
      </c>
      <c r="N17" s="14"/>
      <c r="O17" s="172">
        <f t="shared" si="9"/>
        <v>1507.275</v>
      </c>
      <c r="P17" s="151"/>
      <c r="Q17" s="151"/>
      <c r="R17" s="151"/>
    </row>
    <row r="18" spans="2:18" ht="24.75" customHeight="1" thickBot="1">
      <c r="B18" s="256" t="s">
        <v>65</v>
      </c>
      <c r="C18" s="161"/>
      <c r="D18" s="162" t="s">
        <v>15</v>
      </c>
      <c r="E18" s="163">
        <f aca="true" t="shared" si="10" ref="E18:M18">E17/$J$6/$T$5</f>
        <v>3.392347739266867</v>
      </c>
      <c r="F18" s="164">
        <f t="shared" si="10"/>
        <v>3.4400406504065044</v>
      </c>
      <c r="G18" s="164">
        <f t="shared" si="10"/>
        <v>3.487733561546142</v>
      </c>
      <c r="H18" s="164">
        <f t="shared" si="10"/>
        <v>3.53542647268578</v>
      </c>
      <c r="I18" s="164">
        <f t="shared" si="10"/>
        <v>3.5831193838254176</v>
      </c>
      <c r="J18" s="164">
        <f t="shared" si="10"/>
        <v>3.630812294965055</v>
      </c>
      <c r="K18" s="164">
        <f t="shared" si="10"/>
        <v>3.6785052061046932</v>
      </c>
      <c r="L18" s="165">
        <f t="shared" si="10"/>
        <v>3.726198117244331</v>
      </c>
      <c r="M18" s="166">
        <f t="shared" si="10"/>
        <v>3.7738910283839684</v>
      </c>
      <c r="N18" s="14"/>
      <c r="O18" s="167">
        <f>O17/$J$6/$T$5</f>
        <v>3.5831193838254176</v>
      </c>
      <c r="P18" s="151"/>
      <c r="Q18" s="151"/>
      <c r="R18" s="151"/>
    </row>
    <row r="19" spans="2:18" ht="9.75" customHeight="1">
      <c r="B19" s="151"/>
      <c r="P19" s="151"/>
      <c r="Q19" s="151"/>
      <c r="R19" s="151"/>
    </row>
    <row r="20" spans="2:18" ht="14.25" customHeight="1" thickBot="1">
      <c r="B20" s="151"/>
      <c r="C20" s="151"/>
      <c r="D20" s="151"/>
      <c r="E20" s="173"/>
      <c r="F20" s="173"/>
      <c r="G20" s="174"/>
      <c r="H20" s="174"/>
      <c r="I20" s="174"/>
      <c r="J20" s="174"/>
      <c r="K20" s="174"/>
      <c r="L20" s="174"/>
      <c r="M20" s="151"/>
      <c r="O20" s="151"/>
      <c r="P20" s="151"/>
      <c r="Q20" s="151"/>
      <c r="R20" s="151"/>
    </row>
    <row r="21" spans="2:20" ht="33" customHeight="1" thickBot="1" thickTop="1">
      <c r="B21" s="217" t="s">
        <v>122</v>
      </c>
      <c r="C21" s="175"/>
      <c r="D21" s="201" t="s">
        <v>19</v>
      </c>
      <c r="E21" s="199"/>
      <c r="F21" s="200"/>
      <c r="G21" s="257">
        <f>VLOOKUP(U26,U22:V24,2,FALSE)</f>
        <v>1244</v>
      </c>
      <c r="H21" s="249"/>
      <c r="I21" s="306" t="s">
        <v>18</v>
      </c>
      <c r="J21" s="307">
        <f>J6</f>
        <v>380</v>
      </c>
      <c r="K21" s="198"/>
      <c r="L21" s="306" t="s">
        <v>87</v>
      </c>
      <c r="M21" s="312">
        <v>200</v>
      </c>
      <c r="O21" s="285" t="s">
        <v>77</v>
      </c>
      <c r="P21" s="151"/>
      <c r="Q21" s="151"/>
      <c r="R21" s="151"/>
      <c r="T21" s="7" t="s">
        <v>52</v>
      </c>
    </row>
    <row r="22" spans="2:22" ht="21" customHeight="1" thickBot="1" thickTop="1">
      <c r="B22" s="176"/>
      <c r="C22" s="175"/>
      <c r="D22" s="345" t="s">
        <v>53</v>
      </c>
      <c r="E22" s="345"/>
      <c r="F22" s="345"/>
      <c r="G22" s="345"/>
      <c r="H22" s="174"/>
      <c r="I22" s="174"/>
      <c r="J22" s="174"/>
      <c r="K22" s="174"/>
      <c r="L22" s="174"/>
      <c r="M22" s="175"/>
      <c r="O22" s="151"/>
      <c r="P22" s="151"/>
      <c r="Q22" s="151"/>
      <c r="R22" s="151"/>
      <c r="T22" s="178"/>
      <c r="U22" s="178" t="str">
        <f>'Datenbasis '!G33</f>
        <v>niedrig</v>
      </c>
      <c r="V22" s="180">
        <f>'Datenbasis '!G34</f>
        <v>1134</v>
      </c>
    </row>
    <row r="23" spans="2:22" ht="24.75" customHeight="1" thickBot="1">
      <c r="B23" s="210" t="s">
        <v>94</v>
      </c>
      <c r="C23" s="211"/>
      <c r="D23" s="211"/>
      <c r="E23" s="311">
        <v>3</v>
      </c>
      <c r="F23" s="282">
        <v>3.15</v>
      </c>
      <c r="G23" s="282">
        <f>G8*0.66</f>
        <v>3.3000000000000003</v>
      </c>
      <c r="H23" s="282">
        <v>3.45</v>
      </c>
      <c r="I23" s="282">
        <v>3.6</v>
      </c>
      <c r="J23" s="282">
        <v>3.75</v>
      </c>
      <c r="K23" s="282">
        <v>3.9</v>
      </c>
      <c r="L23" s="282">
        <v>4.05</v>
      </c>
      <c r="M23" s="283">
        <v>4.2</v>
      </c>
      <c r="O23" s="284">
        <v>3.45</v>
      </c>
      <c r="P23" s="151"/>
      <c r="Q23" s="151" t="s">
        <v>96</v>
      </c>
      <c r="T23" s="179"/>
      <c r="U23" s="179" t="str">
        <f>'Datenbasis '!H33</f>
        <v>mittel</v>
      </c>
      <c r="V23" s="181">
        <f>'Datenbasis '!H34</f>
        <v>1244</v>
      </c>
    </row>
    <row r="24" spans="2:22" ht="24.75" customHeight="1">
      <c r="B24" s="188" t="s">
        <v>95</v>
      </c>
      <c r="C24" s="189"/>
      <c r="D24" s="189"/>
      <c r="E24" s="213">
        <f aca="true" t="shared" si="11" ref="E24:M24">E23*$M$21*$T$6</f>
        <v>642</v>
      </c>
      <c r="F24" s="184">
        <f t="shared" si="11"/>
        <v>674.1</v>
      </c>
      <c r="G24" s="184">
        <f t="shared" si="11"/>
        <v>706.2</v>
      </c>
      <c r="H24" s="184">
        <f t="shared" si="11"/>
        <v>738.3000000000001</v>
      </c>
      <c r="I24" s="184">
        <f t="shared" si="11"/>
        <v>770.4000000000001</v>
      </c>
      <c r="J24" s="184">
        <f t="shared" si="11"/>
        <v>802.5</v>
      </c>
      <c r="K24" s="184">
        <f t="shared" si="11"/>
        <v>834.6</v>
      </c>
      <c r="L24" s="184">
        <f t="shared" si="11"/>
        <v>866.7</v>
      </c>
      <c r="M24" s="191">
        <f t="shared" si="11"/>
        <v>898.8000000000001</v>
      </c>
      <c r="O24" s="193">
        <f>O23*$M$21*$T$6</f>
        <v>738.3000000000001</v>
      </c>
      <c r="P24" s="151"/>
      <c r="Q24" s="151"/>
      <c r="R24" s="151"/>
      <c r="T24" s="179"/>
      <c r="U24" s="179" t="str">
        <f>'Datenbasis '!I33</f>
        <v>hoch</v>
      </c>
      <c r="V24" s="181">
        <f>'Datenbasis '!I34</f>
        <v>1352</v>
      </c>
    </row>
    <row r="25" spans="2:22" ht="24.75" customHeight="1">
      <c r="B25" s="188" t="s">
        <v>16</v>
      </c>
      <c r="C25" s="189"/>
      <c r="D25" s="189"/>
      <c r="E25" s="258">
        <f>HLOOKUP($G$21,'Datenbasis '!$G$34:$I$53,ROWS('Datenbasis '!$G$34:$I$50))</f>
        <v>837.9</v>
      </c>
      <c r="F25" s="184">
        <f aca="true" t="shared" si="12" ref="F25:M25">$E$25</f>
        <v>837.9</v>
      </c>
      <c r="G25" s="184">
        <f t="shared" si="12"/>
        <v>837.9</v>
      </c>
      <c r="H25" s="184">
        <f t="shared" si="12"/>
        <v>837.9</v>
      </c>
      <c r="I25" s="184">
        <f t="shared" si="12"/>
        <v>837.9</v>
      </c>
      <c r="J25" s="184">
        <f t="shared" si="12"/>
        <v>837.9</v>
      </c>
      <c r="K25" s="184">
        <f t="shared" si="12"/>
        <v>837.9</v>
      </c>
      <c r="L25" s="184">
        <f t="shared" si="12"/>
        <v>837.9</v>
      </c>
      <c r="M25" s="191">
        <f t="shared" si="12"/>
        <v>837.9</v>
      </c>
      <c r="N25" s="192"/>
      <c r="O25" s="193">
        <f>$E$25</f>
        <v>837.9</v>
      </c>
      <c r="P25" s="151"/>
      <c r="Q25" s="151"/>
      <c r="R25" s="151"/>
      <c r="T25" s="179"/>
      <c r="U25" s="179"/>
      <c r="V25" s="181"/>
    </row>
    <row r="26" spans="2:22" ht="24.75" customHeight="1">
      <c r="B26" s="188" t="s">
        <v>14</v>
      </c>
      <c r="C26" s="189"/>
      <c r="D26" s="189"/>
      <c r="E26" s="258">
        <f>HLOOKUP($G$21,'Datenbasis '!$G$34:$I$53,ROWS('Datenbasis '!$G$34:$I$51))</f>
        <v>279</v>
      </c>
      <c r="F26" s="184">
        <f aca="true" t="shared" si="13" ref="F26:M26">$E$26</f>
        <v>279</v>
      </c>
      <c r="G26" s="184">
        <f t="shared" si="13"/>
        <v>279</v>
      </c>
      <c r="H26" s="184">
        <f t="shared" si="13"/>
        <v>279</v>
      </c>
      <c r="I26" s="184">
        <f t="shared" si="13"/>
        <v>279</v>
      </c>
      <c r="J26" s="184">
        <f t="shared" si="13"/>
        <v>279</v>
      </c>
      <c r="K26" s="184">
        <f t="shared" si="13"/>
        <v>279</v>
      </c>
      <c r="L26" s="184">
        <f t="shared" si="13"/>
        <v>279</v>
      </c>
      <c r="M26" s="191">
        <f t="shared" si="13"/>
        <v>279</v>
      </c>
      <c r="N26" s="192"/>
      <c r="O26" s="193">
        <f>$E$26</f>
        <v>279</v>
      </c>
      <c r="P26" s="151"/>
      <c r="Q26" s="151"/>
      <c r="R26" s="151"/>
      <c r="T26" s="183" t="s">
        <v>51</v>
      </c>
      <c r="U26" s="260" t="s">
        <v>9</v>
      </c>
      <c r="V26" s="182"/>
    </row>
    <row r="27" spans="2:18" ht="24.75" customHeight="1" thickBot="1">
      <c r="B27" s="194" t="s">
        <v>13</v>
      </c>
      <c r="C27" s="189"/>
      <c r="D27" s="189"/>
      <c r="E27" s="259">
        <f>HLOOKUP($G$21,'Datenbasis '!$G$34:$I$53,ROWS('Datenbasis '!$G$34:$I$52))</f>
        <v>94</v>
      </c>
      <c r="F27" s="196">
        <f aca="true" t="shared" si="14" ref="F27:M27">$E$27</f>
        <v>94</v>
      </c>
      <c r="G27" s="196">
        <f t="shared" si="14"/>
        <v>94</v>
      </c>
      <c r="H27" s="196">
        <f t="shared" si="14"/>
        <v>94</v>
      </c>
      <c r="I27" s="196">
        <f t="shared" si="14"/>
        <v>94</v>
      </c>
      <c r="J27" s="196">
        <f t="shared" si="14"/>
        <v>94</v>
      </c>
      <c r="K27" s="196">
        <f t="shared" si="14"/>
        <v>94</v>
      </c>
      <c r="L27" s="196">
        <f t="shared" si="14"/>
        <v>94</v>
      </c>
      <c r="M27" s="197">
        <f t="shared" si="14"/>
        <v>94</v>
      </c>
      <c r="N27" s="198"/>
      <c r="O27" s="193">
        <f>$E$27</f>
        <v>94</v>
      </c>
      <c r="P27" s="151"/>
      <c r="Q27" s="151"/>
      <c r="R27" s="151"/>
    </row>
    <row r="28" spans="2:18" ht="24.75" customHeight="1">
      <c r="B28" s="263" t="s">
        <v>93</v>
      </c>
      <c r="C28" s="202"/>
      <c r="D28" s="203" t="s">
        <v>17</v>
      </c>
      <c r="E28" s="331">
        <f>E24+E25+E26+E27</f>
        <v>1852.9</v>
      </c>
      <c r="F28" s="332">
        <f aca="true" t="shared" si="15" ref="F28:O28">F24+F25+F26+F27</f>
        <v>1885</v>
      </c>
      <c r="G28" s="332">
        <f t="shared" si="15"/>
        <v>1917.1</v>
      </c>
      <c r="H28" s="332">
        <f t="shared" si="15"/>
        <v>1949.2</v>
      </c>
      <c r="I28" s="332">
        <f t="shared" si="15"/>
        <v>1981.3000000000002</v>
      </c>
      <c r="J28" s="332">
        <f t="shared" si="15"/>
        <v>2013.4</v>
      </c>
      <c r="K28" s="332">
        <f t="shared" si="15"/>
        <v>2045.5</v>
      </c>
      <c r="L28" s="332">
        <f t="shared" si="15"/>
        <v>2077.6</v>
      </c>
      <c r="M28" s="328">
        <f t="shared" si="15"/>
        <v>2109.7</v>
      </c>
      <c r="N28" s="333"/>
      <c r="O28" s="330">
        <f t="shared" si="15"/>
        <v>1949.2</v>
      </c>
      <c r="P28" s="151"/>
      <c r="Q28" s="151"/>
      <c r="R28" s="151"/>
    </row>
    <row r="29" spans="2:18" ht="24.75" customHeight="1" thickBot="1">
      <c r="B29" s="256" t="s">
        <v>63</v>
      </c>
      <c r="C29" s="204"/>
      <c r="D29" s="205" t="s">
        <v>15</v>
      </c>
      <c r="E29" s="206">
        <f aca="true" t="shared" si="16" ref="E29:M29">E28/$J$6/$T$5</f>
        <v>4.404744924642229</v>
      </c>
      <c r="F29" s="207">
        <f t="shared" si="16"/>
        <v>4.481053582465649</v>
      </c>
      <c r="G29" s="207">
        <f t="shared" si="16"/>
        <v>4.55736224028907</v>
      </c>
      <c r="H29" s="207">
        <f t="shared" si="16"/>
        <v>4.63367089811249</v>
      </c>
      <c r="I29" s="207">
        <f t="shared" si="16"/>
        <v>4.70997955593591</v>
      </c>
      <c r="J29" s="207">
        <f t="shared" si="16"/>
        <v>4.786288213759331</v>
      </c>
      <c r="K29" s="207">
        <f t="shared" si="16"/>
        <v>4.862596871582751</v>
      </c>
      <c r="L29" s="207">
        <f t="shared" si="16"/>
        <v>4.9389055294061714</v>
      </c>
      <c r="M29" s="209">
        <f t="shared" si="16"/>
        <v>5.015214187229591</v>
      </c>
      <c r="N29" s="214"/>
      <c r="O29" s="215">
        <f>O28/$J$6/$T$5</f>
        <v>4.63367089811249</v>
      </c>
      <c r="P29" s="151"/>
      <c r="Q29" s="151"/>
      <c r="R29" s="151"/>
    </row>
    <row r="30" spans="2:18" ht="24.75" customHeight="1">
      <c r="B30" s="264" t="s">
        <v>123</v>
      </c>
      <c r="C30" s="229"/>
      <c r="D30" s="230" t="s">
        <v>17</v>
      </c>
      <c r="E30" s="231">
        <f>E28-E26</f>
        <v>1573.9</v>
      </c>
      <c r="F30" s="232">
        <f aca="true" t="shared" si="17" ref="F30:O30">F28-F26</f>
        <v>1606</v>
      </c>
      <c r="G30" s="232">
        <f t="shared" si="17"/>
        <v>1638.1</v>
      </c>
      <c r="H30" s="232">
        <f t="shared" si="17"/>
        <v>1670.2</v>
      </c>
      <c r="I30" s="232">
        <f t="shared" si="17"/>
        <v>1702.3000000000002</v>
      </c>
      <c r="J30" s="232">
        <f t="shared" si="17"/>
        <v>1734.4</v>
      </c>
      <c r="K30" s="232">
        <f t="shared" si="17"/>
        <v>1766.5</v>
      </c>
      <c r="L30" s="232">
        <f t="shared" si="17"/>
        <v>1798.6</v>
      </c>
      <c r="M30" s="233">
        <f t="shared" si="17"/>
        <v>1830.6999999999998</v>
      </c>
      <c r="N30" s="234"/>
      <c r="O30" s="235">
        <f t="shared" si="17"/>
        <v>1670.2</v>
      </c>
      <c r="P30" s="151"/>
      <c r="Q30" s="151"/>
      <c r="R30" s="151"/>
    </row>
    <row r="31" spans="2:18" ht="24.75" customHeight="1" thickBot="1">
      <c r="B31" s="256" t="s">
        <v>64</v>
      </c>
      <c r="C31" s="236"/>
      <c r="D31" s="237" t="s">
        <v>15</v>
      </c>
      <c r="E31" s="238">
        <f aca="true" t="shared" si="18" ref="E31:M31">E30/$J$6/$T$5</f>
        <v>3.7415014501022203</v>
      </c>
      <c r="F31" s="239">
        <f t="shared" si="18"/>
        <v>3.8178101079256406</v>
      </c>
      <c r="G31" s="239">
        <f t="shared" si="18"/>
        <v>3.8941187657490612</v>
      </c>
      <c r="H31" s="239">
        <f t="shared" si="18"/>
        <v>3.970427423572482</v>
      </c>
      <c r="I31" s="239">
        <f t="shared" si="18"/>
        <v>4.046736081395903</v>
      </c>
      <c r="J31" s="239">
        <f t="shared" si="18"/>
        <v>4.1230447392193215</v>
      </c>
      <c r="K31" s="239">
        <f t="shared" si="18"/>
        <v>4.199353397042742</v>
      </c>
      <c r="L31" s="239">
        <f t="shared" si="18"/>
        <v>4.275662054866163</v>
      </c>
      <c r="M31" s="240">
        <f t="shared" si="18"/>
        <v>4.351970712689583</v>
      </c>
      <c r="N31" s="241"/>
      <c r="O31" s="242">
        <f>O30/$J$6/$T$5</f>
        <v>3.970427423572482</v>
      </c>
      <c r="P31" s="151"/>
      <c r="Q31" s="151"/>
      <c r="R31" s="151"/>
    </row>
    <row r="32" spans="2:15" ht="24.75" customHeight="1">
      <c r="B32" s="265" t="s">
        <v>124</v>
      </c>
      <c r="C32" s="159"/>
      <c r="D32" s="160" t="s">
        <v>17</v>
      </c>
      <c r="E32" s="156">
        <f>E24+E25</f>
        <v>1479.9</v>
      </c>
      <c r="F32" s="157">
        <f aca="true" t="shared" si="19" ref="F32:O32">F24+F25</f>
        <v>1512</v>
      </c>
      <c r="G32" s="157">
        <f t="shared" si="19"/>
        <v>1544.1</v>
      </c>
      <c r="H32" s="157">
        <f t="shared" si="19"/>
        <v>1576.2</v>
      </c>
      <c r="I32" s="157">
        <f t="shared" si="19"/>
        <v>1608.3000000000002</v>
      </c>
      <c r="J32" s="157">
        <f t="shared" si="19"/>
        <v>1640.4</v>
      </c>
      <c r="K32" s="157">
        <f t="shared" si="19"/>
        <v>1672.5</v>
      </c>
      <c r="L32" s="157">
        <f t="shared" si="19"/>
        <v>1704.6</v>
      </c>
      <c r="M32" s="169">
        <f t="shared" si="19"/>
        <v>1736.7</v>
      </c>
      <c r="N32" s="228"/>
      <c r="O32" s="172">
        <f t="shared" si="19"/>
        <v>1576.2</v>
      </c>
    </row>
    <row r="33" spans="2:15" ht="24.75" customHeight="1" thickBot="1">
      <c r="B33" s="256" t="s">
        <v>65</v>
      </c>
      <c r="C33" s="161"/>
      <c r="D33" s="162" t="s">
        <v>15</v>
      </c>
      <c r="E33" s="163">
        <f aca="true" t="shared" si="20" ref="E33:M33">E32/$J$6/$T$5</f>
        <v>3.518043075167594</v>
      </c>
      <c r="F33" s="164">
        <f t="shared" si="20"/>
        <v>3.594351732991014</v>
      </c>
      <c r="G33" s="164">
        <f t="shared" si="20"/>
        <v>3.6706603908144344</v>
      </c>
      <c r="H33" s="164">
        <f t="shared" si="20"/>
        <v>3.746969048637855</v>
      </c>
      <c r="I33" s="164">
        <f t="shared" si="20"/>
        <v>3.8232777064612757</v>
      </c>
      <c r="J33" s="164">
        <f t="shared" si="20"/>
        <v>3.899586364284696</v>
      </c>
      <c r="K33" s="164">
        <f t="shared" si="20"/>
        <v>3.9758950221081157</v>
      </c>
      <c r="L33" s="164">
        <f t="shared" si="20"/>
        <v>4.052203679931536</v>
      </c>
      <c r="M33" s="166">
        <f t="shared" si="20"/>
        <v>4.128512337754957</v>
      </c>
      <c r="N33" s="216"/>
      <c r="O33" s="167">
        <f>O32/$J$6/$T$5</f>
        <v>3.746969048637855</v>
      </c>
    </row>
    <row r="34" spans="2:9" ht="20.25" customHeight="1">
      <c r="B34" s="151"/>
      <c r="C34" s="151"/>
      <c r="D34" s="151"/>
      <c r="E34" s="173"/>
      <c r="F34" s="173"/>
      <c r="G34" s="173"/>
      <c r="H34" s="173"/>
      <c r="I34" s="173"/>
    </row>
  </sheetData>
  <sheetProtection sheet="1" objects="1" scenarios="1"/>
  <mergeCells count="2">
    <mergeCell ref="D7:G7"/>
    <mergeCell ref="D22:G22"/>
  </mergeCells>
  <printOptions/>
  <pageMargins left="0.4724409448818898" right="0.4724409448818898" top="0.5905511811023623" bottom="0.5118110236220472" header="0.35433070866141736" footer="0.2362204724409449"/>
  <pageSetup fitToHeight="1" fitToWidth="1" horizontalDpi="600" verticalDpi="600" orientation="landscape" paperSize="9" scale="70" r:id="rId2"/>
  <headerFooter alignWithMargins="0">
    <oddFooter>&amp;LLEL, Abt. II ( Segger )&amp;C&amp;F&amp;A&amp;R&amp;D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Einkommenswirkung BSE</dc:title>
  <dc:subject>BSE</dc:subject>
  <dc:creator>Volker Segger</dc:creator>
  <cp:keywords>BSE; Deckunsbeitäge Rinder;</cp:keywords>
  <dc:description/>
  <cp:lastModifiedBy>Krieg, Karl (LEL)</cp:lastModifiedBy>
  <cp:lastPrinted>2013-11-07T08:19:16Z</cp:lastPrinted>
  <dcterms:created xsi:type="dcterms:W3CDTF">2001-01-25T14:18:28Z</dcterms:created>
  <dcterms:modified xsi:type="dcterms:W3CDTF">2013-11-07T08:22:09Z</dcterms:modified>
  <cp:category/>
  <cp:version/>
  <cp:contentType/>
  <cp:contentStatus/>
</cp:coreProperties>
</file>